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19440" windowHeight="11640"/>
  </bookViews>
  <sheets>
    <sheet name="РБ" sheetId="1" r:id="rId1"/>
  </sheets>
  <definedNames>
    <definedName name="_xlnm.Print_Titles" localSheetId="0">РБ!$A:$B,РБ!$15:$15</definedName>
    <definedName name="_xlnm.Print_Area" localSheetId="0">РБ!$A$1:$K$97</definedName>
  </definedNames>
  <calcPr calcId="152511"/>
</workbook>
</file>

<file path=xl/calcChain.xml><?xml version="1.0" encoding="utf-8"?>
<calcChain xmlns="http://schemas.openxmlformats.org/spreadsheetml/2006/main">
  <c r="D79" i="1" l="1"/>
  <c r="E79" i="1"/>
  <c r="F79" i="1"/>
  <c r="G79" i="1"/>
  <c r="H79" i="1"/>
  <c r="I79" i="1"/>
  <c r="J79" i="1"/>
  <c r="C79" i="1"/>
  <c r="J94" i="1" l="1"/>
  <c r="H94" i="1"/>
  <c r="G94" i="1"/>
  <c r="F94" i="1"/>
  <c r="E94" i="1"/>
  <c r="C94" i="1"/>
  <c r="J92" i="1"/>
  <c r="H92" i="1"/>
  <c r="G92" i="1"/>
  <c r="F92" i="1"/>
  <c r="E92" i="1"/>
  <c r="C92" i="1"/>
  <c r="J90" i="1"/>
  <c r="I90" i="1"/>
  <c r="H90" i="1"/>
  <c r="G90" i="1"/>
  <c r="F90" i="1"/>
  <c r="E90" i="1"/>
  <c r="D90" i="1"/>
  <c r="C90" i="1"/>
  <c r="J88" i="1"/>
  <c r="I88" i="1"/>
  <c r="H88" i="1"/>
  <c r="G88" i="1"/>
  <c r="F88" i="1"/>
  <c r="E88" i="1"/>
  <c r="C88" i="1"/>
  <c r="C86" i="1"/>
  <c r="C84" i="1"/>
  <c r="J82" i="1"/>
  <c r="I82" i="1"/>
  <c r="H82" i="1"/>
  <c r="G82" i="1"/>
  <c r="F82" i="1"/>
  <c r="E82" i="1"/>
  <c r="D82" i="1"/>
  <c r="C82" i="1"/>
  <c r="J80" i="1"/>
  <c r="I80" i="1"/>
  <c r="H80" i="1"/>
  <c r="G80" i="1"/>
  <c r="F80" i="1"/>
  <c r="E80" i="1"/>
  <c r="D80" i="1"/>
  <c r="C80" i="1"/>
  <c r="C76" i="1"/>
  <c r="C75" i="1"/>
  <c r="J51" i="1"/>
  <c r="I51" i="1"/>
  <c r="H51" i="1"/>
  <c r="G51" i="1"/>
  <c r="F51" i="1"/>
  <c r="E51" i="1"/>
  <c r="D51" i="1"/>
  <c r="C51" i="1"/>
  <c r="C48" i="1"/>
  <c r="J47" i="1"/>
  <c r="H47" i="1"/>
  <c r="G47" i="1"/>
  <c r="F47" i="1"/>
  <c r="E47" i="1"/>
  <c r="C47" i="1"/>
  <c r="J43" i="1"/>
  <c r="I43" i="1"/>
  <c r="H43" i="1"/>
  <c r="G43" i="1"/>
  <c r="F43" i="1"/>
  <c r="E43" i="1"/>
  <c r="E42" i="1"/>
  <c r="C42" i="1"/>
  <c r="D39" i="1"/>
  <c r="C39" i="1"/>
  <c r="C38" i="1"/>
  <c r="J36" i="1"/>
  <c r="I36" i="1"/>
  <c r="H36" i="1"/>
  <c r="G36" i="1"/>
  <c r="F36" i="1"/>
  <c r="E36" i="1"/>
  <c r="D36" i="1"/>
  <c r="C36" i="1"/>
  <c r="J31" i="1"/>
  <c r="H31" i="1"/>
  <c r="G31" i="1"/>
  <c r="C31" i="1"/>
  <c r="G30" i="1"/>
  <c r="F30" i="1"/>
  <c r="E30" i="1"/>
  <c r="C30" i="1"/>
  <c r="J29" i="1"/>
  <c r="H29" i="1"/>
  <c r="G29" i="1"/>
  <c r="F29" i="1"/>
  <c r="E29" i="1"/>
  <c r="C29" i="1"/>
  <c r="D25" i="1" l="1"/>
  <c r="C25" i="1"/>
  <c r="D24" i="1"/>
  <c r="C24" i="1"/>
  <c r="C23" i="1"/>
  <c r="J20" i="1"/>
  <c r="I20" i="1"/>
  <c r="H20" i="1"/>
  <c r="G20" i="1"/>
  <c r="F20" i="1"/>
  <c r="E20" i="1"/>
  <c r="D20" i="1"/>
  <c r="D19" i="1" s="1"/>
  <c r="C20" i="1"/>
  <c r="C19" i="1" s="1"/>
  <c r="J21" i="1"/>
  <c r="I21" i="1"/>
  <c r="H21" i="1"/>
  <c r="G21" i="1"/>
  <c r="F21" i="1"/>
  <c r="E21" i="1"/>
  <c r="D21" i="1"/>
  <c r="C21" i="1"/>
  <c r="D23" i="1"/>
  <c r="C63" i="1"/>
  <c r="C62" i="1"/>
  <c r="K76" i="1" l="1"/>
  <c r="K22" i="1"/>
  <c r="C96" i="1" l="1"/>
  <c r="J96" i="1" l="1"/>
  <c r="I96" i="1"/>
  <c r="F96" i="1"/>
  <c r="C46" i="1"/>
  <c r="K90" i="1"/>
  <c r="K31" i="1"/>
  <c r="C27" i="1"/>
  <c r="K94" i="1"/>
  <c r="K92" i="1"/>
  <c r="K88" i="1"/>
  <c r="K86" i="1"/>
  <c r="K84" i="1"/>
  <c r="K82" i="1"/>
  <c r="K80" i="1"/>
  <c r="J78" i="1"/>
  <c r="H78" i="1"/>
  <c r="G78" i="1"/>
  <c r="F78" i="1"/>
  <c r="E78" i="1"/>
  <c r="D78" i="1"/>
  <c r="K75" i="1"/>
  <c r="K74" i="1"/>
  <c r="J73" i="1"/>
  <c r="I73" i="1"/>
  <c r="H73" i="1"/>
  <c r="G73" i="1"/>
  <c r="F73" i="1"/>
  <c r="E73" i="1"/>
  <c r="D73" i="1"/>
  <c r="C73" i="1"/>
  <c r="K71" i="1"/>
  <c r="K69" i="1"/>
  <c r="K67" i="1"/>
  <c r="K65" i="1"/>
  <c r="K64" i="1"/>
  <c r="K63" i="1"/>
  <c r="K62" i="1"/>
  <c r="K61" i="1"/>
  <c r="K60" i="1"/>
  <c r="K59" i="1"/>
  <c r="K58" i="1"/>
  <c r="K57" i="1"/>
  <c r="K56" i="1"/>
  <c r="K55" i="1"/>
  <c r="K54" i="1"/>
  <c r="J53" i="1"/>
  <c r="I53" i="1"/>
  <c r="H53" i="1"/>
  <c r="G53" i="1"/>
  <c r="F53" i="1"/>
  <c r="E53" i="1"/>
  <c r="D53" i="1"/>
  <c r="C53" i="1"/>
  <c r="K51" i="1"/>
  <c r="J50" i="1"/>
  <c r="I50" i="1"/>
  <c r="H50" i="1"/>
  <c r="G50" i="1"/>
  <c r="F50" i="1"/>
  <c r="E50" i="1"/>
  <c r="D50" i="1"/>
  <c r="C50" i="1"/>
  <c r="K47" i="1"/>
  <c r="J46" i="1"/>
  <c r="I46" i="1"/>
  <c r="H46" i="1"/>
  <c r="G46" i="1"/>
  <c r="F46" i="1"/>
  <c r="E46" i="1"/>
  <c r="D46" i="1"/>
  <c r="K43" i="1"/>
  <c r="K42" i="1"/>
  <c r="K41" i="1"/>
  <c r="K40" i="1"/>
  <c r="K39" i="1"/>
  <c r="K38" i="1"/>
  <c r="J37" i="1"/>
  <c r="I37" i="1"/>
  <c r="H37" i="1"/>
  <c r="G37" i="1"/>
  <c r="F37" i="1"/>
  <c r="E37" i="1"/>
  <c r="D37" i="1"/>
  <c r="C37" i="1"/>
  <c r="K34" i="1"/>
  <c r="K32" i="1"/>
  <c r="K30" i="1"/>
  <c r="K29" i="1"/>
  <c r="K28" i="1"/>
  <c r="J27" i="1"/>
  <c r="I27" i="1"/>
  <c r="G27" i="1"/>
  <c r="F27" i="1"/>
  <c r="E27" i="1"/>
  <c r="D27" i="1"/>
  <c r="K23" i="1"/>
  <c r="K21" i="1"/>
  <c r="K20" i="1"/>
  <c r="J19" i="1"/>
  <c r="I19" i="1"/>
  <c r="H19" i="1"/>
  <c r="G19" i="1"/>
  <c r="F19" i="1"/>
  <c r="F17" i="1" s="1"/>
  <c r="E19" i="1"/>
  <c r="K18" i="1"/>
  <c r="J17" i="1" l="1"/>
  <c r="I17" i="1"/>
  <c r="H17" i="1"/>
  <c r="G17" i="1"/>
  <c r="E17" i="1"/>
  <c r="C17" i="1"/>
  <c r="D45" i="1"/>
  <c r="F45" i="1"/>
  <c r="H45" i="1"/>
  <c r="K50" i="1"/>
  <c r="C45" i="1"/>
  <c r="J45" i="1"/>
  <c r="E45" i="1"/>
  <c r="G45" i="1"/>
  <c r="I45" i="1"/>
  <c r="D17" i="1"/>
  <c r="H27" i="1"/>
  <c r="K48" i="1"/>
  <c r="K46" i="1" s="1"/>
  <c r="K37" i="1"/>
  <c r="K79" i="1"/>
  <c r="K24" i="1"/>
  <c r="K25" i="1"/>
  <c r="K96" i="1"/>
  <c r="K36" i="1"/>
  <c r="K73" i="1"/>
  <c r="C78" i="1"/>
  <c r="I78" i="1"/>
  <c r="K19" i="1"/>
  <c r="K53" i="1"/>
  <c r="E16" i="1" l="1"/>
  <c r="E97" i="1" s="1"/>
  <c r="J16" i="1"/>
  <c r="J97" i="1" s="1"/>
  <c r="F16" i="1"/>
  <c r="F97" i="1" s="1"/>
  <c r="K45" i="1"/>
  <c r="I16" i="1"/>
  <c r="I97" i="1" s="1"/>
  <c r="G16" i="1"/>
  <c r="H16" i="1"/>
  <c r="G97" i="1"/>
  <c r="K27" i="1"/>
  <c r="K17" i="1"/>
  <c r="D16" i="1"/>
  <c r="C16" i="1"/>
  <c r="K78" i="1"/>
  <c r="D97" i="1" l="1"/>
  <c r="H97" i="1"/>
  <c r="K16" i="1"/>
  <c r="K97" i="1" s="1"/>
  <c r="C97" i="1"/>
</calcChain>
</file>

<file path=xl/sharedStrings.xml><?xml version="1.0" encoding="utf-8"?>
<sst xmlns="http://schemas.openxmlformats.org/spreadsheetml/2006/main" count="85" uniqueCount="84">
  <si>
    <t>Приложение № 1.2</t>
  </si>
  <si>
    <t xml:space="preserve">к Закону Приднестровской Молдавской Республики </t>
  </si>
  <si>
    <t>"О республиканском бюджете на 2020 год"</t>
  </si>
  <si>
    <t xml:space="preserve">Планирование доходной части республиканского бюджета </t>
  </si>
  <si>
    <t xml:space="preserve">в разрезе основных видов налоговых, неналоговых и иных обязательных платежей </t>
  </si>
  <si>
    <t>на 2020 год</t>
  </si>
  <si>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</si>
  <si>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</si>
  <si>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</si>
  <si>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</si>
  <si>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</si>
  <si>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</si>
  <si>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</si>
  <si>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</si>
  <si>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</si>
  <si>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</si>
  <si>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</si>
  <si>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</si>
  <si>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</si>
  <si>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</si>
  <si>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</si>
  <si>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</si>
  <si>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</si>
  <si>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</si>
  <si>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</si>
  <si>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</si>
  <si>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</si>
  <si>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</si>
  <si>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</si>
  <si>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</si>
  <si>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импортируемую на территорию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</si>
  <si>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</si>
  <si>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</si>
  <si>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</si>
  <si>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</si>
  <si>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</si>
  <si>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</si>
  <si>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</si>
  <si>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</si>
  <si>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</si>
  <si>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</si>
  <si>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</si>
  <si>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</si>
  <si>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Таможенные пошлины</t>
  </si>
  <si>
    <t>Ввозные таможенные пошлины</t>
  </si>
  <si>
    <t>Вывозные таможенные пошлины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</si>
  <si>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</si>
  <si>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</si>
  <si>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</si>
  <si>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</si>
  <si>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</si>
  <si>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</si>
  <si>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</si>
  <si>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</si>
  <si>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</si>
  <si>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</si>
  <si>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</si>
  <si>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</si>
  <si>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</si>
  <si>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</si>
  <si>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</si>
  <si>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</si>
  <si>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Безвозмездные перечисления</t>
  </si>
  <si>
    <t>От нерезидентов (гуманитарная помощь)</t>
  </si>
  <si>
    <t>3011000</t>
  </si>
  <si>
    <t>От нерезидентов на цели субсидирования хозяйствующих субъектов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</si>
  <si>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</si>
  <si>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</si>
  <si>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</si>
  <si>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</si>
  <si>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Государственного таможенного комитета</t>
  </si>
  <si>
    <t xml:space="preserve">Фонд государственного резерва 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</si>
  <si>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</si>
  <si>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</si>
  <si>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</si>
  <si>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</si>
  <si>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</si>
  <si>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</si>
  <si>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Налог с потенциально возможного к получению годового дохода для индивидуальных предпринимателей</t>
  </si>
  <si>
    <t>Прочие безвозмездные перечисления</t>
  </si>
  <si>
    <t>"О внесении изменений и дополнений</t>
  </si>
  <si>
    <t xml:space="preserve">в Закон Приднестровской Молдавской Республики </t>
  </si>
  <si>
    <t>к Закону Приднестровской Молдавской Республики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</si>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</sst>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-;\-* #,##0.00_-;_-* &quot;-&quot;??_-;_-@_-"/>
    <numFmt numFmtId="166" formatCode="_-* #,##0_р_._-;\-* #,##0_р_._-;_-* &quot;-&quot;??_р_._-;_-@_-"/>
    <numFmt numFmtId="167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4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3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/>
    </xf>
    <xf numFmtId="0" fontId="7" fillId="2" borderId="9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7" xfId="0" applyFont="1" applyFill="1" applyBorder="1"/>
    <xf numFmtId="0" fontId="11" fillId="2" borderId="7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8" fillId="2" borderId="0" xfId="0" applyFont="1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7" fillId="2" borderId="0" xfId="0" applyFont="1" applyFill="1"/>
    <xf numFmtId="0" fontId="3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6" fillId="3" borderId="2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2" borderId="11" xfId="1" applyNumberFormat="1" applyFont="1" applyFill="1" applyBorder="1" applyAlignment="1">
      <alignment horizontal="center" vertical="center"/>
    </xf>
    <xf numFmtId="164" fontId="9" fillId="2" borderId="14" xfId="1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15" xfId="1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7" xfId="1" applyNumberFormat="1" applyFont="1" applyFill="1" applyBorder="1" applyAlignment="1">
      <alignment horizontal="center" vertical="center"/>
    </xf>
    <xf numFmtId="164" fontId="10" fillId="2" borderId="15" xfId="1" applyNumberFormat="1" applyFont="1" applyFill="1" applyBorder="1" applyAlignment="1">
      <alignment horizontal="center" vertical="center"/>
    </xf>
    <xf numFmtId="164" fontId="10" fillId="2" borderId="16" xfId="1" applyNumberFormat="1" applyFont="1" applyFill="1" applyBorder="1" applyAlignment="1">
      <alignment horizontal="center" vertical="center"/>
    </xf>
    <xf numFmtId="164" fontId="10" fillId="2" borderId="17" xfId="1" applyNumberFormat="1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164" fontId="9" fillId="3" borderId="2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/>
    <xf numFmtId="164" fontId="10" fillId="2" borderId="14" xfId="1" applyNumberFormat="1" applyFont="1" applyFill="1" applyBorder="1" applyAlignment="1">
      <alignment horizontal="center" vertical="center"/>
    </xf>
    <xf numFmtId="164" fontId="9" fillId="2" borderId="9" xfId="1" applyNumberFormat="1" applyFont="1" applyFill="1" applyBorder="1" applyAlignment="1">
      <alignment horizontal="center" vertical="center"/>
    </xf>
    <xf numFmtId="164" fontId="9" fillId="2" borderId="18" xfId="1" applyNumberFormat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6" fontId="9" fillId="2" borderId="2" xfId="1" applyNumberFormat="1" applyFont="1" applyFill="1" applyBorder="1" applyAlignment="1">
      <alignment horizontal="center"/>
    </xf>
    <xf numFmtId="166" fontId="9" fillId="2" borderId="3" xfId="1" applyNumberFormat="1" applyFont="1" applyFill="1" applyBorder="1" applyAlignment="1">
      <alignment horizontal="center"/>
    </xf>
    <xf numFmtId="166" fontId="9" fillId="2" borderId="2" xfId="0" applyNumberFormat="1" applyFont="1" applyFill="1" applyBorder="1" applyAlignment="1">
      <alignment horizontal="center"/>
    </xf>
    <xf numFmtId="166" fontId="9" fillId="2" borderId="11" xfId="0" applyNumberFormat="1" applyFont="1" applyFill="1" applyBorder="1" applyAlignment="1">
      <alignment horizontal="center"/>
    </xf>
    <xf numFmtId="166" fontId="9" fillId="2" borderId="14" xfId="0" applyNumberFormat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 vertical="center"/>
    </xf>
    <xf numFmtId="164" fontId="15" fillId="2" borderId="14" xfId="1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164" fontId="9" fillId="2" borderId="13" xfId="1" applyNumberFormat="1" applyFont="1" applyFill="1" applyBorder="1" applyAlignment="1">
      <alignment horizontal="center" vertical="center"/>
    </xf>
    <xf numFmtId="164" fontId="9" fillId="2" borderId="19" xfId="1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19" xfId="0" applyNumberFormat="1" applyFont="1" applyFill="1" applyBorder="1" applyAlignment="1">
      <alignment horizontal="center" vertical="center"/>
    </xf>
    <xf numFmtId="164" fontId="9" fillId="2" borderId="20" xfId="1" applyNumberFormat="1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164" fontId="15" fillId="2" borderId="13" xfId="1" applyNumberFormat="1" applyFont="1" applyFill="1" applyBorder="1" applyAlignment="1">
      <alignment horizontal="center" vertical="center"/>
    </xf>
    <xf numFmtId="164" fontId="15" fillId="2" borderId="7" xfId="1" applyNumberFormat="1" applyFont="1" applyFill="1" applyBorder="1" applyAlignment="1">
      <alignment horizontal="center" vertical="center"/>
    </xf>
    <xf numFmtId="167" fontId="2" fillId="2" borderId="0" xfId="1" applyNumberFormat="1" applyFont="1" applyFill="1" applyAlignment="1">
      <alignment horizontal="right" vertical="center"/>
    </xf>
    <xf numFmtId="167" fontId="3" fillId="2" borderId="0" xfId="0" applyNumberFormat="1" applyFont="1" applyFill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/>
    <xf numFmtId="0" fontId="17" fillId="0" borderId="0" xfId="0" applyFont="1" applyAlignment="1"/>
    <xf numFmtId="0" fontId="18" fillId="2" borderId="0" xfId="0" applyFont="1" applyFill="1"/>
    <xf numFmtId="0" fontId="7" fillId="2" borderId="11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18" fillId="2" borderId="0" xfId="0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tabSelected="1" view="pageBreakPreview" zoomScale="60" zoomScaleNormal="80" workbookViewId="0">
      <pane xSplit="2" ySplit="15" topLeftCell="C40" activePane="bottomRight" state="frozen"/>
      <selection pane="topRight" activeCell="C1" sqref="C1"/>
      <selection pane="bottomLeft" activeCell="A11" sqref="A11"/>
      <selection pane="bottomRight" activeCell="K2" sqref="K2"/>
    </sheetView>
  </sheetViews>
  <sheetFormatPr defaultRowHeight="12.75" x14ac:dyDescent="0.2"/>
  <cols>
    <col min="1" max="1" width="10.7109375" style="1" customWidth="1"/>
    <col min="2" max="2" width="51.7109375" style="28" customWidth="1"/>
    <col min="3" max="3" width="17.42578125" style="28" customWidth="1"/>
    <col min="4" max="4" width="18.5703125" style="28" customWidth="1"/>
    <col min="5" max="5" width="17.28515625" style="1" customWidth="1"/>
    <col min="6" max="6" width="14.5703125" style="1" customWidth="1"/>
    <col min="7" max="7" width="14.28515625" style="1" customWidth="1"/>
    <col min="8" max="8" width="13.7109375" style="1" customWidth="1"/>
    <col min="9" max="9" width="14.42578125" style="1" customWidth="1"/>
    <col min="10" max="10" width="14.28515625" style="1" customWidth="1"/>
    <col min="11" max="11" width="16.7109375" style="1" customWidth="1"/>
    <col min="12" max="12" width="16" style="86" bestFit="1" customWidth="1"/>
    <col min="13" max="13" width="12.140625" style="1" bestFit="1" customWidth="1"/>
    <col min="14" max="16384" width="9.140625" style="1"/>
  </cols>
  <sheetData>
    <row r="1" spans="1:13" ht="16.5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07" t="s">
        <v>83</v>
      </c>
      <c r="L1" s="107"/>
    </row>
    <row r="2" spans="1:13" ht="16.5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07" t="s">
        <v>82</v>
      </c>
      <c r="L2" s="1"/>
    </row>
    <row r="3" spans="1:13" ht="16.5" x14ac:dyDescent="0.2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07" t="s">
        <v>80</v>
      </c>
      <c r="L3" s="107"/>
    </row>
    <row r="4" spans="1:13" ht="16.5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07" t="s">
        <v>81</v>
      </c>
      <c r="L4" s="107"/>
    </row>
    <row r="5" spans="1:13" ht="16.5" x14ac:dyDescent="0.25">
      <c r="A5" s="110"/>
      <c r="B5" s="110"/>
      <c r="C5" s="110"/>
      <c r="D5" s="110"/>
      <c r="E5" s="110"/>
      <c r="F5" s="110"/>
      <c r="G5" s="110"/>
      <c r="H5" s="110"/>
      <c r="I5" s="108" t="s">
        <v>2</v>
      </c>
      <c r="J5" s="109"/>
      <c r="K5" s="109"/>
      <c r="L5" s="1"/>
    </row>
    <row r="6" spans="1:13" ht="16.5" x14ac:dyDescent="0.25">
      <c r="A6" s="110"/>
      <c r="B6" s="110"/>
      <c r="C6" s="110"/>
      <c r="D6" s="110"/>
      <c r="E6" s="110"/>
      <c r="F6" s="110"/>
      <c r="G6" s="110"/>
      <c r="H6" s="110"/>
      <c r="I6" s="108"/>
      <c r="J6" s="109"/>
      <c r="K6" s="109"/>
      <c r="L6" s="1"/>
    </row>
    <row r="7" spans="1:13" ht="15.75" customHeight="1" x14ac:dyDescent="0.25">
      <c r="A7" s="113" t="s">
        <v>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3" ht="16.5" x14ac:dyDescent="0.25">
      <c r="A8" s="113" t="s">
        <v>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3" ht="16.5" x14ac:dyDescent="0.25">
      <c r="A9" s="113" t="s">
        <v>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0" spans="1:13" ht="15.75" x14ac:dyDescent="0.25">
      <c r="A10" s="2"/>
      <c r="B10" s="2"/>
      <c r="C10" s="2"/>
      <c r="D10" s="2"/>
      <c r="E10" s="3"/>
      <c r="F10" s="3"/>
      <c r="G10" s="2"/>
      <c r="H10" s="2"/>
      <c r="I10" s="2"/>
      <c r="J10" s="2"/>
      <c r="K10" s="2"/>
    </row>
    <row r="11" spans="1:13" ht="18.75" x14ac:dyDescent="0.3">
      <c r="A11" s="112" t="s">
        <v>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3" ht="18.75" x14ac:dyDescent="0.3">
      <c r="A12" s="112" t="s">
        <v>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3" ht="18.75" x14ac:dyDescent="0.3">
      <c r="A13" s="112" t="s">
        <v>5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3" ht="19.5" thickBot="1" x14ac:dyDescent="0.35">
      <c r="A14" s="5"/>
      <c r="B14" s="6"/>
      <c r="C14" s="5"/>
      <c r="D14" s="43"/>
      <c r="E14" s="5"/>
      <c r="F14" s="6"/>
      <c r="G14" s="5"/>
      <c r="H14" s="5"/>
      <c r="I14" s="5"/>
      <c r="J14" s="5"/>
      <c r="K14" s="4" t="s">
        <v>6</v>
      </c>
    </row>
    <row r="15" spans="1:13" s="10" customFormat="1" ht="32.25" thickBot="1" x14ac:dyDescent="0.3">
      <c r="A15" s="7" t="s">
        <v>7</v>
      </c>
      <c r="B15" s="8" t="s">
        <v>8</v>
      </c>
      <c r="C15" s="9" t="s">
        <v>9</v>
      </c>
      <c r="D15" s="9" t="s">
        <v>10</v>
      </c>
      <c r="E15" s="9" t="s">
        <v>11</v>
      </c>
      <c r="F15" s="9" t="s">
        <v>12</v>
      </c>
      <c r="G15" s="9" t="s">
        <v>13</v>
      </c>
      <c r="H15" s="9" t="s">
        <v>14</v>
      </c>
      <c r="I15" s="9" t="s">
        <v>15</v>
      </c>
      <c r="J15" s="9" t="s">
        <v>16</v>
      </c>
      <c r="K15" s="9" t="s">
        <v>17</v>
      </c>
      <c r="L15" s="85"/>
    </row>
    <row r="16" spans="1:13" s="10" customFormat="1" ht="16.5" thickBot="1" x14ac:dyDescent="0.3">
      <c r="A16" s="87">
        <v>1000000</v>
      </c>
      <c r="B16" s="41" t="s">
        <v>18</v>
      </c>
      <c r="C16" s="44">
        <f t="shared" ref="C16:K16" si="0">SUM(C17+C27+C34+C36+C45+C50)</f>
        <v>608784712</v>
      </c>
      <c r="D16" s="44">
        <f t="shared" si="0"/>
        <v>139059078</v>
      </c>
      <c r="E16" s="44">
        <f t="shared" si="0"/>
        <v>50682917</v>
      </c>
      <c r="F16" s="44">
        <f t="shared" si="0"/>
        <v>36277256</v>
      </c>
      <c r="G16" s="44">
        <f t="shared" si="0"/>
        <v>14503724</v>
      </c>
      <c r="H16" s="44">
        <f t="shared" si="0"/>
        <v>12619063</v>
      </c>
      <c r="I16" s="44">
        <f t="shared" si="0"/>
        <v>5795303</v>
      </c>
      <c r="J16" s="45">
        <f t="shared" si="0"/>
        <v>3711799</v>
      </c>
      <c r="K16" s="44">
        <f t="shared" si="0"/>
        <v>871433852</v>
      </c>
      <c r="L16" s="105"/>
      <c r="M16" s="106"/>
    </row>
    <row r="17" spans="1:13" s="10" customFormat="1" ht="15.75" x14ac:dyDescent="0.25">
      <c r="A17" s="88">
        <v>1010000</v>
      </c>
      <c r="B17" s="11" t="s">
        <v>19</v>
      </c>
      <c r="C17" s="46">
        <f>SUM(C18:C25)-C20</f>
        <v>361342922</v>
      </c>
      <c r="D17" s="46">
        <f t="shared" ref="D17:J17" si="1">SUM(D18:D25)-D20</f>
        <v>135342827</v>
      </c>
      <c r="E17" s="46">
        <f t="shared" si="1"/>
        <v>20927534</v>
      </c>
      <c r="F17" s="46">
        <f t="shared" si="1"/>
        <v>6885146</v>
      </c>
      <c r="G17" s="46">
        <f t="shared" si="1"/>
        <v>3251761</v>
      </c>
      <c r="H17" s="46">
        <f t="shared" si="1"/>
        <v>6113529</v>
      </c>
      <c r="I17" s="46">
        <f t="shared" si="1"/>
        <v>1943265</v>
      </c>
      <c r="J17" s="47">
        <f t="shared" si="1"/>
        <v>1386722</v>
      </c>
      <c r="K17" s="48">
        <f t="shared" ref="K17:K25" si="2">SUM(C17+D17+E17+F17+G17+H17+I17+J17)</f>
        <v>537193706</v>
      </c>
      <c r="L17" s="105"/>
      <c r="M17" s="106"/>
    </row>
    <row r="18" spans="1:13" s="10" customFormat="1" ht="21" customHeight="1" x14ac:dyDescent="0.25">
      <c r="A18" s="17">
        <v>1010100</v>
      </c>
      <c r="B18" s="12" t="s">
        <v>20</v>
      </c>
      <c r="C18" s="49">
        <v>0</v>
      </c>
      <c r="D18" s="49">
        <v>0</v>
      </c>
      <c r="E18" s="49">
        <v>0</v>
      </c>
      <c r="F18" s="50">
        <v>0</v>
      </c>
      <c r="G18" s="50">
        <v>0</v>
      </c>
      <c r="H18" s="49">
        <v>0</v>
      </c>
      <c r="I18" s="49">
        <v>0</v>
      </c>
      <c r="J18" s="51">
        <v>0</v>
      </c>
      <c r="K18" s="48">
        <f t="shared" si="2"/>
        <v>0</v>
      </c>
      <c r="L18" s="105"/>
      <c r="M18" s="106"/>
    </row>
    <row r="19" spans="1:13" s="10" customFormat="1" ht="37.5" customHeight="1" x14ac:dyDescent="0.25">
      <c r="A19" s="17">
        <v>1010200</v>
      </c>
      <c r="B19" s="12" t="s">
        <v>21</v>
      </c>
      <c r="C19" s="49">
        <f>200777316+C20-12132820</f>
        <v>303089610</v>
      </c>
      <c r="D19" s="49">
        <f>102670606+D20-6204307</f>
        <v>122997141</v>
      </c>
      <c r="E19" s="49">
        <f t="shared" ref="E19:J19" si="3">E20</f>
        <v>19537985</v>
      </c>
      <c r="F19" s="49">
        <f t="shared" si="3"/>
        <v>6252129</v>
      </c>
      <c r="G19" s="49">
        <f t="shared" si="3"/>
        <v>2834896</v>
      </c>
      <c r="H19" s="49">
        <f t="shared" si="3"/>
        <v>5480512</v>
      </c>
      <c r="I19" s="49">
        <f t="shared" si="3"/>
        <v>1773432</v>
      </c>
      <c r="J19" s="51">
        <f t="shared" si="3"/>
        <v>1108813</v>
      </c>
      <c r="K19" s="48">
        <f t="shared" si="2"/>
        <v>463074518</v>
      </c>
      <c r="L19" s="105"/>
      <c r="M19" s="106"/>
    </row>
    <row r="20" spans="1:13" s="10" customFormat="1" ht="40.5" customHeight="1" x14ac:dyDescent="0.25">
      <c r="A20" s="89">
        <v>1010290</v>
      </c>
      <c r="B20" s="13" t="s">
        <v>22</v>
      </c>
      <c r="C20" s="52">
        <f>126430480-4628630-7356736</f>
        <v>114445114</v>
      </c>
      <c r="D20" s="52">
        <f>28236292-1705450</f>
        <v>26530842</v>
      </c>
      <c r="E20" s="52">
        <f>16165291+4628630-1255936</f>
        <v>19537985</v>
      </c>
      <c r="F20" s="52">
        <f>9026882-2372855-401898</f>
        <v>6252129</v>
      </c>
      <c r="G20" s="52">
        <f>3017128-182232</f>
        <v>2834896</v>
      </c>
      <c r="H20" s="52">
        <f>5832809-352297</f>
        <v>5480512</v>
      </c>
      <c r="I20" s="52">
        <f>1887431-113999</f>
        <v>1773432</v>
      </c>
      <c r="J20" s="53">
        <f>1180090-71277</f>
        <v>1108813</v>
      </c>
      <c r="K20" s="54">
        <f t="shared" si="2"/>
        <v>177963723</v>
      </c>
      <c r="L20" s="105"/>
      <c r="M20" s="106"/>
    </row>
    <row r="21" spans="1:13" s="10" customFormat="1" ht="15.75" x14ac:dyDescent="0.25">
      <c r="A21" s="17">
        <v>1010400</v>
      </c>
      <c r="B21" s="18" t="s">
        <v>23</v>
      </c>
      <c r="C21" s="50">
        <f>3166800-356824</f>
        <v>2809976</v>
      </c>
      <c r="D21" s="50">
        <f>191400-21566</f>
        <v>169834</v>
      </c>
      <c r="E21" s="50">
        <f>1566000-176451</f>
        <v>1389549</v>
      </c>
      <c r="F21" s="50">
        <f>713400-80383</f>
        <v>633017</v>
      </c>
      <c r="G21" s="50">
        <f>469800-52935</f>
        <v>416865</v>
      </c>
      <c r="H21" s="50">
        <f>713400-80383</f>
        <v>633017</v>
      </c>
      <c r="I21" s="50">
        <f>191400-21567</f>
        <v>169833</v>
      </c>
      <c r="J21" s="55">
        <f>313200-35291</f>
        <v>277909</v>
      </c>
      <c r="K21" s="48">
        <f t="shared" si="2"/>
        <v>6500000</v>
      </c>
      <c r="L21" s="105"/>
      <c r="M21" s="106"/>
    </row>
    <row r="22" spans="1:13" s="10" customFormat="1" ht="49.5" customHeight="1" x14ac:dyDescent="0.25">
      <c r="A22" s="17">
        <v>1010500</v>
      </c>
      <c r="B22" s="15" t="s">
        <v>78</v>
      </c>
      <c r="C22" s="55"/>
      <c r="D22" s="50"/>
      <c r="E22" s="50"/>
      <c r="F22" s="50"/>
      <c r="G22" s="50"/>
      <c r="H22" s="50"/>
      <c r="I22" s="50"/>
      <c r="J22" s="55"/>
      <c r="K22" s="48">
        <f t="shared" si="2"/>
        <v>0</v>
      </c>
      <c r="L22" s="105"/>
      <c r="M22" s="106"/>
    </row>
    <row r="23" spans="1:13" s="10" customFormat="1" ht="67.5" customHeight="1" x14ac:dyDescent="0.25">
      <c r="A23" s="17">
        <v>1010600</v>
      </c>
      <c r="B23" s="111" t="s">
        <v>24</v>
      </c>
      <c r="C23" s="50">
        <f>7832701-978630</f>
        <v>6854071</v>
      </c>
      <c r="D23" s="50">
        <f>140682-17582</f>
        <v>123100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5">
        <v>0</v>
      </c>
      <c r="K23" s="48">
        <f t="shared" si="2"/>
        <v>6977171</v>
      </c>
      <c r="L23" s="105"/>
      <c r="M23" s="106"/>
    </row>
    <row r="24" spans="1:13" s="10" customFormat="1" ht="47.25" x14ac:dyDescent="0.25">
      <c r="A24" s="17">
        <v>1010601</v>
      </c>
      <c r="B24" s="12" t="s">
        <v>25</v>
      </c>
      <c r="C24" s="50">
        <f>4442794+1330085-721178</f>
        <v>5051701</v>
      </c>
      <c r="D24" s="50">
        <f>10829+57749-8132</f>
        <v>60446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5">
        <v>0</v>
      </c>
      <c r="K24" s="48">
        <f t="shared" si="2"/>
        <v>5112147</v>
      </c>
      <c r="L24" s="105"/>
      <c r="M24" s="106"/>
    </row>
    <row r="25" spans="1:13" s="10" customFormat="1" ht="15.75" x14ac:dyDescent="0.25">
      <c r="A25" s="17">
        <v>1010700</v>
      </c>
      <c r="B25" s="12" t="s">
        <v>26</v>
      </c>
      <c r="C25" s="49">
        <f>21561043+180629+5879+26030922+11268-4252177</f>
        <v>43537564</v>
      </c>
      <c r="D25" s="49">
        <f>15188947+131885+12225-2167759+2976-1175968</f>
        <v>11992306</v>
      </c>
      <c r="E25" s="49">
        <v>0</v>
      </c>
      <c r="F25" s="49">
        <v>0</v>
      </c>
      <c r="G25" s="50">
        <v>0</v>
      </c>
      <c r="H25" s="49">
        <v>0</v>
      </c>
      <c r="I25" s="49">
        <v>0</v>
      </c>
      <c r="J25" s="55">
        <v>0</v>
      </c>
      <c r="K25" s="48">
        <f t="shared" si="2"/>
        <v>55529870</v>
      </c>
      <c r="L25" s="105"/>
      <c r="M25" s="106"/>
    </row>
    <row r="26" spans="1:13" s="14" customFormat="1" ht="15.75" x14ac:dyDescent="0.25">
      <c r="A26" s="89"/>
      <c r="B26" s="12"/>
      <c r="C26" s="49"/>
      <c r="D26" s="49"/>
      <c r="E26" s="49"/>
      <c r="F26" s="49"/>
      <c r="G26" s="49"/>
      <c r="H26" s="49"/>
      <c r="I26" s="49"/>
      <c r="J26" s="51"/>
      <c r="K26" s="48"/>
      <c r="L26" s="105"/>
      <c r="M26" s="106"/>
    </row>
    <row r="27" spans="1:13" s="10" customFormat="1" ht="31.5" x14ac:dyDescent="0.25">
      <c r="A27" s="17">
        <v>1020000</v>
      </c>
      <c r="B27" s="12" t="s">
        <v>27</v>
      </c>
      <c r="C27" s="49">
        <f t="shared" ref="C27:J27" si="4">SUM(C28:C32)</f>
        <v>161632963</v>
      </c>
      <c r="D27" s="49">
        <f t="shared" si="4"/>
        <v>118923</v>
      </c>
      <c r="E27" s="49">
        <f t="shared" si="4"/>
        <v>16137479</v>
      </c>
      <c r="F27" s="49">
        <f t="shared" si="4"/>
        <v>5050503</v>
      </c>
      <c r="G27" s="49">
        <f t="shared" si="4"/>
        <v>6372190</v>
      </c>
      <c r="H27" s="49">
        <f t="shared" si="4"/>
        <v>157684</v>
      </c>
      <c r="I27" s="49">
        <f t="shared" si="4"/>
        <v>33408</v>
      </c>
      <c r="J27" s="51">
        <f t="shared" si="4"/>
        <v>141083</v>
      </c>
      <c r="K27" s="48">
        <f t="shared" ref="K27:K32" si="5">SUM(C27+D27+E27+F27+G27+H27+I27+J27)</f>
        <v>189644233</v>
      </c>
      <c r="L27" s="105"/>
      <c r="M27" s="106"/>
    </row>
    <row r="28" spans="1:13" s="10" customFormat="1" ht="15.75" x14ac:dyDescent="0.25">
      <c r="A28" s="17">
        <v>1020100</v>
      </c>
      <c r="B28" s="12" t="s">
        <v>28</v>
      </c>
      <c r="C28" s="49">
        <v>0</v>
      </c>
      <c r="D28" s="49">
        <v>0</v>
      </c>
      <c r="E28" s="50">
        <v>0</v>
      </c>
      <c r="F28" s="50">
        <v>0</v>
      </c>
      <c r="G28" s="50">
        <v>0</v>
      </c>
      <c r="H28" s="49">
        <v>0</v>
      </c>
      <c r="I28" s="49">
        <v>0</v>
      </c>
      <c r="J28" s="51">
        <v>0</v>
      </c>
      <c r="K28" s="48">
        <f t="shared" si="5"/>
        <v>0</v>
      </c>
      <c r="L28" s="105"/>
      <c r="M28" s="106"/>
    </row>
    <row r="29" spans="1:13" s="10" customFormat="1" ht="31.5" x14ac:dyDescent="0.25">
      <c r="A29" s="17">
        <v>1020200</v>
      </c>
      <c r="B29" s="12" t="s">
        <v>29</v>
      </c>
      <c r="C29" s="49">
        <f>29397260-773253</f>
        <v>28624007</v>
      </c>
      <c r="D29" s="49">
        <v>0</v>
      </c>
      <c r="E29" s="49">
        <f>12580105-330902</f>
        <v>12249203</v>
      </c>
      <c r="F29" s="49">
        <f>130268-3427</f>
        <v>126841</v>
      </c>
      <c r="G29" s="49">
        <f>3950429-103911</f>
        <v>3846518</v>
      </c>
      <c r="H29" s="50">
        <f>20434-537</f>
        <v>19897</v>
      </c>
      <c r="I29" s="49">
        <v>0</v>
      </c>
      <c r="J29" s="51">
        <f>74766-1967</f>
        <v>72799</v>
      </c>
      <c r="K29" s="48">
        <f t="shared" si="5"/>
        <v>44939265</v>
      </c>
      <c r="L29" s="105"/>
      <c r="M29" s="106"/>
    </row>
    <row r="30" spans="1:13" s="14" customFormat="1" ht="31.5" x14ac:dyDescent="0.25">
      <c r="A30" s="17">
        <v>1020300</v>
      </c>
      <c r="B30" s="12" t="s">
        <v>30</v>
      </c>
      <c r="C30" s="49">
        <f>152030508-21180554</f>
        <v>130849954</v>
      </c>
      <c r="D30" s="49">
        <v>0</v>
      </c>
      <c r="E30" s="49">
        <f>4218028-587646</f>
        <v>3630382</v>
      </c>
      <c r="F30" s="49">
        <f>5497995-765969</f>
        <v>4732026</v>
      </c>
      <c r="G30" s="49">
        <f>2798537-389886</f>
        <v>2408651</v>
      </c>
      <c r="H30" s="49">
        <v>0</v>
      </c>
      <c r="I30" s="49">
        <v>0</v>
      </c>
      <c r="J30" s="51">
        <v>0</v>
      </c>
      <c r="K30" s="48">
        <f t="shared" si="5"/>
        <v>141621013</v>
      </c>
      <c r="L30" s="105"/>
      <c r="M30" s="106"/>
    </row>
    <row r="31" spans="1:13" s="10" customFormat="1" ht="31.5" x14ac:dyDescent="0.25">
      <c r="A31" s="17">
        <v>1020400</v>
      </c>
      <c r="B31" s="15" t="s">
        <v>31</v>
      </c>
      <c r="C31" s="49">
        <f>5942509-5239286-80563</f>
        <v>622660</v>
      </c>
      <c r="D31" s="49">
        <v>0</v>
      </c>
      <c r="E31" s="49">
        <v>0</v>
      </c>
      <c r="F31" s="49">
        <v>0</v>
      </c>
      <c r="G31" s="49">
        <f>54067-6194</f>
        <v>47873</v>
      </c>
      <c r="H31" s="49">
        <f>288574-284107-512</f>
        <v>3955</v>
      </c>
      <c r="I31" s="49">
        <v>0</v>
      </c>
      <c r="J31" s="51">
        <f>85-9</f>
        <v>76</v>
      </c>
      <c r="K31" s="48">
        <f t="shared" si="5"/>
        <v>674564</v>
      </c>
      <c r="L31" s="105"/>
      <c r="M31" s="106"/>
    </row>
    <row r="32" spans="1:13" s="10" customFormat="1" ht="15.75" x14ac:dyDescent="0.25">
      <c r="A32" s="17">
        <v>1020500</v>
      </c>
      <c r="B32" s="12" t="s">
        <v>32</v>
      </c>
      <c r="C32" s="49">
        <v>1536342</v>
      </c>
      <c r="D32" s="49">
        <v>118923</v>
      </c>
      <c r="E32" s="49">
        <v>257894</v>
      </c>
      <c r="F32" s="49">
        <v>191636</v>
      </c>
      <c r="G32" s="49">
        <v>69148</v>
      </c>
      <c r="H32" s="49">
        <v>133832</v>
      </c>
      <c r="I32" s="49">
        <v>33408</v>
      </c>
      <c r="J32" s="55">
        <v>68208</v>
      </c>
      <c r="K32" s="48">
        <f t="shared" si="5"/>
        <v>2409391</v>
      </c>
      <c r="L32" s="105"/>
      <c r="M32" s="106"/>
    </row>
    <row r="33" spans="1:13" s="10" customFormat="1" ht="15.75" x14ac:dyDescent="0.25">
      <c r="A33" s="17"/>
      <c r="B33" s="12"/>
      <c r="C33" s="49"/>
      <c r="D33" s="49"/>
      <c r="E33" s="49"/>
      <c r="F33" s="49"/>
      <c r="G33" s="49"/>
      <c r="H33" s="49"/>
      <c r="I33" s="49"/>
      <c r="J33" s="51"/>
      <c r="K33" s="48"/>
      <c r="L33" s="105"/>
      <c r="M33" s="106"/>
    </row>
    <row r="34" spans="1:13" s="10" customFormat="1" ht="15.75" x14ac:dyDescent="0.25">
      <c r="A34" s="17">
        <v>1040000</v>
      </c>
      <c r="B34" s="12" t="s">
        <v>33</v>
      </c>
      <c r="C34" s="50">
        <v>0</v>
      </c>
      <c r="D34" s="50">
        <v>0</v>
      </c>
      <c r="E34" s="50">
        <v>0</v>
      </c>
      <c r="F34" s="49">
        <v>0</v>
      </c>
      <c r="G34" s="49">
        <v>0</v>
      </c>
      <c r="H34" s="49">
        <v>0</v>
      </c>
      <c r="I34" s="49">
        <v>0</v>
      </c>
      <c r="J34" s="51">
        <v>0</v>
      </c>
      <c r="K34" s="48">
        <f>SUM(C34+D34+E34+F34+G34+H34+I34+J34)</f>
        <v>0</v>
      </c>
      <c r="L34" s="105"/>
      <c r="M34" s="106"/>
    </row>
    <row r="35" spans="1:13" s="10" customFormat="1" ht="15.75" x14ac:dyDescent="0.25">
      <c r="A35" s="89"/>
      <c r="B35" s="13"/>
      <c r="C35" s="49"/>
      <c r="D35" s="49"/>
      <c r="E35" s="49"/>
      <c r="F35" s="49"/>
      <c r="G35" s="49"/>
      <c r="H35" s="49"/>
      <c r="I35" s="49"/>
      <c r="J35" s="51"/>
      <c r="K35" s="48"/>
      <c r="L35" s="105"/>
      <c r="M35" s="106"/>
    </row>
    <row r="36" spans="1:13" s="10" customFormat="1" ht="31.5" x14ac:dyDescent="0.25">
      <c r="A36" s="17">
        <v>1050000</v>
      </c>
      <c r="B36" s="12" t="s">
        <v>34</v>
      </c>
      <c r="C36" s="50">
        <f>11732721+62996-1063487</f>
        <v>10732230</v>
      </c>
      <c r="D36" s="50">
        <f>3317920-3449</f>
        <v>3314471</v>
      </c>
      <c r="E36" s="50">
        <f>2212109+1232-142651</f>
        <v>2070690</v>
      </c>
      <c r="F36" s="50">
        <f>20871659-1232596-819086</f>
        <v>18819977</v>
      </c>
      <c r="G36" s="50">
        <f>1175851-41401</f>
        <v>1134450</v>
      </c>
      <c r="H36" s="50">
        <f>3022046-714956-146359</f>
        <v>2160731</v>
      </c>
      <c r="I36" s="50">
        <f>3749816-1005435-79666</f>
        <v>2664715</v>
      </c>
      <c r="J36" s="55">
        <f>1250848-478904-6815</f>
        <v>765129</v>
      </c>
      <c r="K36" s="48">
        <f t="shared" ref="K36:K43" si="6">SUM(C36+D36+E36+F36+G36+H36+I36+J36)</f>
        <v>41662393</v>
      </c>
      <c r="L36" s="105"/>
      <c r="M36" s="106"/>
    </row>
    <row r="37" spans="1:13" s="10" customFormat="1" ht="15.75" x14ac:dyDescent="0.25">
      <c r="A37" s="17">
        <v>1050100</v>
      </c>
      <c r="B37" s="12" t="s">
        <v>35</v>
      </c>
      <c r="C37" s="49">
        <f>SUM(C38:C39)</f>
        <v>2891734</v>
      </c>
      <c r="D37" s="49">
        <f t="shared" ref="D37:J37" si="7">SUM(D38:D39)</f>
        <v>27569</v>
      </c>
      <c r="E37" s="49">
        <f t="shared" si="7"/>
        <v>0</v>
      </c>
      <c r="F37" s="49">
        <f t="shared" si="7"/>
        <v>0</v>
      </c>
      <c r="G37" s="49">
        <f t="shared" si="7"/>
        <v>0</v>
      </c>
      <c r="H37" s="49">
        <f t="shared" si="7"/>
        <v>0</v>
      </c>
      <c r="I37" s="49">
        <f t="shared" si="7"/>
        <v>0</v>
      </c>
      <c r="J37" s="51">
        <f t="shared" si="7"/>
        <v>0</v>
      </c>
      <c r="K37" s="48">
        <f t="shared" si="6"/>
        <v>2919303</v>
      </c>
      <c r="L37" s="105"/>
      <c r="M37" s="106"/>
    </row>
    <row r="38" spans="1:13" s="10" customFormat="1" ht="31.5" x14ac:dyDescent="0.25">
      <c r="A38" s="89">
        <v>1050101</v>
      </c>
      <c r="B38" s="13" t="s">
        <v>36</v>
      </c>
      <c r="C38" s="54">
        <f>178853-49972</f>
        <v>128881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6">
        <v>0</v>
      </c>
      <c r="K38" s="54">
        <f t="shared" si="6"/>
        <v>128881</v>
      </c>
      <c r="L38" s="105"/>
      <c r="M38" s="106"/>
    </row>
    <row r="39" spans="1:13" s="10" customFormat="1" ht="31.5" x14ac:dyDescent="0.25">
      <c r="A39" s="89">
        <v>1050102</v>
      </c>
      <c r="B39" s="13" t="s">
        <v>37</v>
      </c>
      <c r="C39" s="52">
        <f>3108487-345634</f>
        <v>2762853</v>
      </c>
      <c r="D39" s="52">
        <f>31018-3449</f>
        <v>27569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3">
        <v>0</v>
      </c>
      <c r="K39" s="54">
        <f t="shared" si="6"/>
        <v>2790422</v>
      </c>
      <c r="L39" s="105"/>
      <c r="M39" s="106"/>
    </row>
    <row r="40" spans="1:13" s="10" customFormat="1" ht="47.25" x14ac:dyDescent="0.25">
      <c r="A40" s="17">
        <v>1050200</v>
      </c>
      <c r="B40" s="12" t="s">
        <v>38</v>
      </c>
      <c r="C40" s="50">
        <v>7051533</v>
      </c>
      <c r="D40" s="50">
        <v>3286902</v>
      </c>
      <c r="E40" s="50">
        <v>1682700</v>
      </c>
      <c r="F40" s="50">
        <v>1483527</v>
      </c>
      <c r="G40" s="50">
        <v>13914</v>
      </c>
      <c r="H40" s="50">
        <v>295504</v>
      </c>
      <c r="I40" s="50">
        <v>96005</v>
      </c>
      <c r="J40" s="55">
        <v>604887</v>
      </c>
      <c r="K40" s="48">
        <f t="shared" si="6"/>
        <v>14514972</v>
      </c>
      <c r="L40" s="105"/>
      <c r="M40" s="106"/>
    </row>
    <row r="41" spans="1:13" s="10" customFormat="1" ht="63" x14ac:dyDescent="0.25">
      <c r="A41" s="17">
        <v>1050400</v>
      </c>
      <c r="B41" s="12" t="s">
        <v>39</v>
      </c>
      <c r="C41" s="50">
        <v>0</v>
      </c>
      <c r="D41" s="50">
        <v>0</v>
      </c>
      <c r="E41" s="49">
        <v>224854</v>
      </c>
      <c r="F41" s="49">
        <v>10990697</v>
      </c>
      <c r="G41" s="50">
        <v>775416</v>
      </c>
      <c r="H41" s="49">
        <v>672977</v>
      </c>
      <c r="I41" s="49">
        <v>1929754</v>
      </c>
      <c r="J41" s="51">
        <v>97044</v>
      </c>
      <c r="K41" s="48">
        <f t="shared" si="6"/>
        <v>14690742</v>
      </c>
      <c r="L41" s="105"/>
      <c r="M41" s="106"/>
    </row>
    <row r="42" spans="1:13" s="14" customFormat="1" ht="31.5" x14ac:dyDescent="0.25">
      <c r="A42" s="17">
        <v>1051100</v>
      </c>
      <c r="B42" s="12" t="s">
        <v>40</v>
      </c>
      <c r="C42" s="50">
        <f>1133040-667881</f>
        <v>465159</v>
      </c>
      <c r="D42" s="50">
        <v>0</v>
      </c>
      <c r="E42" s="50">
        <f>227355-134016</f>
        <v>93339</v>
      </c>
      <c r="F42" s="50">
        <v>0</v>
      </c>
      <c r="G42" s="50">
        <v>0</v>
      </c>
      <c r="H42" s="50">
        <v>0</v>
      </c>
      <c r="I42" s="50">
        <v>0</v>
      </c>
      <c r="J42" s="55">
        <v>0</v>
      </c>
      <c r="K42" s="48">
        <f t="shared" si="6"/>
        <v>558498</v>
      </c>
      <c r="L42" s="105"/>
      <c r="M42" s="106"/>
    </row>
    <row r="43" spans="1:13" s="14" customFormat="1" ht="31.5" x14ac:dyDescent="0.25">
      <c r="A43" s="17">
        <v>1051200</v>
      </c>
      <c r="B43" s="12" t="s">
        <v>41</v>
      </c>
      <c r="C43" s="50">
        <v>0</v>
      </c>
      <c r="D43" s="50">
        <v>0</v>
      </c>
      <c r="E43" s="50">
        <f>75344-8634</f>
        <v>66710</v>
      </c>
      <c r="F43" s="50">
        <f>7147797-819086</f>
        <v>6328711</v>
      </c>
      <c r="G43" s="50">
        <f>361291-41401</f>
        <v>319890</v>
      </c>
      <c r="H43" s="50">
        <f>1277204-146358</f>
        <v>1130846</v>
      </c>
      <c r="I43" s="50">
        <f>695208-79666</f>
        <v>615542</v>
      </c>
      <c r="J43" s="55">
        <f>59471-6815</f>
        <v>52656</v>
      </c>
      <c r="K43" s="48">
        <f t="shared" si="6"/>
        <v>8514355</v>
      </c>
      <c r="L43" s="105"/>
      <c r="M43" s="106"/>
    </row>
    <row r="44" spans="1:13" s="10" customFormat="1" ht="8.25" customHeight="1" x14ac:dyDescent="0.25">
      <c r="A44" s="89"/>
      <c r="B44" s="13"/>
      <c r="C44" s="57"/>
      <c r="D44" s="57"/>
      <c r="E44" s="57"/>
      <c r="F44" s="57"/>
      <c r="G44" s="57"/>
      <c r="H44" s="57"/>
      <c r="I44" s="57"/>
      <c r="J44" s="58"/>
      <c r="K44" s="48"/>
      <c r="L44" s="105"/>
      <c r="M44" s="106"/>
    </row>
    <row r="45" spans="1:13" s="10" customFormat="1" ht="31.5" x14ac:dyDescent="0.25">
      <c r="A45" s="17">
        <v>1060000</v>
      </c>
      <c r="B45" s="12" t="s">
        <v>42</v>
      </c>
      <c r="C45" s="49">
        <f>SUM(C46)</f>
        <v>63248102</v>
      </c>
      <c r="D45" s="49">
        <f t="shared" ref="D45:J45" si="8">SUM(D46)</f>
        <v>0</v>
      </c>
      <c r="E45" s="49">
        <f t="shared" si="8"/>
        <v>6660298</v>
      </c>
      <c r="F45" s="49">
        <f t="shared" si="8"/>
        <v>1151328</v>
      </c>
      <c r="G45" s="49">
        <f t="shared" si="8"/>
        <v>529030</v>
      </c>
      <c r="H45" s="49">
        <f t="shared" si="8"/>
        <v>997713</v>
      </c>
      <c r="I45" s="49">
        <f t="shared" si="8"/>
        <v>0</v>
      </c>
      <c r="J45" s="51">
        <f t="shared" si="8"/>
        <v>347049</v>
      </c>
      <c r="K45" s="48">
        <f>SUM(C45+D45+E45+F45+G45+H45+I45+J45)</f>
        <v>72933520</v>
      </c>
      <c r="L45" s="105"/>
      <c r="M45" s="106"/>
    </row>
    <row r="46" spans="1:13" s="10" customFormat="1" ht="15.75" x14ac:dyDescent="0.25">
      <c r="A46" s="17">
        <v>1060100</v>
      </c>
      <c r="B46" s="12" t="s">
        <v>43</v>
      </c>
      <c r="C46" s="49">
        <f t="shared" ref="C46:J46" si="9">SUM(C47:C48)</f>
        <v>63248102</v>
      </c>
      <c r="D46" s="49">
        <f t="shared" si="9"/>
        <v>0</v>
      </c>
      <c r="E46" s="49">
        <f t="shared" si="9"/>
        <v>6660298</v>
      </c>
      <c r="F46" s="49">
        <f t="shared" si="9"/>
        <v>1151328</v>
      </c>
      <c r="G46" s="49">
        <f t="shared" si="9"/>
        <v>529030</v>
      </c>
      <c r="H46" s="49">
        <f t="shared" si="9"/>
        <v>997713</v>
      </c>
      <c r="I46" s="49">
        <f t="shared" si="9"/>
        <v>0</v>
      </c>
      <c r="J46" s="51">
        <f t="shared" si="9"/>
        <v>347049</v>
      </c>
      <c r="K46" s="49">
        <f>SUM(K47:K48)</f>
        <v>72933520</v>
      </c>
      <c r="L46" s="105"/>
      <c r="M46" s="106"/>
    </row>
    <row r="47" spans="1:13" s="10" customFormat="1" ht="15.75" x14ac:dyDescent="0.25">
      <c r="A47" s="89">
        <v>1060101</v>
      </c>
      <c r="B47" s="13" t="s">
        <v>44</v>
      </c>
      <c r="C47" s="52">
        <f>59276867-369385-12370228-10501319+1244504</f>
        <v>37280439</v>
      </c>
      <c r="D47" s="52">
        <v>0</v>
      </c>
      <c r="E47" s="52">
        <f>10590047-65992-2209990-1876103+222336</f>
        <v>6660298</v>
      </c>
      <c r="F47" s="52">
        <f>1830642-11408-382029-324311+38434</f>
        <v>1151328</v>
      </c>
      <c r="G47" s="52">
        <f>841172-5242-175540-149020+17660</f>
        <v>529030</v>
      </c>
      <c r="H47" s="52">
        <f>1586390-9886-331057-281039+33305</f>
        <v>997713</v>
      </c>
      <c r="I47" s="52">
        <v>0</v>
      </c>
      <c r="J47" s="53">
        <f>551816-3438-115156-97758+11585</f>
        <v>347049</v>
      </c>
      <c r="K47" s="54">
        <f>SUM(C47:J47)</f>
        <v>46965857</v>
      </c>
      <c r="L47" s="105"/>
      <c r="M47" s="106"/>
    </row>
    <row r="48" spans="1:13" s="10" customFormat="1" ht="15.75" x14ac:dyDescent="0.25">
      <c r="A48" s="89">
        <v>1060102</v>
      </c>
      <c r="B48" s="13" t="s">
        <v>45</v>
      </c>
      <c r="C48" s="52">
        <f>14651798+1774226+26790813-17249174</f>
        <v>25967663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0</v>
      </c>
      <c r="K48" s="54">
        <f>SUM(C48+D48+E48+F48+G48+H48+I48+J48)</f>
        <v>25967663</v>
      </c>
      <c r="L48" s="105"/>
      <c r="M48" s="106"/>
    </row>
    <row r="49" spans="1:13" s="10" customFormat="1" ht="9.75" customHeight="1" x14ac:dyDescent="0.25">
      <c r="A49" s="17"/>
      <c r="B49" s="12"/>
      <c r="C49" s="57"/>
      <c r="D49" s="57"/>
      <c r="E49" s="57"/>
      <c r="F49" s="57"/>
      <c r="G49" s="57"/>
      <c r="H49" s="57"/>
      <c r="I49" s="57"/>
      <c r="J49" s="58"/>
      <c r="K49" s="48"/>
      <c r="L49" s="105"/>
      <c r="M49" s="106"/>
    </row>
    <row r="50" spans="1:13" s="10" customFormat="1" ht="15.75" x14ac:dyDescent="0.25">
      <c r="A50" s="17">
        <v>1400000</v>
      </c>
      <c r="B50" s="12" t="s">
        <v>46</v>
      </c>
      <c r="C50" s="49">
        <f>SUM(C51)</f>
        <v>11828495</v>
      </c>
      <c r="D50" s="49">
        <f t="shared" ref="D50:J50" si="10">SUM(D51)</f>
        <v>282857</v>
      </c>
      <c r="E50" s="50">
        <f t="shared" si="10"/>
        <v>4886916</v>
      </c>
      <c r="F50" s="50">
        <f t="shared" si="10"/>
        <v>4370302</v>
      </c>
      <c r="G50" s="50">
        <f t="shared" si="10"/>
        <v>3216293</v>
      </c>
      <c r="H50" s="50">
        <f t="shared" si="10"/>
        <v>3189406</v>
      </c>
      <c r="I50" s="50">
        <f t="shared" si="10"/>
        <v>1153915</v>
      </c>
      <c r="J50" s="55">
        <f t="shared" si="10"/>
        <v>1071816</v>
      </c>
      <c r="K50" s="48">
        <f>SUM(C50+D50+E50+F50+G50+H50+I50+J50)</f>
        <v>30000000</v>
      </c>
      <c r="L50" s="105"/>
      <c r="M50" s="106"/>
    </row>
    <row r="51" spans="1:13" s="10" customFormat="1" ht="15.75" x14ac:dyDescent="0.25">
      <c r="A51" s="17">
        <v>1400100</v>
      </c>
      <c r="B51" s="12" t="s">
        <v>47</v>
      </c>
      <c r="C51" s="57">
        <f>12290038-461543</f>
        <v>11828495</v>
      </c>
      <c r="D51" s="57">
        <f>293896-11039</f>
        <v>282857</v>
      </c>
      <c r="E51" s="57">
        <f>5077601-190685</f>
        <v>4886916</v>
      </c>
      <c r="F51" s="52">
        <f>4540829-170527</f>
        <v>4370302</v>
      </c>
      <c r="G51" s="57">
        <f>3341792-125499</f>
        <v>3216293</v>
      </c>
      <c r="H51" s="57">
        <f>3313855-124449</f>
        <v>3189406</v>
      </c>
      <c r="I51" s="57">
        <f>1198939-45024</f>
        <v>1153915</v>
      </c>
      <c r="J51" s="58">
        <f>1113638-41822</f>
        <v>1071816</v>
      </c>
      <c r="K51" s="54">
        <f>SUM(C51+D51+E51+F51+G51+H51+I51+J51)</f>
        <v>30000000</v>
      </c>
      <c r="L51" s="105"/>
      <c r="M51" s="106"/>
    </row>
    <row r="52" spans="1:13" s="10" customFormat="1" ht="7.5" customHeight="1" thickBot="1" x14ac:dyDescent="0.3">
      <c r="A52" s="90"/>
      <c r="B52" s="16"/>
      <c r="C52" s="59"/>
      <c r="D52" s="59"/>
      <c r="E52" s="59"/>
      <c r="F52" s="59"/>
      <c r="G52" s="59"/>
      <c r="H52" s="59"/>
      <c r="I52" s="59"/>
      <c r="J52" s="60"/>
      <c r="K52" s="61"/>
      <c r="L52" s="105"/>
      <c r="M52" s="106"/>
    </row>
    <row r="53" spans="1:13" s="10" customFormat="1" ht="16.5" thickBot="1" x14ac:dyDescent="0.3">
      <c r="A53" s="91">
        <v>2000000</v>
      </c>
      <c r="B53" s="42" t="s">
        <v>48</v>
      </c>
      <c r="C53" s="62">
        <f>C54+C62+C65+C67+C69+C71</f>
        <v>57293058</v>
      </c>
      <c r="D53" s="62">
        <f t="shared" ref="D53:J53" si="11">D54+D62+D65+D67+D69+D71</f>
        <v>65824</v>
      </c>
      <c r="E53" s="62">
        <f t="shared" si="11"/>
        <v>7255935</v>
      </c>
      <c r="F53" s="62">
        <f t="shared" si="11"/>
        <v>3188068</v>
      </c>
      <c r="G53" s="62">
        <f t="shared" si="11"/>
        <v>2159933</v>
      </c>
      <c r="H53" s="62">
        <f t="shared" si="11"/>
        <v>1701969</v>
      </c>
      <c r="I53" s="62">
        <f t="shared" si="11"/>
        <v>1116275</v>
      </c>
      <c r="J53" s="63">
        <f t="shared" si="11"/>
        <v>1183001</v>
      </c>
      <c r="K53" s="62">
        <f>K54+K62+K65+K67+K69+K71</f>
        <v>73964063</v>
      </c>
      <c r="L53" s="105"/>
      <c r="M53" s="106"/>
    </row>
    <row r="54" spans="1:13" s="10" customFormat="1" ht="47.25" x14ac:dyDescent="0.25">
      <c r="A54" s="88">
        <v>2010000</v>
      </c>
      <c r="B54" s="12" t="s">
        <v>49</v>
      </c>
      <c r="C54" s="50">
        <v>22166337</v>
      </c>
      <c r="D54" s="50">
        <v>16761</v>
      </c>
      <c r="E54" s="50">
        <v>1368328</v>
      </c>
      <c r="F54" s="50">
        <v>377668</v>
      </c>
      <c r="G54" s="49">
        <v>333571</v>
      </c>
      <c r="H54" s="64">
        <v>266885</v>
      </c>
      <c r="I54" s="49">
        <v>127624</v>
      </c>
      <c r="J54" s="51">
        <v>354644</v>
      </c>
      <c r="K54" s="48">
        <f t="shared" ref="K54:K65" si="12">SUM(C54+D54+E54+F54+G54+H54+I54+J54)</f>
        <v>25011818</v>
      </c>
      <c r="L54" s="105"/>
      <c r="M54" s="106"/>
    </row>
    <row r="55" spans="1:13" s="10" customFormat="1" ht="47.25" x14ac:dyDescent="0.25">
      <c r="A55" s="17">
        <v>2010200</v>
      </c>
      <c r="B55" s="12" t="s">
        <v>50</v>
      </c>
      <c r="C55" s="49">
        <v>2027890</v>
      </c>
      <c r="D55" s="49">
        <v>16761</v>
      </c>
      <c r="E55" s="49">
        <v>130253</v>
      </c>
      <c r="F55" s="49">
        <v>265200</v>
      </c>
      <c r="G55" s="50">
        <v>28841</v>
      </c>
      <c r="H55" s="50">
        <v>171671</v>
      </c>
      <c r="I55" s="50">
        <v>63569</v>
      </c>
      <c r="J55" s="51">
        <v>15938</v>
      </c>
      <c r="K55" s="48">
        <f t="shared" si="12"/>
        <v>2720123</v>
      </c>
      <c r="L55" s="105"/>
      <c r="M55" s="106"/>
    </row>
    <row r="56" spans="1:13" s="10" customFormat="1" ht="31.5" x14ac:dyDescent="0.25">
      <c r="A56" s="17">
        <v>2010300</v>
      </c>
      <c r="B56" s="12" t="s">
        <v>51</v>
      </c>
      <c r="C56" s="50">
        <v>5223692</v>
      </c>
      <c r="D56" s="50">
        <v>0</v>
      </c>
      <c r="E56" s="50">
        <v>0</v>
      </c>
      <c r="F56" s="50">
        <v>0</v>
      </c>
      <c r="G56" s="50">
        <v>0</v>
      </c>
      <c r="H56" s="49">
        <v>0</v>
      </c>
      <c r="I56" s="49">
        <v>0</v>
      </c>
      <c r="J56" s="51">
        <v>0</v>
      </c>
      <c r="K56" s="48">
        <f t="shared" si="12"/>
        <v>5223692</v>
      </c>
      <c r="L56" s="105"/>
      <c r="M56" s="106"/>
    </row>
    <row r="57" spans="1:13" s="10" customFormat="1" ht="31.5" x14ac:dyDescent="0.25">
      <c r="A57" s="17">
        <v>2010400</v>
      </c>
      <c r="B57" s="12" t="s">
        <v>52</v>
      </c>
      <c r="C57" s="48">
        <v>0</v>
      </c>
      <c r="D57" s="48">
        <v>0</v>
      </c>
      <c r="E57" s="50">
        <v>0</v>
      </c>
      <c r="F57" s="50">
        <v>0</v>
      </c>
      <c r="G57" s="50">
        <v>0</v>
      </c>
      <c r="H57" s="49">
        <v>0</v>
      </c>
      <c r="I57" s="49">
        <v>0</v>
      </c>
      <c r="J57" s="51">
        <v>0</v>
      </c>
      <c r="K57" s="48">
        <f t="shared" si="12"/>
        <v>0</v>
      </c>
      <c r="L57" s="105"/>
      <c r="M57" s="106"/>
    </row>
    <row r="58" spans="1:13" s="10" customFormat="1" ht="31.5" x14ac:dyDescent="0.25">
      <c r="A58" s="17">
        <v>2010500</v>
      </c>
      <c r="B58" s="12" t="s">
        <v>53</v>
      </c>
      <c r="C58" s="50">
        <v>4980</v>
      </c>
      <c r="D58" s="50">
        <v>0</v>
      </c>
      <c r="E58" s="50">
        <v>5838</v>
      </c>
      <c r="F58" s="50">
        <v>1730</v>
      </c>
      <c r="G58" s="50">
        <v>0</v>
      </c>
      <c r="H58" s="49">
        <v>5550</v>
      </c>
      <c r="I58" s="49">
        <v>5666</v>
      </c>
      <c r="J58" s="51">
        <v>0</v>
      </c>
      <c r="K58" s="48">
        <f t="shared" si="12"/>
        <v>23764</v>
      </c>
      <c r="L58" s="105"/>
      <c r="M58" s="106"/>
    </row>
    <row r="59" spans="1:13" s="10" customFormat="1" ht="31.5" x14ac:dyDescent="0.25">
      <c r="A59" s="17">
        <v>2010900</v>
      </c>
      <c r="B59" s="12" t="s">
        <v>54</v>
      </c>
      <c r="C59" s="50">
        <v>3984257</v>
      </c>
      <c r="D59" s="50">
        <v>0</v>
      </c>
      <c r="E59" s="50">
        <v>1150850</v>
      </c>
      <c r="F59" s="50">
        <v>42560</v>
      </c>
      <c r="G59" s="50">
        <v>233695</v>
      </c>
      <c r="H59" s="49">
        <v>66500</v>
      </c>
      <c r="I59" s="50">
        <v>56845</v>
      </c>
      <c r="J59" s="55">
        <v>332500</v>
      </c>
      <c r="K59" s="48">
        <f t="shared" si="12"/>
        <v>5867207</v>
      </c>
      <c r="L59" s="105"/>
      <c r="M59" s="106"/>
    </row>
    <row r="60" spans="1:13" s="10" customFormat="1" ht="31.5" x14ac:dyDescent="0.25">
      <c r="A60" s="17">
        <v>2011000</v>
      </c>
      <c r="B60" s="12" t="s">
        <v>55</v>
      </c>
      <c r="C60" s="50">
        <v>10000000</v>
      </c>
      <c r="D60" s="50">
        <v>0</v>
      </c>
      <c r="E60" s="49">
        <v>0</v>
      </c>
      <c r="F60" s="49">
        <v>0</v>
      </c>
      <c r="G60" s="49">
        <v>0</v>
      </c>
      <c r="H60" s="65">
        <v>0</v>
      </c>
      <c r="I60" s="49">
        <v>0</v>
      </c>
      <c r="J60" s="51">
        <v>0</v>
      </c>
      <c r="K60" s="48">
        <f t="shared" si="12"/>
        <v>10000000</v>
      </c>
      <c r="L60" s="105"/>
      <c r="M60" s="106"/>
    </row>
    <row r="61" spans="1:13" s="10" customFormat="1" ht="6.75" customHeight="1" x14ac:dyDescent="0.25">
      <c r="A61" s="17"/>
      <c r="B61" s="12"/>
      <c r="C61" s="49"/>
      <c r="D61" s="49"/>
      <c r="E61" s="49"/>
      <c r="F61" s="49"/>
      <c r="G61" s="49"/>
      <c r="H61" s="49"/>
      <c r="I61" s="49"/>
      <c r="J61" s="51"/>
      <c r="K61" s="50">
        <f t="shared" si="12"/>
        <v>0</v>
      </c>
      <c r="L61" s="105"/>
      <c r="M61" s="106"/>
    </row>
    <row r="62" spans="1:13" s="10" customFormat="1" ht="47.25" x14ac:dyDescent="0.25">
      <c r="A62" s="17">
        <v>2020000</v>
      </c>
      <c r="B62" s="12" t="s">
        <v>56</v>
      </c>
      <c r="C62" s="49">
        <f>3208556+16873262+1160000+88693</f>
        <v>21330511</v>
      </c>
      <c r="D62" s="49">
        <v>2209</v>
      </c>
      <c r="E62" s="50">
        <v>120364</v>
      </c>
      <c r="F62" s="49">
        <v>87020</v>
      </c>
      <c r="G62" s="49">
        <v>84050</v>
      </c>
      <c r="H62" s="49">
        <v>61843</v>
      </c>
      <c r="I62" s="49">
        <v>49888</v>
      </c>
      <c r="J62" s="51">
        <v>6614</v>
      </c>
      <c r="K62" s="48">
        <f t="shared" si="12"/>
        <v>21742499</v>
      </c>
      <c r="L62" s="105"/>
      <c r="M62" s="106"/>
    </row>
    <row r="63" spans="1:13" s="10" customFormat="1" ht="34.5" customHeight="1" x14ac:dyDescent="0.25">
      <c r="A63" s="89">
        <v>2020100</v>
      </c>
      <c r="B63" s="13" t="s">
        <v>57</v>
      </c>
      <c r="C63" s="52">
        <f>1500000+1160000+88693</f>
        <v>2748693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66">
        <v>0</v>
      </c>
      <c r="K63" s="54">
        <f t="shared" si="12"/>
        <v>2748693</v>
      </c>
      <c r="L63" s="105"/>
      <c r="M63" s="106"/>
    </row>
    <row r="64" spans="1:13" s="10" customFormat="1" ht="9.75" customHeight="1" x14ac:dyDescent="0.25">
      <c r="A64" s="89"/>
      <c r="B64" s="13"/>
      <c r="C64" s="57"/>
      <c r="D64" s="57"/>
      <c r="E64" s="57"/>
      <c r="F64" s="57"/>
      <c r="G64" s="57"/>
      <c r="H64" s="57"/>
      <c r="I64" s="57"/>
      <c r="J64" s="58"/>
      <c r="K64" s="48">
        <f t="shared" si="12"/>
        <v>0</v>
      </c>
      <c r="L64" s="105"/>
      <c r="M64" s="106"/>
    </row>
    <row r="65" spans="1:13" s="10" customFormat="1" ht="15.75" x14ac:dyDescent="0.25">
      <c r="A65" s="92">
        <v>2060000</v>
      </c>
      <c r="B65" s="12" t="s">
        <v>58</v>
      </c>
      <c r="C65" s="49">
        <v>3423125</v>
      </c>
      <c r="D65" s="49">
        <v>44212</v>
      </c>
      <c r="E65" s="49">
        <v>772541</v>
      </c>
      <c r="F65" s="49">
        <v>674264</v>
      </c>
      <c r="G65" s="49">
        <v>462230</v>
      </c>
      <c r="H65" s="49">
        <v>492210</v>
      </c>
      <c r="I65" s="49">
        <v>240584</v>
      </c>
      <c r="J65" s="51">
        <v>200138</v>
      </c>
      <c r="K65" s="48">
        <f t="shared" si="12"/>
        <v>6309304</v>
      </c>
      <c r="L65" s="105"/>
      <c r="M65" s="106"/>
    </row>
    <row r="66" spans="1:13" s="10" customFormat="1" ht="9.75" customHeight="1" x14ac:dyDescent="0.25">
      <c r="A66" s="93"/>
      <c r="B66" s="13"/>
      <c r="C66" s="57"/>
      <c r="D66" s="57"/>
      <c r="E66" s="57"/>
      <c r="F66" s="57"/>
      <c r="G66" s="57"/>
      <c r="H66" s="57"/>
      <c r="I66" s="57"/>
      <c r="J66" s="58"/>
      <c r="K66" s="48"/>
      <c r="L66" s="105"/>
      <c r="M66" s="106"/>
    </row>
    <row r="67" spans="1:13" s="10" customFormat="1" ht="15.75" x14ac:dyDescent="0.25">
      <c r="A67" s="92">
        <v>2070000</v>
      </c>
      <c r="B67" s="12" t="s">
        <v>59</v>
      </c>
      <c r="C67" s="49">
        <v>9956894</v>
      </c>
      <c r="D67" s="49">
        <v>2642</v>
      </c>
      <c r="E67" s="49">
        <v>4252157</v>
      </c>
      <c r="F67" s="49">
        <v>1837257</v>
      </c>
      <c r="G67" s="49">
        <v>952684</v>
      </c>
      <c r="H67" s="49">
        <v>881031</v>
      </c>
      <c r="I67" s="49">
        <v>698179</v>
      </c>
      <c r="J67" s="51">
        <v>514553</v>
      </c>
      <c r="K67" s="48">
        <f>SUM(C67+D67+E67+F67+G67+H67+I67+J67)</f>
        <v>19095397</v>
      </c>
      <c r="L67" s="105"/>
      <c r="M67" s="106"/>
    </row>
    <row r="68" spans="1:13" s="10" customFormat="1" ht="15.75" x14ac:dyDescent="0.25">
      <c r="A68" s="93"/>
      <c r="B68" s="13"/>
      <c r="C68" s="49"/>
      <c r="D68" s="57"/>
      <c r="E68" s="57"/>
      <c r="F68" s="57"/>
      <c r="G68" s="57"/>
      <c r="H68" s="57"/>
      <c r="I68" s="57"/>
      <c r="J68" s="58"/>
      <c r="K68" s="48"/>
      <c r="L68" s="105"/>
      <c r="M68" s="106"/>
    </row>
    <row r="69" spans="1:13" s="10" customFormat="1" ht="31.5" x14ac:dyDescent="0.25">
      <c r="A69" s="92">
        <v>2080000</v>
      </c>
      <c r="B69" s="12" t="s">
        <v>60</v>
      </c>
      <c r="C69" s="49">
        <v>416191</v>
      </c>
      <c r="D69" s="49">
        <v>0</v>
      </c>
      <c r="E69" s="49">
        <v>742545</v>
      </c>
      <c r="F69" s="49">
        <v>211859</v>
      </c>
      <c r="G69" s="49">
        <v>327398</v>
      </c>
      <c r="H69" s="49">
        <v>0</v>
      </c>
      <c r="I69" s="49">
        <v>0</v>
      </c>
      <c r="J69" s="51">
        <v>107052</v>
      </c>
      <c r="K69" s="48">
        <f>SUM(C69+D69+E69+F69+G69+H69+I69+J69)</f>
        <v>1805045</v>
      </c>
      <c r="L69" s="105"/>
      <c r="M69" s="106"/>
    </row>
    <row r="70" spans="1:13" s="10" customFormat="1" ht="9.75" customHeight="1" x14ac:dyDescent="0.25">
      <c r="A70" s="93"/>
      <c r="B70" s="13"/>
      <c r="C70" s="57"/>
      <c r="D70" s="57"/>
      <c r="E70" s="57"/>
      <c r="F70" s="57"/>
      <c r="G70" s="57"/>
      <c r="H70" s="57"/>
      <c r="I70" s="57"/>
      <c r="J70" s="58"/>
      <c r="K70" s="48"/>
      <c r="L70" s="105"/>
      <c r="M70" s="106"/>
    </row>
    <row r="71" spans="1:13" s="10" customFormat="1" ht="15.75" x14ac:dyDescent="0.25">
      <c r="A71" s="92">
        <v>2090000</v>
      </c>
      <c r="B71" s="12" t="s">
        <v>61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51">
        <v>0</v>
      </c>
      <c r="K71" s="48">
        <f>SUM(C71+D71+E71+F71+G71+H71+I71+J71)</f>
        <v>0</v>
      </c>
      <c r="L71" s="105"/>
      <c r="M71" s="106"/>
    </row>
    <row r="72" spans="1:13" s="10" customFormat="1" ht="7.5" customHeight="1" thickBot="1" x14ac:dyDescent="0.3">
      <c r="A72" s="94"/>
      <c r="B72" s="18"/>
      <c r="C72" s="67"/>
      <c r="D72" s="67"/>
      <c r="E72" s="67"/>
      <c r="F72" s="67"/>
      <c r="G72" s="67"/>
      <c r="H72" s="67"/>
      <c r="I72" s="67"/>
      <c r="J72" s="68"/>
      <c r="K72" s="69"/>
      <c r="L72" s="105"/>
      <c r="M72" s="106"/>
    </row>
    <row r="73" spans="1:13" s="10" customFormat="1" ht="16.5" thickBot="1" x14ac:dyDescent="0.25">
      <c r="A73" s="95">
        <v>3000000</v>
      </c>
      <c r="B73" s="19" t="s">
        <v>62</v>
      </c>
      <c r="C73" s="70">
        <f>SUM(C74:C77)</f>
        <v>28296177</v>
      </c>
      <c r="D73" s="70">
        <f t="shared" ref="D73:J73" si="13">SUM(D74)</f>
        <v>0</v>
      </c>
      <c r="E73" s="70">
        <f t="shared" si="13"/>
        <v>0</v>
      </c>
      <c r="F73" s="70">
        <f t="shared" si="13"/>
        <v>0</v>
      </c>
      <c r="G73" s="70">
        <f t="shared" si="13"/>
        <v>0</v>
      </c>
      <c r="H73" s="70">
        <f t="shared" si="13"/>
        <v>0</v>
      </c>
      <c r="I73" s="70">
        <f t="shared" si="13"/>
        <v>0</v>
      </c>
      <c r="J73" s="71">
        <f t="shared" si="13"/>
        <v>0</v>
      </c>
      <c r="K73" s="72">
        <f>SUM(C73:J73)</f>
        <v>28296177</v>
      </c>
      <c r="L73" s="105"/>
      <c r="M73" s="106"/>
    </row>
    <row r="74" spans="1:13" s="10" customFormat="1" ht="15.75" x14ac:dyDescent="0.25">
      <c r="A74" s="96">
        <v>3010000</v>
      </c>
      <c r="B74" s="20" t="s">
        <v>63</v>
      </c>
      <c r="C74" s="73"/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4">
        <v>0</v>
      </c>
      <c r="K74" s="73">
        <f>SUM(C74:J74)</f>
        <v>0</v>
      </c>
      <c r="L74" s="105"/>
      <c r="M74" s="106"/>
    </row>
    <row r="75" spans="1:13" s="10" customFormat="1" ht="30" x14ac:dyDescent="0.25">
      <c r="A75" s="97" t="s">
        <v>64</v>
      </c>
      <c r="B75" s="20" t="s">
        <v>65</v>
      </c>
      <c r="C75" s="75">
        <f>0+11536817</f>
        <v>11536817</v>
      </c>
      <c r="D75" s="75">
        <v>0</v>
      </c>
      <c r="E75" s="75">
        <v>0</v>
      </c>
      <c r="F75" s="103">
        <v>0</v>
      </c>
      <c r="G75" s="75">
        <v>0</v>
      </c>
      <c r="H75" s="75">
        <v>0</v>
      </c>
      <c r="I75" s="75">
        <v>0</v>
      </c>
      <c r="J75" s="76">
        <v>0</v>
      </c>
      <c r="K75" s="77">
        <f>SUM(C75:J75)</f>
        <v>11536817</v>
      </c>
      <c r="L75" s="105"/>
      <c r="M75" s="106"/>
    </row>
    <row r="76" spans="1:13" s="10" customFormat="1" ht="15.75" x14ac:dyDescent="0.25">
      <c r="A76" s="97">
        <v>3060000</v>
      </c>
      <c r="B76" s="20" t="s">
        <v>79</v>
      </c>
      <c r="C76" s="75">
        <f>0+16759360</f>
        <v>16759360</v>
      </c>
      <c r="D76" s="75">
        <v>0</v>
      </c>
      <c r="E76" s="75">
        <v>0</v>
      </c>
      <c r="F76" s="104">
        <v>0</v>
      </c>
      <c r="G76" s="75">
        <v>0</v>
      </c>
      <c r="H76" s="75">
        <v>0</v>
      </c>
      <c r="I76" s="75">
        <v>0</v>
      </c>
      <c r="J76" s="76">
        <v>0</v>
      </c>
      <c r="K76" s="77">
        <f>SUM(C76:J76)</f>
        <v>16759360</v>
      </c>
      <c r="L76" s="105"/>
      <c r="M76" s="106"/>
    </row>
    <row r="77" spans="1:13" s="10" customFormat="1" ht="7.5" customHeight="1" thickBot="1" x14ac:dyDescent="0.3">
      <c r="A77" s="98"/>
      <c r="B77" s="21"/>
      <c r="C77" s="49"/>
      <c r="D77" s="49"/>
      <c r="E77" s="49"/>
      <c r="F77" s="49"/>
      <c r="G77" s="49"/>
      <c r="H77" s="49"/>
      <c r="I77" s="49"/>
      <c r="J77" s="51"/>
      <c r="K77" s="48"/>
      <c r="L77" s="105"/>
      <c r="M77" s="106"/>
    </row>
    <row r="78" spans="1:13" s="10" customFormat="1" ht="16.5" thickBot="1" x14ac:dyDescent="0.3">
      <c r="A78" s="99">
        <v>4000000</v>
      </c>
      <c r="B78" s="42" t="s">
        <v>66</v>
      </c>
      <c r="C78" s="62">
        <f t="shared" ref="C78:J78" si="14">SUM(C79+C82+C84+C86+C88+C90+C92+C94)</f>
        <v>503509599</v>
      </c>
      <c r="D78" s="62">
        <f t="shared" si="14"/>
        <v>13873172</v>
      </c>
      <c r="E78" s="62">
        <f t="shared" si="14"/>
        <v>69290697</v>
      </c>
      <c r="F78" s="62">
        <f t="shared" si="14"/>
        <v>32318884</v>
      </c>
      <c r="G78" s="62">
        <f t="shared" si="14"/>
        <v>15574881</v>
      </c>
      <c r="H78" s="62">
        <f t="shared" si="14"/>
        <v>22443004</v>
      </c>
      <c r="I78" s="62">
        <f t="shared" si="14"/>
        <v>11218656</v>
      </c>
      <c r="J78" s="63">
        <f t="shared" si="14"/>
        <v>6731815</v>
      </c>
      <c r="K78" s="62">
        <f>SUM(K79+K82+K84+K86+K88+K90+K92+K94)</f>
        <v>674960708</v>
      </c>
      <c r="L78" s="105"/>
      <c r="M78" s="106"/>
    </row>
    <row r="79" spans="1:13" s="10" customFormat="1" ht="15.75" x14ac:dyDescent="0.25">
      <c r="A79" s="100">
        <v>4010000</v>
      </c>
      <c r="B79" s="22" t="s">
        <v>67</v>
      </c>
      <c r="C79" s="49">
        <f>143394701-3492857-13399378</f>
        <v>126502466</v>
      </c>
      <c r="D79" s="49">
        <f>11602335-1111237</f>
        <v>10491098</v>
      </c>
      <c r="E79" s="49">
        <f>16280783-1559325</f>
        <v>14721458</v>
      </c>
      <c r="F79" s="49">
        <f>12754927-949142-1130723</f>
        <v>10675062</v>
      </c>
      <c r="G79" s="49">
        <f>7207997-690360</f>
        <v>6517637</v>
      </c>
      <c r="H79" s="49">
        <f>3581692-189405-324903</f>
        <v>3067384</v>
      </c>
      <c r="I79" s="49">
        <f>1153466-110476</f>
        <v>1042990</v>
      </c>
      <c r="J79" s="51">
        <f>1330165-127399</f>
        <v>1202766</v>
      </c>
      <c r="K79" s="48">
        <f>SUM(C79+D79+E79+F79+G79+H79+I79+J79)</f>
        <v>174220861</v>
      </c>
      <c r="L79" s="105"/>
      <c r="M79" s="106"/>
    </row>
    <row r="80" spans="1:13" s="10" customFormat="1" ht="15.75" x14ac:dyDescent="0.25">
      <c r="A80" s="93">
        <v>4010104</v>
      </c>
      <c r="B80" s="13" t="s">
        <v>68</v>
      </c>
      <c r="C80" s="80">
        <f>48703426-2944060</f>
        <v>45759366</v>
      </c>
      <c r="D80" s="80">
        <f>11294517-682738</f>
        <v>10611779</v>
      </c>
      <c r="E80" s="80">
        <f>8322603-503091</f>
        <v>7819512</v>
      </c>
      <c r="F80" s="80">
        <f>3596601-949142-160036</f>
        <v>2487423</v>
      </c>
      <c r="G80" s="80">
        <f>1315474-79519</f>
        <v>1235955</v>
      </c>
      <c r="H80" s="80">
        <f>2335075-141152</f>
        <v>2193923</v>
      </c>
      <c r="I80" s="80">
        <f>780744-47195</f>
        <v>733549</v>
      </c>
      <c r="J80" s="81">
        <f>480218-29028</f>
        <v>451190</v>
      </c>
      <c r="K80" s="54">
        <f>SUM(C80+D80+E80+F80+G80+H80+I80+J80)</f>
        <v>71292697</v>
      </c>
      <c r="L80" s="105"/>
      <c r="M80" s="106"/>
    </row>
    <row r="81" spans="1:13" s="10" customFormat="1" ht="6.75" customHeight="1" x14ac:dyDescent="0.25">
      <c r="A81" s="93"/>
      <c r="B81" s="13"/>
      <c r="C81" s="57"/>
      <c r="D81" s="57"/>
      <c r="E81" s="57"/>
      <c r="F81" s="57"/>
      <c r="G81" s="57"/>
      <c r="H81" s="57"/>
      <c r="I81" s="57"/>
      <c r="J81" s="58"/>
      <c r="K81" s="48"/>
      <c r="L81" s="105"/>
      <c r="M81" s="106"/>
    </row>
    <row r="82" spans="1:13" s="14" customFormat="1" ht="31.5" x14ac:dyDescent="0.25">
      <c r="A82" s="92">
        <v>4020100</v>
      </c>
      <c r="B82" s="12" t="s">
        <v>69</v>
      </c>
      <c r="C82" s="49">
        <f>2125141-113327</f>
        <v>2011814</v>
      </c>
      <c r="D82" s="49">
        <f>953228-50833</f>
        <v>902395</v>
      </c>
      <c r="E82" s="49">
        <f>668637-35656</f>
        <v>632981</v>
      </c>
      <c r="F82" s="49">
        <f>1195955-63777</f>
        <v>1132178</v>
      </c>
      <c r="G82" s="49">
        <f>317782-16946</f>
        <v>300836</v>
      </c>
      <c r="H82" s="49">
        <f>872781-46543</f>
        <v>826238</v>
      </c>
      <c r="I82" s="49">
        <f>280586-14963</f>
        <v>265623</v>
      </c>
      <c r="J82" s="51">
        <f>164050-8748</f>
        <v>155302</v>
      </c>
      <c r="K82" s="48">
        <f>SUM(C82+D82+E82+F82+G82+H82+I82+J82)</f>
        <v>6227367</v>
      </c>
      <c r="L82" s="105"/>
      <c r="M82" s="106"/>
    </row>
    <row r="83" spans="1:13" s="14" customFormat="1" ht="6.75" customHeight="1" x14ac:dyDescent="0.25">
      <c r="A83" s="93"/>
      <c r="B83" s="13"/>
      <c r="C83" s="57"/>
      <c r="D83" s="57"/>
      <c r="E83" s="57"/>
      <c r="F83" s="57"/>
      <c r="G83" s="57"/>
      <c r="H83" s="57"/>
      <c r="I83" s="57"/>
      <c r="J83" s="58"/>
      <c r="K83" s="48"/>
      <c r="L83" s="105"/>
      <c r="M83" s="106"/>
    </row>
    <row r="84" spans="1:13" s="14" customFormat="1" ht="15.75" x14ac:dyDescent="0.25">
      <c r="A84" s="92">
        <v>4040000</v>
      </c>
      <c r="B84" s="23" t="s">
        <v>70</v>
      </c>
      <c r="C84" s="49">
        <f>71696482-6769373</f>
        <v>64927109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51">
        <v>0</v>
      </c>
      <c r="K84" s="48">
        <f>SUM(C84+D84+E84+F84+G84+H84+I84+J84)</f>
        <v>64927109</v>
      </c>
      <c r="L84" s="105"/>
      <c r="M84" s="106"/>
    </row>
    <row r="85" spans="1:13" s="14" customFormat="1" ht="6.75" customHeight="1" x14ac:dyDescent="0.25">
      <c r="A85" s="92"/>
      <c r="B85" s="12"/>
      <c r="C85" s="49"/>
      <c r="D85" s="49"/>
      <c r="E85" s="49"/>
      <c r="F85" s="49"/>
      <c r="G85" s="49"/>
      <c r="H85" s="49"/>
      <c r="I85" s="49"/>
      <c r="J85" s="51"/>
      <c r="K85" s="48"/>
      <c r="L85" s="105"/>
      <c r="M85" s="106"/>
    </row>
    <row r="86" spans="1:13" ht="15.75" x14ac:dyDescent="0.25">
      <c r="A86" s="92">
        <v>4060000</v>
      </c>
      <c r="B86" s="23" t="s">
        <v>71</v>
      </c>
      <c r="C86" s="49">
        <f>0+20110000+238000</f>
        <v>20348000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51">
        <v>0</v>
      </c>
      <c r="K86" s="48">
        <f>SUM(C86+D86+E86+F86+G86+H86+I86+J86)</f>
        <v>20348000</v>
      </c>
      <c r="L86" s="105"/>
      <c r="M86" s="106"/>
    </row>
    <row r="87" spans="1:13" ht="6.75" customHeight="1" x14ac:dyDescent="0.25">
      <c r="A87" s="92"/>
      <c r="B87" s="23"/>
      <c r="C87" s="49"/>
      <c r="D87" s="49"/>
      <c r="E87" s="49"/>
      <c r="F87" s="49"/>
      <c r="G87" s="49"/>
      <c r="H87" s="49"/>
      <c r="I87" s="49"/>
      <c r="J87" s="51"/>
      <c r="K87" s="48"/>
      <c r="L87" s="105"/>
      <c r="M87" s="106"/>
    </row>
    <row r="88" spans="1:13" ht="78.75" x14ac:dyDescent="0.25">
      <c r="A88" s="17">
        <v>4080000</v>
      </c>
      <c r="B88" s="12" t="s">
        <v>72</v>
      </c>
      <c r="C88" s="49">
        <f>527761-161590</f>
        <v>366171</v>
      </c>
      <c r="D88" s="49">
        <v>0</v>
      </c>
      <c r="E88" s="49">
        <f>712229-218071</f>
        <v>494158</v>
      </c>
      <c r="F88" s="49">
        <f>10228812-3131869</f>
        <v>7096943</v>
      </c>
      <c r="G88" s="49">
        <f>5150765-1577067</f>
        <v>3573698</v>
      </c>
      <c r="H88" s="49">
        <f>13476736-4126322</f>
        <v>9350414</v>
      </c>
      <c r="I88" s="49">
        <f>12438043-3808294</f>
        <v>8629749</v>
      </c>
      <c r="J88" s="51">
        <f>3119636-955174</f>
        <v>2164462</v>
      </c>
      <c r="K88" s="48">
        <f>SUM(C88+D88+E88+F88+G88+H88+I88+J88)</f>
        <v>31675595</v>
      </c>
      <c r="L88" s="105"/>
      <c r="M88" s="106"/>
    </row>
    <row r="89" spans="1:13" ht="9.75" customHeight="1" x14ac:dyDescent="0.25">
      <c r="A89" s="94"/>
      <c r="B89" s="18"/>
      <c r="C89" s="49">
        <v>0</v>
      </c>
      <c r="D89" s="49"/>
      <c r="E89" s="49"/>
      <c r="F89" s="49"/>
      <c r="G89" s="49"/>
      <c r="H89" s="49"/>
      <c r="I89" s="49"/>
      <c r="J89" s="51"/>
      <c r="K89" s="50"/>
      <c r="L89" s="105"/>
      <c r="M89" s="106"/>
    </row>
    <row r="90" spans="1:13" ht="15.75" x14ac:dyDescent="0.25">
      <c r="A90" s="92">
        <v>4100000</v>
      </c>
      <c r="B90" s="12" t="s">
        <v>73</v>
      </c>
      <c r="C90" s="49">
        <f>227221497+12370228+10501319+5062325</f>
        <v>255155369</v>
      </c>
      <c r="D90" s="49">
        <f>2701623-221944</f>
        <v>2479679</v>
      </c>
      <c r="E90" s="49">
        <f>42498980+2209990+1876103+747300</f>
        <v>47332373</v>
      </c>
      <c r="F90" s="49">
        <f>11896013+382029+324311-243806</f>
        <v>12358547</v>
      </c>
      <c r="G90" s="49">
        <f>4395290+175540+149020-22438</f>
        <v>4697412</v>
      </c>
      <c r="H90" s="49">
        <f>7662173+331057+281039+9461</f>
        <v>8283730</v>
      </c>
      <c r="I90" s="49">
        <f>1396730-116436</f>
        <v>1280294</v>
      </c>
      <c r="J90" s="51">
        <f>2679325+115156+97758-1314</f>
        <v>2890925</v>
      </c>
      <c r="K90" s="48">
        <f>SUM(C90+D90+E90+F90+G90+H90+I90+J90)</f>
        <v>334478329</v>
      </c>
      <c r="L90" s="105"/>
      <c r="M90" s="106"/>
    </row>
    <row r="91" spans="1:13" ht="8.25" customHeight="1" x14ac:dyDescent="0.25">
      <c r="A91" s="98"/>
      <c r="B91" s="21"/>
      <c r="C91" s="78"/>
      <c r="D91" s="78"/>
      <c r="E91" s="78"/>
      <c r="F91" s="78"/>
      <c r="G91" s="78"/>
      <c r="H91" s="78"/>
      <c r="I91" s="78"/>
      <c r="J91" s="79"/>
      <c r="K91" s="48">
        <v>0</v>
      </c>
      <c r="L91" s="105"/>
      <c r="M91" s="106"/>
    </row>
    <row r="92" spans="1:13" ht="15.75" x14ac:dyDescent="0.25">
      <c r="A92" s="101">
        <v>4110000</v>
      </c>
      <c r="B92" s="24" t="s">
        <v>74</v>
      </c>
      <c r="C92" s="49">
        <f>21206479+695031</f>
        <v>21901510</v>
      </c>
      <c r="D92" s="49">
        <v>0</v>
      </c>
      <c r="E92" s="49">
        <f>3788621+124170</f>
        <v>3912791</v>
      </c>
      <c r="F92" s="49">
        <f>654918+21464</f>
        <v>676382</v>
      </c>
      <c r="G92" s="49">
        <f>300932+9863</f>
        <v>310795</v>
      </c>
      <c r="H92" s="49">
        <f>567536+18601</f>
        <v>586137</v>
      </c>
      <c r="I92" s="49">
        <v>0</v>
      </c>
      <c r="J92" s="82">
        <f>197414+6470</f>
        <v>203884</v>
      </c>
      <c r="K92" s="48">
        <f>SUM(C92+D92+E92+F92+G92+H92+I92+J92)</f>
        <v>27591499</v>
      </c>
      <c r="L92" s="105"/>
      <c r="M92" s="106"/>
    </row>
    <row r="93" spans="1:13" ht="6.75" customHeight="1" x14ac:dyDescent="0.25">
      <c r="A93" s="102"/>
      <c r="B93" s="25"/>
      <c r="C93" s="49"/>
      <c r="D93" s="49"/>
      <c r="E93" s="49"/>
      <c r="F93" s="49"/>
      <c r="G93" s="49"/>
      <c r="H93" s="49"/>
      <c r="I93" s="49"/>
      <c r="J93" s="51"/>
      <c r="K93" s="48"/>
      <c r="L93" s="105"/>
      <c r="M93" s="106"/>
    </row>
    <row r="94" spans="1:13" ht="15.75" x14ac:dyDescent="0.25">
      <c r="A94" s="101">
        <v>4120000</v>
      </c>
      <c r="B94" s="24" t="s">
        <v>75</v>
      </c>
      <c r="C94" s="78">
        <f>11906662+390498</f>
        <v>12297160</v>
      </c>
      <c r="D94" s="78">
        <v>0</v>
      </c>
      <c r="E94" s="78">
        <f>2127172+69764</f>
        <v>2196936</v>
      </c>
      <c r="F94" s="78">
        <f>367712+12060</f>
        <v>379772</v>
      </c>
      <c r="G94" s="78">
        <f>168962+5541</f>
        <v>174503</v>
      </c>
      <c r="H94" s="78">
        <f>318651+10450</f>
        <v>329101</v>
      </c>
      <c r="I94" s="78">
        <v>0</v>
      </c>
      <c r="J94" s="79">
        <f>110841+3635</f>
        <v>114476</v>
      </c>
      <c r="K94" s="48">
        <f>SUM(C94:J94)</f>
        <v>15491948</v>
      </c>
      <c r="L94" s="105"/>
      <c r="M94" s="106"/>
    </row>
    <row r="95" spans="1:13" ht="10.5" customHeight="1" thickBot="1" x14ac:dyDescent="0.3">
      <c r="A95" s="102"/>
      <c r="B95" s="25"/>
      <c r="C95" s="49"/>
      <c r="D95" s="49"/>
      <c r="E95" s="49"/>
      <c r="F95" s="49"/>
      <c r="G95" s="49"/>
      <c r="H95" s="49"/>
      <c r="I95" s="49"/>
      <c r="J95" s="82"/>
      <c r="K95" s="48"/>
      <c r="L95" s="105"/>
      <c r="M95" s="106"/>
    </row>
    <row r="96" spans="1:13" ht="32.25" thickBot="1" x14ac:dyDescent="0.3">
      <c r="A96" s="99">
        <v>5000000</v>
      </c>
      <c r="B96" s="40" t="s">
        <v>76</v>
      </c>
      <c r="C96" s="62">
        <f>134924672+303433+7749506</f>
        <v>142977611</v>
      </c>
      <c r="D96" s="62">
        <v>6691397</v>
      </c>
      <c r="E96" s="62">
        <v>37419309</v>
      </c>
      <c r="F96" s="62">
        <f>18675514-163020</f>
        <v>18512494</v>
      </c>
      <c r="G96" s="62">
        <v>9425546</v>
      </c>
      <c r="H96" s="62">
        <v>6106262</v>
      </c>
      <c r="I96" s="62">
        <f>19297284+99587</f>
        <v>19396871</v>
      </c>
      <c r="J96" s="63">
        <f>3232098+300000</f>
        <v>3532098</v>
      </c>
      <c r="K96" s="44">
        <f>SUM(C96+D96+E96+F96+G96+H96+I96+J96)</f>
        <v>244061588</v>
      </c>
      <c r="L96" s="105"/>
      <c r="M96" s="106"/>
    </row>
    <row r="97" spans="1:13" ht="21.75" customHeight="1" thickBot="1" x14ac:dyDescent="0.3">
      <c r="A97" s="26"/>
      <c r="B97" s="27" t="s">
        <v>77</v>
      </c>
      <c r="C97" s="83">
        <f>SUM(C16+C53++C78+C96+C73)</f>
        <v>1340861157</v>
      </c>
      <c r="D97" s="83">
        <f t="shared" ref="D97:J97" si="15">SUM(D16+D53++D78+D96)</f>
        <v>159689471</v>
      </c>
      <c r="E97" s="83">
        <f t="shared" si="15"/>
        <v>164648858</v>
      </c>
      <c r="F97" s="83">
        <f t="shared" si="15"/>
        <v>90296702</v>
      </c>
      <c r="G97" s="83">
        <f t="shared" si="15"/>
        <v>41664084</v>
      </c>
      <c r="H97" s="83">
        <f t="shared" si="15"/>
        <v>42870298</v>
      </c>
      <c r="I97" s="83">
        <f t="shared" si="15"/>
        <v>37527105</v>
      </c>
      <c r="J97" s="84">
        <f t="shared" si="15"/>
        <v>15158713</v>
      </c>
      <c r="K97" s="83">
        <f>SUM(K16+K53++K78+K96+K73)</f>
        <v>1892716388</v>
      </c>
      <c r="L97" s="105"/>
      <c r="M97" s="106"/>
    </row>
    <row r="101" spans="1:13" ht="18.75" x14ac:dyDescent="0.3">
      <c r="B101" s="29"/>
      <c r="C101" s="29"/>
      <c r="D101" s="29"/>
      <c r="E101" s="37"/>
      <c r="F101" s="37"/>
      <c r="G101" s="37"/>
      <c r="H101" s="37"/>
      <c r="I101" s="37"/>
      <c r="J101" s="37"/>
      <c r="K101" s="37"/>
    </row>
    <row r="102" spans="1:13" ht="18.75" x14ac:dyDescent="0.3">
      <c r="B102" s="29"/>
      <c r="C102" s="29"/>
      <c r="D102" s="29"/>
      <c r="E102" s="37"/>
      <c r="F102" s="37"/>
      <c r="G102" s="37"/>
      <c r="H102" s="37"/>
      <c r="I102" s="37"/>
      <c r="J102" s="37"/>
      <c r="K102" s="37"/>
    </row>
    <row r="104" spans="1:13" x14ac:dyDescent="0.2">
      <c r="B104" s="31"/>
      <c r="C104" s="31"/>
      <c r="D104" s="31"/>
      <c r="E104" s="35"/>
      <c r="F104" s="35"/>
      <c r="G104" s="35"/>
      <c r="H104" s="35"/>
      <c r="I104" s="35"/>
      <c r="J104" s="35"/>
      <c r="K104" s="35"/>
    </row>
    <row r="105" spans="1:13" x14ac:dyDescent="0.2">
      <c r="B105" s="31"/>
      <c r="C105" s="31"/>
      <c r="D105" s="31"/>
      <c r="E105" s="35"/>
      <c r="F105" s="35"/>
      <c r="G105" s="35"/>
      <c r="H105" s="35"/>
      <c r="I105" s="35"/>
      <c r="J105" s="35"/>
      <c r="K105" s="35"/>
    </row>
    <row r="106" spans="1:13" x14ac:dyDescent="0.2">
      <c r="B106" s="31"/>
      <c r="C106" s="31"/>
      <c r="D106" s="31"/>
      <c r="E106" s="35"/>
      <c r="F106" s="35"/>
      <c r="G106" s="35"/>
      <c r="H106" s="35"/>
      <c r="I106" s="35"/>
      <c r="J106" s="35"/>
      <c r="K106" s="35"/>
    </row>
    <row r="107" spans="1:13" x14ac:dyDescent="0.2">
      <c r="B107" s="31"/>
      <c r="C107" s="31"/>
      <c r="D107" s="31"/>
      <c r="E107" s="35"/>
      <c r="F107" s="35"/>
      <c r="G107" s="35"/>
      <c r="H107" s="35"/>
      <c r="I107" s="35"/>
      <c r="J107" s="35"/>
      <c r="K107" s="35"/>
    </row>
    <row r="108" spans="1:13" ht="15.75" x14ac:dyDescent="0.25">
      <c r="B108" s="29"/>
      <c r="C108" s="29"/>
      <c r="D108" s="29"/>
      <c r="E108" s="34"/>
      <c r="F108" s="34"/>
      <c r="G108" s="34"/>
      <c r="H108" s="34"/>
      <c r="I108" s="34"/>
      <c r="J108" s="34"/>
      <c r="K108" s="34"/>
    </row>
    <row r="109" spans="1:13" ht="14.25" x14ac:dyDescent="0.2">
      <c r="B109" s="32"/>
      <c r="C109" s="32"/>
      <c r="D109" s="32"/>
      <c r="E109" s="38"/>
      <c r="F109" s="38"/>
      <c r="G109" s="38"/>
      <c r="H109" s="38"/>
      <c r="I109" s="38"/>
      <c r="J109" s="38"/>
      <c r="K109" s="38"/>
    </row>
    <row r="110" spans="1:13" x14ac:dyDescent="0.2">
      <c r="B110" s="33"/>
      <c r="C110" s="33"/>
      <c r="D110" s="33"/>
      <c r="E110" s="39"/>
      <c r="F110" s="39"/>
      <c r="G110" s="39"/>
      <c r="H110" s="39"/>
      <c r="I110" s="39"/>
      <c r="J110" s="39"/>
      <c r="K110" s="39"/>
    </row>
    <row r="111" spans="1:13" x14ac:dyDescent="0.2">
      <c r="B111" s="29"/>
      <c r="C111" s="29"/>
      <c r="D111" s="29"/>
      <c r="E111" s="30"/>
      <c r="F111" s="30"/>
      <c r="G111" s="30"/>
      <c r="H111" s="30"/>
      <c r="I111" s="30"/>
      <c r="J111" s="30"/>
      <c r="K111" s="30"/>
    </row>
    <row r="128" spans="2:11" x14ac:dyDescent="0.2">
      <c r="B128" s="29"/>
      <c r="C128" s="29"/>
      <c r="D128" s="29"/>
      <c r="E128" s="30"/>
      <c r="F128" s="30"/>
      <c r="G128" s="30"/>
      <c r="H128" s="30"/>
      <c r="I128" s="30"/>
      <c r="J128" s="30"/>
      <c r="K128" s="30"/>
    </row>
    <row r="129" spans="2:11" x14ac:dyDescent="0.2">
      <c r="B129" s="29"/>
      <c r="C129" s="29"/>
      <c r="D129" s="29"/>
      <c r="E129" s="30"/>
      <c r="F129" s="30"/>
      <c r="G129" s="30"/>
      <c r="H129" s="30"/>
      <c r="I129" s="30"/>
      <c r="J129" s="30"/>
      <c r="K129" s="30"/>
    </row>
    <row r="196" spans="1:11" x14ac:dyDescent="0.2">
      <c r="A196" s="30"/>
      <c r="B196" s="29"/>
      <c r="C196" s="29"/>
      <c r="D196" s="29"/>
      <c r="E196" s="30"/>
      <c r="F196" s="30"/>
      <c r="G196" s="30"/>
      <c r="H196" s="30"/>
      <c r="I196" s="30"/>
      <c r="J196" s="30"/>
      <c r="K196" s="30"/>
    </row>
    <row r="197" spans="1:11" x14ac:dyDescent="0.2">
      <c r="A197" s="30"/>
    </row>
    <row r="214" spans="1:11" x14ac:dyDescent="0.2">
      <c r="A214" s="30"/>
      <c r="B214" s="29"/>
      <c r="C214" s="29"/>
      <c r="D214" s="29"/>
      <c r="E214" s="30"/>
      <c r="F214" s="30"/>
      <c r="G214" s="30"/>
      <c r="H214" s="30"/>
      <c r="I214" s="30"/>
      <c r="J214" s="30"/>
      <c r="K214" s="30"/>
    </row>
    <row r="215" spans="1:11" x14ac:dyDescent="0.2">
      <c r="A215" s="30"/>
      <c r="B215" s="29"/>
      <c r="C215" s="29"/>
      <c r="D215" s="29"/>
      <c r="E215" s="30"/>
      <c r="F215" s="30"/>
      <c r="G215" s="30"/>
      <c r="H215" s="30"/>
      <c r="I215" s="30"/>
      <c r="J215" s="30"/>
      <c r="K215" s="30"/>
    </row>
    <row r="218" spans="1:11" x14ac:dyDescent="0.2">
      <c r="A218" s="30"/>
      <c r="B218" s="29"/>
      <c r="C218" s="29"/>
      <c r="D218" s="29"/>
      <c r="E218" s="30"/>
      <c r="F218" s="30"/>
      <c r="G218" s="30"/>
      <c r="H218" s="30"/>
      <c r="I218" s="30"/>
      <c r="J218" s="30"/>
      <c r="K218" s="30"/>
    </row>
    <row r="257" spans="1:11" ht="15.75" x14ac:dyDescent="0.25">
      <c r="A257" s="30"/>
      <c r="B257" s="29"/>
      <c r="C257" s="29"/>
      <c r="D257" s="29"/>
      <c r="E257" s="34"/>
      <c r="F257" s="34"/>
      <c r="G257" s="34"/>
      <c r="H257" s="34"/>
      <c r="I257" s="34"/>
      <c r="J257" s="34"/>
      <c r="K257" s="34"/>
    </row>
    <row r="271" spans="1:11" ht="15.75" x14ac:dyDescent="0.25">
      <c r="A271" s="30"/>
      <c r="B271" s="29"/>
      <c r="C271" s="29"/>
      <c r="D271" s="29"/>
      <c r="E271" s="34"/>
      <c r="F271" s="34"/>
      <c r="G271" s="34"/>
      <c r="H271" s="34"/>
      <c r="I271" s="34"/>
      <c r="J271" s="34"/>
      <c r="K271" s="34"/>
    </row>
    <row r="280" spans="1:11" ht="14.25" x14ac:dyDescent="0.2">
      <c r="A280" s="30"/>
      <c r="B280" s="29"/>
      <c r="C280" s="29"/>
      <c r="D280" s="29"/>
      <c r="E280" s="36"/>
      <c r="F280" s="36"/>
      <c r="G280" s="36"/>
      <c r="H280" s="36"/>
      <c r="I280" s="36"/>
      <c r="J280" s="36"/>
      <c r="K280" s="36"/>
    </row>
    <row r="281" spans="1:11" ht="14.25" x14ac:dyDescent="0.2">
      <c r="A281" s="30"/>
      <c r="B281" s="29"/>
      <c r="C281" s="29"/>
      <c r="D281" s="29"/>
      <c r="E281" s="36"/>
      <c r="F281" s="36"/>
      <c r="G281" s="36"/>
      <c r="H281" s="36"/>
      <c r="I281" s="36"/>
      <c r="J281" s="36"/>
      <c r="K281" s="36"/>
    </row>
    <row r="282" spans="1:11" x14ac:dyDescent="0.2">
      <c r="A282" s="30"/>
      <c r="B282" s="29"/>
      <c r="C282" s="29"/>
      <c r="D282" s="29"/>
      <c r="E282" s="30"/>
      <c r="F282" s="30"/>
      <c r="G282" s="30"/>
      <c r="H282" s="30"/>
      <c r="I282" s="30"/>
      <c r="J282" s="30"/>
      <c r="K282" s="30"/>
    </row>
    <row r="316" spans="1:11" x14ac:dyDescent="0.2">
      <c r="A316" s="30"/>
      <c r="B316" s="29"/>
      <c r="C316" s="29"/>
      <c r="D316" s="29"/>
      <c r="E316" s="30"/>
      <c r="F316" s="30"/>
      <c r="G316" s="30"/>
      <c r="H316" s="30"/>
      <c r="I316" s="30"/>
      <c r="J316" s="30"/>
      <c r="K316" s="30"/>
    </row>
    <row r="339" spans="2:11" ht="15.75" x14ac:dyDescent="0.25">
      <c r="B339" s="29"/>
      <c r="C339" s="29"/>
      <c r="D339" s="29"/>
      <c r="E339" s="34"/>
      <c r="F339" s="34"/>
      <c r="G339" s="34"/>
      <c r="H339" s="34"/>
      <c r="I339" s="34"/>
      <c r="J339" s="34"/>
      <c r="K339" s="34"/>
    </row>
    <row r="340" spans="2:11" ht="15.75" x14ac:dyDescent="0.25">
      <c r="B340" s="29"/>
      <c r="C340" s="29"/>
      <c r="D340" s="29"/>
      <c r="E340" s="34"/>
      <c r="F340" s="34"/>
      <c r="G340" s="34"/>
      <c r="H340" s="34"/>
      <c r="I340" s="34"/>
      <c r="J340" s="34"/>
      <c r="K340" s="34"/>
    </row>
    <row r="364" spans="2:11" ht="14.25" x14ac:dyDescent="0.2">
      <c r="B364" s="29"/>
      <c r="C364" s="29"/>
      <c r="D364" s="29"/>
      <c r="E364" s="36"/>
      <c r="F364" s="36"/>
      <c r="G364" s="36"/>
      <c r="H364" s="36"/>
      <c r="I364" s="36"/>
      <c r="J364" s="36"/>
      <c r="K364" s="36"/>
    </row>
    <row r="365" spans="2:11" x14ac:dyDescent="0.2">
      <c r="B365" s="29"/>
      <c r="C365" s="29"/>
      <c r="D365" s="29"/>
      <c r="E365" s="30"/>
      <c r="F365" s="30"/>
      <c r="G365" s="30"/>
      <c r="H365" s="30"/>
      <c r="I365" s="30"/>
      <c r="J365" s="30"/>
      <c r="K365" s="30"/>
    </row>
    <row r="366" spans="2:11" x14ac:dyDescent="0.2">
      <c r="B366" s="29"/>
      <c r="C366" s="29"/>
      <c r="D366" s="29"/>
      <c r="E366" s="30"/>
      <c r="F366" s="30"/>
      <c r="G366" s="30"/>
      <c r="H366" s="30"/>
      <c r="I366" s="30"/>
      <c r="J366" s="30"/>
      <c r="K366" s="30"/>
    </row>
    <row r="367" spans="2:11" x14ac:dyDescent="0.2">
      <c r="B367" s="29"/>
      <c r="C367" s="29"/>
      <c r="D367" s="29"/>
      <c r="E367" s="30"/>
      <c r="F367" s="30"/>
      <c r="G367" s="30"/>
      <c r="H367" s="30"/>
      <c r="I367" s="30"/>
      <c r="J367" s="30"/>
      <c r="K367" s="30"/>
    </row>
    <row r="373" spans="1:11" x14ac:dyDescent="0.2">
      <c r="A373" s="30"/>
      <c r="B373" s="29"/>
      <c r="C373" s="29"/>
      <c r="D373" s="29"/>
      <c r="E373" s="30"/>
      <c r="F373" s="30"/>
      <c r="G373" s="30"/>
      <c r="H373" s="30"/>
      <c r="I373" s="30"/>
      <c r="J373" s="30"/>
      <c r="K373" s="30"/>
    </row>
    <row r="374" spans="1:11" x14ac:dyDescent="0.2">
      <c r="B374" s="29"/>
      <c r="C374" s="29"/>
      <c r="D374" s="29"/>
      <c r="E374" s="30"/>
      <c r="F374" s="30"/>
      <c r="G374" s="30"/>
      <c r="H374" s="30"/>
      <c r="I374" s="30"/>
      <c r="J374" s="30"/>
      <c r="K374" s="30"/>
    </row>
    <row r="375" spans="1:11" ht="15.75" x14ac:dyDescent="0.25">
      <c r="B375" s="29"/>
      <c r="C375" s="29"/>
      <c r="D375" s="29"/>
      <c r="E375" s="34"/>
      <c r="F375" s="34"/>
      <c r="G375" s="34"/>
      <c r="H375" s="34"/>
      <c r="I375" s="34"/>
      <c r="J375" s="34"/>
      <c r="K375" s="34"/>
    </row>
  </sheetData>
  <mergeCells count="6">
    <mergeCell ref="A13:K13"/>
    <mergeCell ref="A7:K7"/>
    <mergeCell ref="A8:K8"/>
    <mergeCell ref="A9:K9"/>
    <mergeCell ref="A11:K11"/>
    <mergeCell ref="A12:K12"/>
  </mergeCells>
  <phoneticPr fontId="14" type="noConversion"/>
  <pageMargins left="0.39370078740157483" right="0.39370078740157483" top="0.78740157480314965" bottom="0.39370078740157483" header="0" footer="0"/>
  <pageSetup paperSize="9" scale="68" firstPageNumber="2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2019-12-24T14:05:34Z</cp:lastPrinted>
  <dcterms:created xsi:type="dcterms:W3CDTF">2015-06-05T18:19:34Z</dcterms:created>
  <dcterms:modified xsi:type="dcterms:W3CDTF">2020-07-28T12:29:27Z</dcterms:modified>
</cp:coreProperties>
</file>