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1600" windowHeight="9735"/>
  </bookViews>
  <sheets>
    <sheet name="новая редакция посл. на 14. (2)" sheetId="33" r:id="rId1"/>
  </sheets>
  <definedNames>
    <definedName name="_xlnm.Print_Titles" localSheetId="0">'новая редакция посл. на 14. (2)'!$A:$B,'новая редакция посл. на 14. (2)'!$14:$14</definedName>
  </definedNames>
  <calcPr calcId="152511" fullPrecision="0"/>
</workbook>
</file>

<file path=xl/calcChain.xml><?xml version="1.0" encoding="utf-8"?>
<calcChain xmlns="http://schemas.openxmlformats.org/spreadsheetml/2006/main">
  <c r="D59" i="33" l="1"/>
  <c r="J60" i="33" l="1"/>
  <c r="H63" i="33" l="1"/>
  <c r="H60" i="33" s="1"/>
  <c r="J68" i="33" l="1"/>
  <c r="I68" i="33"/>
  <c r="H68" i="33"/>
  <c r="G68" i="33"/>
  <c r="F68" i="33"/>
  <c r="E68" i="33"/>
  <c r="D68" i="33"/>
  <c r="C68" i="33"/>
  <c r="C67" i="33"/>
  <c r="K67" i="33" s="1"/>
  <c r="J66" i="33"/>
  <c r="I66" i="33"/>
  <c r="H66" i="33"/>
  <c r="G66" i="33"/>
  <c r="F66" i="33"/>
  <c r="E66" i="33"/>
  <c r="D66" i="33"/>
  <c r="C66" i="33"/>
  <c r="J64" i="33"/>
  <c r="E63" i="33"/>
  <c r="E60" i="33" s="1"/>
  <c r="E59" i="33" s="1"/>
  <c r="D63" i="33"/>
  <c r="C63" i="33"/>
  <c r="C60" i="33" s="1"/>
  <c r="K62" i="33"/>
  <c r="F60" i="33"/>
  <c r="F59" i="33" s="1"/>
  <c r="J56" i="33"/>
  <c r="H56" i="33"/>
  <c r="H53" i="33" s="1"/>
  <c r="F56" i="33"/>
  <c r="F53" i="33" s="1"/>
  <c r="K55" i="33"/>
  <c r="K54" i="33"/>
  <c r="J53" i="33"/>
  <c r="I53" i="33"/>
  <c r="G53" i="33"/>
  <c r="E53" i="33"/>
  <c r="D53" i="33"/>
  <c r="C53" i="33"/>
  <c r="J52" i="33"/>
  <c r="I52" i="33"/>
  <c r="H52" i="33"/>
  <c r="G52" i="33"/>
  <c r="F52" i="33"/>
  <c r="E52" i="33"/>
  <c r="E51" i="33" s="1"/>
  <c r="D52" i="33"/>
  <c r="D51" i="33" s="1"/>
  <c r="C52" i="33"/>
  <c r="C51" i="33" s="1"/>
  <c r="J47" i="33"/>
  <c r="I47" i="33"/>
  <c r="H47" i="33"/>
  <c r="G47" i="33"/>
  <c r="F47" i="33"/>
  <c r="E47" i="33"/>
  <c r="D47" i="33"/>
  <c r="C47" i="33"/>
  <c r="J46" i="33"/>
  <c r="I46" i="33"/>
  <c r="H46" i="33"/>
  <c r="G46" i="33"/>
  <c r="F46" i="33"/>
  <c r="E46" i="33"/>
  <c r="D46" i="33"/>
  <c r="C46" i="33"/>
  <c r="J45" i="33"/>
  <c r="I45" i="33"/>
  <c r="H45" i="33"/>
  <c r="G45" i="33"/>
  <c r="F45" i="33"/>
  <c r="E45" i="33"/>
  <c r="D45" i="33"/>
  <c r="C45" i="33"/>
  <c r="J44" i="33"/>
  <c r="I44" i="33"/>
  <c r="H44" i="33"/>
  <c r="G44" i="33"/>
  <c r="F44" i="33"/>
  <c r="E44" i="33"/>
  <c r="D44" i="33"/>
  <c r="C44" i="33"/>
  <c r="J43" i="33"/>
  <c r="J48" i="33" s="1"/>
  <c r="I43" i="33"/>
  <c r="I48" i="33" s="1"/>
  <c r="H43" i="33"/>
  <c r="H48" i="33" s="1"/>
  <c r="G43" i="33"/>
  <c r="G48" i="33" s="1"/>
  <c r="F43" i="33"/>
  <c r="F48" i="33" s="1"/>
  <c r="E43" i="33"/>
  <c r="E48" i="33" s="1"/>
  <c r="D43" i="33"/>
  <c r="D48" i="33" s="1"/>
  <c r="C43" i="33"/>
  <c r="C48" i="33" s="1"/>
  <c r="K41" i="33"/>
  <c r="K40" i="33"/>
  <c r="K39" i="33"/>
  <c r="K38" i="33"/>
  <c r="K37" i="33"/>
  <c r="K36" i="33"/>
  <c r="K35" i="33"/>
  <c r="K34" i="33"/>
  <c r="J33" i="33"/>
  <c r="I33" i="33"/>
  <c r="H33" i="33"/>
  <c r="G33" i="33"/>
  <c r="F33" i="33"/>
  <c r="E33" i="33"/>
  <c r="D33" i="33"/>
  <c r="C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J18" i="33"/>
  <c r="I18" i="33"/>
  <c r="H18" i="33"/>
  <c r="G18" i="33"/>
  <c r="F18" i="33"/>
  <c r="E18" i="33"/>
  <c r="D18" i="33"/>
  <c r="C18" i="33"/>
  <c r="K16" i="33"/>
  <c r="J17" i="33" l="1"/>
  <c r="J57" i="33" s="1"/>
  <c r="J51" i="33"/>
  <c r="H51" i="33"/>
  <c r="F17" i="33"/>
  <c r="F57" i="33" s="1"/>
  <c r="D17" i="33"/>
  <c r="D57" i="33" s="1"/>
  <c r="D50" i="33" s="1"/>
  <c r="D65" i="33" s="1"/>
  <c r="D61" i="33"/>
  <c r="H17" i="33"/>
  <c r="H57" i="33" s="1"/>
  <c r="H50" i="33" s="1"/>
  <c r="I51" i="33"/>
  <c r="J50" i="33"/>
  <c r="J65" i="33" s="1"/>
  <c r="F51" i="33"/>
  <c r="E17" i="33"/>
  <c r="E57" i="33" s="1"/>
  <c r="E50" i="33" s="1"/>
  <c r="E65" i="33" s="1"/>
  <c r="I17" i="33"/>
  <c r="I57" i="33" s="1"/>
  <c r="I50" i="33" s="1"/>
  <c r="I65" i="33" s="1"/>
  <c r="C17" i="33"/>
  <c r="C57" i="33" s="1"/>
  <c r="C50" i="33" s="1"/>
  <c r="G17" i="33"/>
  <c r="G57" i="33" s="1"/>
  <c r="G51" i="33"/>
  <c r="E15" i="33"/>
  <c r="K56" i="33"/>
  <c r="F15" i="33"/>
  <c r="H15" i="33"/>
  <c r="H59" i="33" s="1"/>
  <c r="H64" i="33" s="1"/>
  <c r="K18" i="33"/>
  <c r="K33" i="33"/>
  <c r="K44" i="33"/>
  <c r="K45" i="33"/>
  <c r="K46" i="33"/>
  <c r="K47" i="33"/>
  <c r="K52" i="33"/>
  <c r="K53" i="33"/>
  <c r="K63" i="33"/>
  <c r="K66" i="33"/>
  <c r="K68" i="33"/>
  <c r="K48" i="33"/>
  <c r="K43" i="33"/>
  <c r="C59" i="33"/>
  <c r="F50" i="33" l="1"/>
  <c r="F65" i="33" s="1"/>
  <c r="J15" i="33"/>
  <c r="J59" i="33" s="1"/>
  <c r="G15" i="33"/>
  <c r="H65" i="33"/>
  <c r="D15" i="33"/>
  <c r="K51" i="33"/>
  <c r="K17" i="33"/>
  <c r="I15" i="33"/>
  <c r="C15" i="33"/>
  <c r="G50" i="33"/>
  <c r="G65" i="33" s="1"/>
  <c r="K57" i="33"/>
  <c r="C65" i="33"/>
  <c r="K64" i="33"/>
  <c r="K15" i="33" l="1"/>
  <c r="K50" i="33"/>
  <c r="K65" i="33"/>
  <c r="K60" i="33"/>
  <c r="E61" i="33"/>
  <c r="K61" i="33" s="1"/>
  <c r="K59" i="33"/>
</calcChain>
</file>

<file path=xl/sharedStrings.xml><?xml version="1.0" encoding="utf-8"?>
<sst xmlns="http://schemas.openxmlformats.org/spreadsheetml/2006/main" count="121" uniqueCount="117">
  <si>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</si>
  <si>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</si>
  <si>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</si>
  <si>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</si>
  <si>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</si>
  <si>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</si>
  <si>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</si>
  <si>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</si>
  <si>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</si>
  <si>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</si>
  <si>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1.</t>
  </si>
  <si>
    <t>ДОХОДЫ местных бюджетов, из них</t>
  </si>
  <si>
    <t>1.1</t>
  </si>
  <si>
    <t>ДОХОДЫ к распределению (очищенные)</t>
  </si>
  <si>
    <t>2.</t>
  </si>
  <si>
    <t>РАСХОДЫ местных бюджетов, из них:</t>
  </si>
  <si>
    <t>2.1</t>
  </si>
  <si>
    <t>2.2</t>
  </si>
  <si>
    <t>прочие расходы, из них:</t>
  </si>
  <si>
    <t>расходы на проведение выборов</t>
  </si>
  <si>
    <t>3.</t>
  </si>
  <si>
    <t>ПРЕДЕЛЬНЫЙ ДЕФИЦИТ местных бюджетов</t>
  </si>
  <si>
    <t>4.</t>
  </si>
  <si>
    <t xml:space="preserve">ДОТАЦИИ (трансферты) из  РБ </t>
  </si>
  <si>
    <t>5.1</t>
  </si>
  <si>
    <t>Фонд развития и стимулирования территорий городов и районов</t>
  </si>
  <si>
    <t>мероприятия по программе "Столица"</t>
  </si>
  <si>
    <t>Приложение № 3</t>
  </si>
  <si>
    <t>к Закону Приднестровской Молдавской Республики</t>
  </si>
  <si>
    <t>Плановые доходы и расходы местных бюджетов на 2020 год</t>
  </si>
  <si>
    <t>"О республиканском бюджете на 2020 год"</t>
  </si>
  <si>
    <t>ОСТАТКИ по состоянию на 1 января 2020 года всего, в том числе:</t>
  </si>
  <si>
    <t>6.3</t>
  </si>
  <si>
    <t>3.1</t>
  </si>
  <si>
    <t>3.2</t>
  </si>
  <si>
    <t>3.1.1</t>
  </si>
  <si>
    <t>3.1.2</t>
  </si>
  <si>
    <t>3.1.2.1</t>
  </si>
  <si>
    <t>3.1.2.2</t>
  </si>
  <si>
    <t>5.</t>
  </si>
  <si>
    <t>6.</t>
  </si>
  <si>
    <t>за счет целевых источников</t>
  </si>
  <si>
    <t>6.1</t>
  </si>
  <si>
    <t>6.2</t>
  </si>
  <si>
    <t>1.2</t>
  </si>
  <si>
    <t>1.2.1</t>
  </si>
  <si>
    <t>1.2.1.1</t>
  </si>
  <si>
    <t>целевой сбор на благоустройство территории сел (поселков)</t>
  </si>
  <si>
    <t>1.2.1.2</t>
  </si>
  <si>
    <t>целевой сбор на содержание и развитие социальной сферы и инфраструктуры сел (поселков)</t>
  </si>
  <si>
    <t>1.2.1.3</t>
  </si>
  <si>
    <t>налог на содержание жилищного фонда, объектов социально-культурной сферы и иные цели</t>
  </si>
  <si>
    <t>1.2.1.4</t>
  </si>
  <si>
    <t>целевой сбор землеустроителей</t>
  </si>
  <si>
    <t>1.2.1.5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</si>
  <si>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</si>
  <si>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1.2.1.6</t>
  </si>
  <si>
    <t>средства  от приватизации</t>
  </si>
  <si>
    <t>1.2.1.7</t>
  </si>
  <si>
    <t>средства, направляемые на кредитование крестьянских (фермерских) хозяйств (и проценты)</t>
  </si>
  <si>
    <t>1.2.1.8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</si>
  <si>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</si>
  <si>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1.2.1.9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</si>
  <si>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</si>
  <si>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1.2.1.10</t>
  </si>
  <si>
    <t>1.2.1.11</t>
  </si>
  <si>
    <t>фонд социального развития</t>
  </si>
  <si>
    <t>1.2.1.12</t>
  </si>
  <si>
    <t>1.2.2.</t>
  </si>
  <si>
    <t xml:space="preserve"> на специальных бюджетных счетах</t>
  </si>
  <si>
    <t>1.2.3.</t>
  </si>
  <si>
    <t>территориального экологического фонда</t>
  </si>
  <si>
    <t>1.2.4.</t>
  </si>
  <si>
    <t>средства из РБ  на развитие дорожной отрасли, в том числе:</t>
  </si>
  <si>
    <t>1.2.4.1</t>
  </si>
  <si>
    <t>на развитие автомобильных дорог общего пользования, находящихся в государственной собственности</t>
  </si>
  <si>
    <t>1.2.4.2</t>
  </si>
  <si>
    <t>на развитие автомобильных дорог общего пользования, находящихся в муниципальной  собственности</t>
  </si>
  <si>
    <t>1.2.4.3</t>
  </si>
  <si>
    <t>на обустройство мест стоянок и парковок</t>
  </si>
  <si>
    <t>1.2.4.4</t>
  </si>
  <si>
    <t>по сельским дорогам и дорогам, являющимся продолжением дорог</t>
  </si>
  <si>
    <t>1.2.4.5</t>
  </si>
  <si>
    <t>1.2.4.6</t>
  </si>
  <si>
    <t xml:space="preserve">строительство и реконструкция сельских дорог </t>
  </si>
  <si>
    <t>1.2.4.7</t>
  </si>
  <si>
    <t>благоустройство территорий образовательных учреждений</t>
  </si>
  <si>
    <t>1.2.5</t>
  </si>
  <si>
    <t>* секретно</t>
  </si>
  <si>
    <t xml:space="preserve"> целевые сборы и платежи всего, в том числе:</t>
  </si>
  <si>
    <t>расходы к распределению (очищенные)</t>
  </si>
  <si>
    <t>приобретение ГСМ для обеспечения работы милиции общественной безопасности (местной милиции)</t>
  </si>
  <si>
    <t>средства из резервных фондов  Президента и Правительства</t>
  </si>
  <si>
    <t>(руб.)</t>
  </si>
  <si>
    <t xml:space="preserve"> не имеющие целевого назначения  (очищенные)</t>
  </si>
  <si>
    <t xml:space="preserve">фонд экономического развития </t>
  </si>
  <si>
    <t>ремонтные работы дорог от пер. Западный до                                        ул. Правды</t>
  </si>
  <si>
    <t>3.1.2.3</t>
  </si>
  <si>
    <t>5.2</t>
  </si>
  <si>
    <t>2.1.1</t>
  </si>
  <si>
    <t>2.1.2</t>
  </si>
  <si>
    <t>территориальный экологический фонд</t>
  </si>
  <si>
    <t>2.1.3</t>
  </si>
  <si>
    <t xml:space="preserve"> имеющие целевые назначение, в том числе:</t>
  </si>
  <si>
    <t>имеющие целевое назначение</t>
  </si>
  <si>
    <t>расходы по социально защищенным статьям</t>
  </si>
  <si>
    <t>Источники покрытия дефицита, из них:</t>
  </si>
  <si>
    <t>ПРЕДЕЛЬНЫЕ РАСХОДЫ местных бюджетов, из них:</t>
  </si>
  <si>
    <t>мобилизационный резерв</t>
  </si>
  <si>
    <t>5.2.1</t>
  </si>
  <si>
    <t>5.1.1</t>
  </si>
  <si>
    <t>иные источники, установленные настоящим Законом всего, из них:</t>
  </si>
  <si>
    <t>субсидии  из РБ  на развитие дорожной отрасли</t>
  </si>
  <si>
    <t>часть субсидий из РБ  на развитие дорожной отрасли</t>
  </si>
  <si>
    <t>"О внесении изменений и дополнений</t>
  </si>
  <si>
    <t>в некоторые законы Приднестровской Молдавской Республики"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</si>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</sst>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\-#,##0\ 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6" fillId="0" borderId="0" xfId="0" applyFont="1" applyFill="1" applyAlignment="1"/>
    <xf numFmtId="3" fontId="0" fillId="0" borderId="0" xfId="0" applyNumberFormat="1" applyFill="1"/>
    <xf numFmtId="0" fontId="7" fillId="0" borderId="0" xfId="0" applyFont="1" applyFill="1"/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right" vertical="center"/>
    </xf>
    <xf numFmtId="3" fontId="12" fillId="0" borderId="3" xfId="1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3" fillId="0" borderId="1" xfId="1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165" fontId="12" fillId="0" borderId="1" xfId="1" applyNumberFormat="1" applyFont="1" applyBorder="1" applyAlignment="1">
      <alignment horizontal="right" vertical="center"/>
    </xf>
    <xf numFmtId="165" fontId="15" fillId="0" borderId="1" xfId="1" applyNumberFormat="1" applyFont="1" applyBorder="1" applyAlignment="1">
      <alignment horizontal="right" vertical="center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/>
    <xf numFmtId="0" fontId="22" fillId="0" borderId="0" xfId="0" applyFont="1" applyAlignment="1">
      <alignment horizontal="right"/>
    </xf>
    <xf numFmtId="0" fontId="10" fillId="0" borderId="7" xfId="0" applyFont="1" applyBorder="1"/>
    <xf numFmtId="0" fontId="10" fillId="0" borderId="8" xfId="0" applyFont="1" applyBorder="1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2" fillId="0" borderId="1" xfId="0" applyFont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Border="1" applyAlignment="1">
      <alignment vertical="center" wrapText="1"/>
    </xf>
    <xf numFmtId="3" fontId="12" fillId="0" borderId="1" xfId="1" applyNumberFormat="1" applyFont="1" applyBorder="1" applyAlignment="1">
      <alignment vertical="center" wrapText="1"/>
    </xf>
    <xf numFmtId="3" fontId="12" fillId="0" borderId="1" xfId="1" applyNumberFormat="1" applyFont="1" applyBorder="1" applyAlignment="1">
      <alignment horizontal="left" vertical="center" wrapText="1"/>
    </xf>
    <xf numFmtId="3" fontId="13" fillId="0" borderId="1" xfId="1" applyNumberFormat="1" applyFont="1" applyBorder="1"/>
    <xf numFmtId="4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3" fontId="14" fillId="0" borderId="1" xfId="0" applyNumberFormat="1" applyFont="1" applyBorder="1" applyAlignment="1">
      <alignment vertical="center" wrapText="1"/>
    </xf>
    <xf numFmtId="0" fontId="10" fillId="0" borderId="9" xfId="0" applyFont="1" applyBorder="1"/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2" borderId="11" xfId="1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justify"/>
    </xf>
    <xf numFmtId="0" fontId="10" fillId="0" borderId="8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C4" zoomScaleNormal="100" workbookViewId="0">
      <selection activeCell="K1" sqref="K1"/>
    </sheetView>
  </sheetViews>
  <sheetFormatPr defaultRowHeight="15" x14ac:dyDescent="0.25"/>
  <cols>
    <col min="1" max="1" width="8.5703125" style="1" bestFit="1" customWidth="1"/>
    <col min="2" max="2" width="46.5703125" style="1" customWidth="1"/>
    <col min="3" max="3" width="15.5703125" style="1" customWidth="1"/>
    <col min="4" max="4" width="14.140625" style="1" customWidth="1"/>
    <col min="5" max="5" width="15.85546875" style="1" customWidth="1"/>
    <col min="6" max="6" width="15.140625" style="1" customWidth="1"/>
    <col min="7" max="7" width="14.85546875" style="1" customWidth="1"/>
    <col min="8" max="8" width="15.140625" style="1" customWidth="1"/>
    <col min="9" max="9" width="16.7109375" style="1" customWidth="1"/>
    <col min="10" max="10" width="14" style="1" customWidth="1"/>
    <col min="11" max="11" width="16.7109375" style="1" customWidth="1"/>
    <col min="12" max="16384" width="9.140625" style="1"/>
  </cols>
  <sheetData>
    <row r="1" spans="1:11" ht="12.75" customHeight="1" x14ac:dyDescent="0.25">
      <c r="I1" s="29"/>
      <c r="J1" s="29"/>
      <c r="K1" s="29" t="s">
        <v>116</v>
      </c>
    </row>
    <row r="2" spans="1:11" ht="12.75" customHeight="1" x14ac:dyDescent="0.25">
      <c r="I2" s="30"/>
      <c r="J2" s="31"/>
      <c r="K2" s="29" t="s">
        <v>28</v>
      </c>
    </row>
    <row r="3" spans="1:11" ht="12.75" customHeight="1" x14ac:dyDescent="0.25">
      <c r="I3" s="30"/>
      <c r="J3" s="29"/>
      <c r="K3" s="29" t="s">
        <v>114</v>
      </c>
    </row>
    <row r="4" spans="1:11" ht="12.75" customHeight="1" x14ac:dyDescent="0.25">
      <c r="I4" s="30"/>
      <c r="J4" s="29"/>
      <c r="K4" s="29" t="s">
        <v>115</v>
      </c>
    </row>
    <row r="5" spans="1:11" s="26" customFormat="1" ht="12.75" x14ac:dyDescent="0.2">
      <c r="A5" s="23"/>
      <c r="B5" s="24"/>
      <c r="C5" s="23"/>
      <c r="D5" s="23"/>
      <c r="E5" s="23"/>
      <c r="F5" s="23"/>
      <c r="G5" s="23"/>
      <c r="H5" s="23"/>
      <c r="I5" s="29"/>
      <c r="J5" s="31"/>
      <c r="K5" s="31"/>
    </row>
    <row r="6" spans="1:11" s="26" customFormat="1" ht="12.75" x14ac:dyDescent="0.2">
      <c r="A6" s="27"/>
      <c r="B6" s="28"/>
      <c r="C6" s="27"/>
      <c r="D6" s="27"/>
      <c r="E6" s="27"/>
      <c r="F6" s="27"/>
      <c r="G6" s="27"/>
      <c r="H6" s="27"/>
      <c r="I6" s="27"/>
      <c r="J6" s="27"/>
      <c r="K6" s="25" t="s">
        <v>27</v>
      </c>
    </row>
    <row r="7" spans="1:11" s="26" customFormat="1" ht="12.75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5" t="s">
        <v>28</v>
      </c>
    </row>
    <row r="8" spans="1:11" s="26" customFormat="1" ht="12.75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5" t="s">
        <v>30</v>
      </c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5"/>
    </row>
    <row r="10" spans="1:11" ht="16.5" x14ac:dyDescent="0.25">
      <c r="A10" s="2"/>
      <c r="B10" s="61" t="s">
        <v>29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6.5" x14ac:dyDescent="0.25">
      <c r="A11" s="6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7.25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7" t="s">
        <v>93</v>
      </c>
    </row>
    <row r="13" spans="1:11" customFormat="1" ht="16.5" x14ac:dyDescent="0.25">
      <c r="A13" s="32"/>
      <c r="B13" s="33"/>
      <c r="C13" s="62"/>
      <c r="D13" s="62"/>
      <c r="E13" s="62"/>
      <c r="F13" s="62"/>
      <c r="G13" s="62"/>
      <c r="H13" s="62"/>
      <c r="I13" s="62"/>
      <c r="J13" s="62"/>
      <c r="K13" s="51"/>
    </row>
    <row r="14" spans="1:11" s="34" customFormat="1" ht="16.5" thickBot="1" x14ac:dyDescent="0.3">
      <c r="A14" s="56"/>
      <c r="B14" s="57" t="s">
        <v>0</v>
      </c>
      <c r="C14" s="58" t="s">
        <v>1</v>
      </c>
      <c r="D14" s="58" t="s">
        <v>2</v>
      </c>
      <c r="E14" s="58" t="s">
        <v>3</v>
      </c>
      <c r="F14" s="58" t="s">
        <v>4</v>
      </c>
      <c r="G14" s="58" t="s">
        <v>5</v>
      </c>
      <c r="H14" s="58" t="s">
        <v>6</v>
      </c>
      <c r="I14" s="58" t="s">
        <v>7</v>
      </c>
      <c r="J14" s="58" t="s">
        <v>8</v>
      </c>
      <c r="K14" s="59" t="s">
        <v>9</v>
      </c>
    </row>
    <row r="15" spans="1:11" s="34" customFormat="1" ht="31.5" x14ac:dyDescent="0.25">
      <c r="A15" s="52" t="s">
        <v>10</v>
      </c>
      <c r="B15" s="53" t="s">
        <v>31</v>
      </c>
      <c r="C15" s="54">
        <f>SUM(C16:C17)</f>
        <v>16824561</v>
      </c>
      <c r="D15" s="54">
        <f t="shared" ref="D15:J15" si="0">SUM(D16:D17)</f>
        <v>2640717</v>
      </c>
      <c r="E15" s="54">
        <f t="shared" si="0"/>
        <v>7194680</v>
      </c>
      <c r="F15" s="54">
        <f t="shared" si="0"/>
        <v>7995917</v>
      </c>
      <c r="G15" s="54">
        <f t="shared" si="0"/>
        <v>9115542</v>
      </c>
      <c r="H15" s="54">
        <f t="shared" si="0"/>
        <v>5245990</v>
      </c>
      <c r="I15" s="54">
        <f t="shared" si="0"/>
        <v>3398777</v>
      </c>
      <c r="J15" s="54">
        <f t="shared" si="0"/>
        <v>1743935</v>
      </c>
      <c r="K15" s="55">
        <f>SUM(C15:J15)</f>
        <v>54160119</v>
      </c>
    </row>
    <row r="16" spans="1:11" s="34" customFormat="1" ht="31.5" x14ac:dyDescent="0.25">
      <c r="A16" s="8" t="s">
        <v>12</v>
      </c>
      <c r="B16" s="43" t="s">
        <v>94</v>
      </c>
      <c r="C16" s="10">
        <v>7552279</v>
      </c>
      <c r="D16" s="10">
        <v>788988</v>
      </c>
      <c r="E16" s="10">
        <v>3969519</v>
      </c>
      <c r="F16" s="10">
        <v>2689060</v>
      </c>
      <c r="G16" s="10">
        <v>2972295</v>
      </c>
      <c r="H16" s="10">
        <v>2278536</v>
      </c>
      <c r="I16" s="10">
        <v>403528</v>
      </c>
      <c r="J16" s="10">
        <v>81769</v>
      </c>
      <c r="K16" s="9">
        <f>SUM(C16:J16)</f>
        <v>20735974</v>
      </c>
    </row>
    <row r="17" spans="1:11" s="34" customFormat="1" ht="31.5" x14ac:dyDescent="0.25">
      <c r="A17" s="8" t="s">
        <v>44</v>
      </c>
      <c r="B17" s="43" t="s">
        <v>103</v>
      </c>
      <c r="C17" s="10">
        <f>SUM(C18+C31+C32+C33+C41)</f>
        <v>9272282</v>
      </c>
      <c r="D17" s="10">
        <f t="shared" ref="D17:J17" si="1">SUM(D18+D31+D32+D33+D41)</f>
        <v>1851729</v>
      </c>
      <c r="E17" s="10">
        <f t="shared" si="1"/>
        <v>3225161</v>
      </c>
      <c r="F17" s="10">
        <f t="shared" si="1"/>
        <v>5306857</v>
      </c>
      <c r="G17" s="10">
        <f t="shared" si="1"/>
        <v>6143247</v>
      </c>
      <c r="H17" s="10">
        <f t="shared" si="1"/>
        <v>2967454</v>
      </c>
      <c r="I17" s="10">
        <f t="shared" si="1"/>
        <v>2995249</v>
      </c>
      <c r="J17" s="10">
        <f t="shared" si="1"/>
        <v>1662166</v>
      </c>
      <c r="K17" s="9">
        <f>SUM(C17:J17)</f>
        <v>33424145</v>
      </c>
    </row>
    <row r="18" spans="1:11" s="34" customFormat="1" ht="31.5" x14ac:dyDescent="0.25">
      <c r="A18" s="11" t="s">
        <v>45</v>
      </c>
      <c r="B18" s="44" t="s">
        <v>89</v>
      </c>
      <c r="C18" s="12">
        <f>SUM(C19:C30)</f>
        <v>1950893</v>
      </c>
      <c r="D18" s="12">
        <f t="shared" ref="D18:J18" si="2">SUM(D19:D30)</f>
        <v>1303799</v>
      </c>
      <c r="E18" s="12">
        <f t="shared" si="2"/>
        <v>1965827</v>
      </c>
      <c r="F18" s="12">
        <f t="shared" si="2"/>
        <v>3357782</v>
      </c>
      <c r="G18" s="12">
        <f t="shared" si="2"/>
        <v>3147290</v>
      </c>
      <c r="H18" s="12">
        <f t="shared" si="2"/>
        <v>1589874</v>
      </c>
      <c r="I18" s="12">
        <f t="shared" si="2"/>
        <v>1969472</v>
      </c>
      <c r="J18" s="12">
        <f t="shared" si="2"/>
        <v>983295</v>
      </c>
      <c r="K18" s="13">
        <f>SUM(C18:J18)</f>
        <v>16268232</v>
      </c>
    </row>
    <row r="19" spans="1:11" s="34" customFormat="1" ht="31.5" x14ac:dyDescent="0.25">
      <c r="A19" s="11" t="s">
        <v>46</v>
      </c>
      <c r="B19" s="44" t="s">
        <v>47</v>
      </c>
      <c r="C19" s="12">
        <v>16067</v>
      </c>
      <c r="D19" s="12"/>
      <c r="E19" s="12"/>
      <c r="F19" s="12">
        <v>341010</v>
      </c>
      <c r="G19" s="12">
        <v>355958</v>
      </c>
      <c r="H19" s="12">
        <v>368219</v>
      </c>
      <c r="I19" s="12">
        <v>206570</v>
      </c>
      <c r="J19" s="12">
        <v>214431</v>
      </c>
      <c r="K19" s="13">
        <f t="shared" ref="K19:K41" si="3">SUM(C19:J19)</f>
        <v>1502255</v>
      </c>
    </row>
    <row r="20" spans="1:11" s="34" customFormat="1" ht="47.25" x14ac:dyDescent="0.25">
      <c r="A20" s="11" t="s">
        <v>48</v>
      </c>
      <c r="B20" s="44" t="s">
        <v>49</v>
      </c>
      <c r="C20" s="12">
        <v>2429</v>
      </c>
      <c r="D20" s="12"/>
      <c r="E20" s="12">
        <v>10978</v>
      </c>
      <c r="F20" s="12">
        <v>839787</v>
      </c>
      <c r="G20" s="12">
        <v>100063</v>
      </c>
      <c r="H20" s="12">
        <v>5878</v>
      </c>
      <c r="I20" s="12">
        <v>332324</v>
      </c>
      <c r="J20" s="12">
        <v>154211</v>
      </c>
      <c r="K20" s="13">
        <f t="shared" si="3"/>
        <v>1445670</v>
      </c>
    </row>
    <row r="21" spans="1:11" s="34" customFormat="1" ht="47.25" x14ac:dyDescent="0.25">
      <c r="A21" s="11" t="s">
        <v>50</v>
      </c>
      <c r="B21" s="44" t="s">
        <v>51</v>
      </c>
      <c r="C21" s="12">
        <v>987531</v>
      </c>
      <c r="D21" s="12">
        <v>1189415</v>
      </c>
      <c r="E21" s="12">
        <v>1726465</v>
      </c>
      <c r="F21" s="12">
        <v>1262973</v>
      </c>
      <c r="G21" s="12">
        <v>1259544</v>
      </c>
      <c r="H21" s="12">
        <v>400566</v>
      </c>
      <c r="I21" s="12">
        <v>252904</v>
      </c>
      <c r="J21" s="12">
        <v>139157</v>
      </c>
      <c r="K21" s="13">
        <f t="shared" si="3"/>
        <v>7218555</v>
      </c>
    </row>
    <row r="22" spans="1:11" s="34" customFormat="1" ht="15.75" x14ac:dyDescent="0.25">
      <c r="A22" s="11" t="s">
        <v>52</v>
      </c>
      <c r="B22" s="44" t="s">
        <v>53</v>
      </c>
      <c r="C22" s="12"/>
      <c r="D22" s="12"/>
      <c r="E22" s="12">
        <v>1930</v>
      </c>
      <c r="F22" s="12"/>
      <c r="G22" s="12">
        <v>8684</v>
      </c>
      <c r="H22" s="12">
        <v>4020</v>
      </c>
      <c r="I22" s="12">
        <v>9771</v>
      </c>
      <c r="J22" s="12">
        <v>11655</v>
      </c>
      <c r="K22" s="13">
        <f t="shared" si="3"/>
        <v>36060</v>
      </c>
    </row>
    <row r="23" spans="1:11" s="34" customFormat="1" ht="94.5" x14ac:dyDescent="0.25">
      <c r="A23" s="11" t="s">
        <v>54</v>
      </c>
      <c r="B23" s="44" t="s">
        <v>55</v>
      </c>
      <c r="C23" s="12"/>
      <c r="D23" s="12"/>
      <c r="E23" s="12"/>
      <c r="F23" s="12">
        <v>11548</v>
      </c>
      <c r="G23" s="12"/>
      <c r="H23" s="12"/>
      <c r="I23" s="12"/>
      <c r="J23" s="12"/>
      <c r="K23" s="13">
        <f t="shared" si="3"/>
        <v>11548</v>
      </c>
    </row>
    <row r="24" spans="1:11" s="34" customFormat="1" ht="15.75" x14ac:dyDescent="0.25">
      <c r="A24" s="11" t="s">
        <v>56</v>
      </c>
      <c r="B24" s="44" t="s">
        <v>57</v>
      </c>
      <c r="C24" s="12">
        <v>803441</v>
      </c>
      <c r="D24" s="12">
        <v>114384</v>
      </c>
      <c r="E24" s="12"/>
      <c r="F24" s="12">
        <v>28000</v>
      </c>
      <c r="G24" s="12">
        <v>1391413</v>
      </c>
      <c r="H24" s="12">
        <v>98719</v>
      </c>
      <c r="I24" s="12"/>
      <c r="J24" s="12"/>
      <c r="K24" s="13">
        <f t="shared" si="3"/>
        <v>2435957</v>
      </c>
    </row>
    <row r="25" spans="1:11" s="34" customFormat="1" ht="47.25" x14ac:dyDescent="0.25">
      <c r="A25" s="11" t="s">
        <v>58</v>
      </c>
      <c r="B25" s="44" t="s">
        <v>59</v>
      </c>
      <c r="C25" s="12">
        <v>34999</v>
      </c>
      <c r="D25" s="12"/>
      <c r="E25" s="12"/>
      <c r="F25" s="12">
        <v>541915</v>
      </c>
      <c r="G25" s="12"/>
      <c r="H25" s="12">
        <v>646395</v>
      </c>
      <c r="I25" s="12">
        <v>1004322</v>
      </c>
      <c r="J25" s="12">
        <v>352498</v>
      </c>
      <c r="K25" s="13">
        <f t="shared" si="3"/>
        <v>2580129</v>
      </c>
    </row>
    <row r="26" spans="1:11" s="34" customFormat="1" ht="63" x14ac:dyDescent="0.25">
      <c r="A26" s="11" t="s">
        <v>60</v>
      </c>
      <c r="B26" s="44" t="s">
        <v>61</v>
      </c>
      <c r="C26" s="12"/>
      <c r="D26" s="12"/>
      <c r="E26" s="12"/>
      <c r="F26" s="12">
        <v>24746</v>
      </c>
      <c r="G26" s="12"/>
      <c r="H26" s="12">
        <v>7143</v>
      </c>
      <c r="I26" s="12">
        <v>81778</v>
      </c>
      <c r="J26" s="12">
        <v>12246</v>
      </c>
      <c r="K26" s="14">
        <f t="shared" si="3"/>
        <v>125913</v>
      </c>
    </row>
    <row r="27" spans="1:11" s="34" customFormat="1" ht="63" x14ac:dyDescent="0.25">
      <c r="A27" s="11" t="s">
        <v>62</v>
      </c>
      <c r="B27" s="44" t="s">
        <v>63</v>
      </c>
      <c r="C27" s="12">
        <v>106426</v>
      </c>
      <c r="D27" s="12"/>
      <c r="E27" s="12">
        <v>152189</v>
      </c>
      <c r="F27" s="12">
        <v>307803</v>
      </c>
      <c r="G27" s="12">
        <v>31628</v>
      </c>
      <c r="H27" s="12">
        <v>58934</v>
      </c>
      <c r="I27" s="12">
        <v>55175</v>
      </c>
      <c r="J27" s="12">
        <v>99097</v>
      </c>
      <c r="K27" s="14">
        <f t="shared" si="3"/>
        <v>811252</v>
      </c>
    </row>
    <row r="28" spans="1:11" s="34" customFormat="1" ht="94.5" x14ac:dyDescent="0.25">
      <c r="A28" s="11" t="s">
        <v>64</v>
      </c>
      <c r="B28" s="44" t="s">
        <v>55</v>
      </c>
      <c r="C28" s="12"/>
      <c r="D28" s="12"/>
      <c r="E28" s="12"/>
      <c r="F28" s="12"/>
      <c r="G28" s="12"/>
      <c r="H28" s="12"/>
      <c r="I28" s="12"/>
      <c r="J28" s="12"/>
      <c r="K28" s="14">
        <f t="shared" si="3"/>
        <v>0</v>
      </c>
    </row>
    <row r="29" spans="1:11" s="34" customFormat="1" ht="15.75" x14ac:dyDescent="0.25">
      <c r="A29" s="11" t="s">
        <v>65</v>
      </c>
      <c r="B29" s="44" t="s">
        <v>66</v>
      </c>
      <c r="C29" s="12"/>
      <c r="D29" s="12"/>
      <c r="E29" s="12">
        <v>53519</v>
      </c>
      <c r="F29" s="12"/>
      <c r="G29" s="12"/>
      <c r="H29" s="12"/>
      <c r="I29" s="12">
        <v>21078</v>
      </c>
      <c r="J29" s="12"/>
      <c r="K29" s="14">
        <f t="shared" si="3"/>
        <v>74597</v>
      </c>
    </row>
    <row r="30" spans="1:11" s="34" customFormat="1" ht="15.75" x14ac:dyDescent="0.25">
      <c r="A30" s="11" t="s">
        <v>67</v>
      </c>
      <c r="B30" s="44" t="s">
        <v>95</v>
      </c>
      <c r="C30" s="12"/>
      <c r="D30" s="12"/>
      <c r="E30" s="12">
        <v>20746</v>
      </c>
      <c r="F30" s="12"/>
      <c r="G30" s="12"/>
      <c r="H30" s="12"/>
      <c r="I30" s="12">
        <v>5550</v>
      </c>
      <c r="J30" s="12"/>
      <c r="K30" s="14">
        <f t="shared" si="3"/>
        <v>26296</v>
      </c>
    </row>
    <row r="31" spans="1:11" s="34" customFormat="1" ht="15.75" x14ac:dyDescent="0.25">
      <c r="A31" s="11" t="s">
        <v>68</v>
      </c>
      <c r="B31" s="44" t="s">
        <v>69</v>
      </c>
      <c r="C31" s="15">
        <v>1488853</v>
      </c>
      <c r="D31" s="15">
        <v>284101</v>
      </c>
      <c r="E31" s="15">
        <v>938747</v>
      </c>
      <c r="F31" s="15">
        <v>917835</v>
      </c>
      <c r="G31" s="15">
        <v>2158680</v>
      </c>
      <c r="H31" s="15">
        <v>501201</v>
      </c>
      <c r="I31" s="15">
        <v>255472</v>
      </c>
      <c r="J31" s="15">
        <v>300723</v>
      </c>
      <c r="K31" s="14">
        <f t="shared" si="3"/>
        <v>6845612</v>
      </c>
    </row>
    <row r="32" spans="1:11" s="34" customFormat="1" ht="15.75" x14ac:dyDescent="0.25">
      <c r="A32" s="11" t="s">
        <v>70</v>
      </c>
      <c r="B32" s="44" t="s">
        <v>71</v>
      </c>
      <c r="C32" s="15">
        <v>21442</v>
      </c>
      <c r="D32" s="15">
        <v>212528</v>
      </c>
      <c r="E32" s="15">
        <v>6633</v>
      </c>
      <c r="F32" s="15">
        <v>411530</v>
      </c>
      <c r="G32" s="15">
        <v>158571</v>
      </c>
      <c r="H32" s="15">
        <v>648970</v>
      </c>
      <c r="I32" s="15">
        <v>432635</v>
      </c>
      <c r="J32" s="15">
        <v>258700</v>
      </c>
      <c r="K32" s="14">
        <f t="shared" si="3"/>
        <v>2151009</v>
      </c>
    </row>
    <row r="33" spans="1:12" s="34" customFormat="1" ht="31.5" x14ac:dyDescent="0.25">
      <c r="A33" s="11" t="s">
        <v>72</v>
      </c>
      <c r="B33" s="45" t="s">
        <v>73</v>
      </c>
      <c r="C33" s="12">
        <f>SUM(C34:C40)</f>
        <v>811094</v>
      </c>
      <c r="D33" s="12">
        <f t="shared" ref="D33:J33" si="4">SUM(D34:D40)</f>
        <v>51301</v>
      </c>
      <c r="E33" s="12">
        <f t="shared" si="4"/>
        <v>313954</v>
      </c>
      <c r="F33" s="12">
        <f t="shared" si="4"/>
        <v>619710</v>
      </c>
      <c r="G33" s="12">
        <f t="shared" si="4"/>
        <v>678706</v>
      </c>
      <c r="H33" s="12">
        <f t="shared" si="4"/>
        <v>227409</v>
      </c>
      <c r="I33" s="12">
        <f t="shared" si="4"/>
        <v>337670</v>
      </c>
      <c r="J33" s="12">
        <f t="shared" si="4"/>
        <v>119448</v>
      </c>
      <c r="K33" s="13">
        <f t="shared" si="3"/>
        <v>3159292</v>
      </c>
    </row>
    <row r="34" spans="1:12" s="34" customFormat="1" ht="47.25" x14ac:dyDescent="0.25">
      <c r="A34" s="11" t="s">
        <v>74</v>
      </c>
      <c r="B34" s="44" t="s">
        <v>75</v>
      </c>
      <c r="C34" s="15"/>
      <c r="D34" s="15"/>
      <c r="E34" s="15"/>
      <c r="F34" s="15">
        <v>619708</v>
      </c>
      <c r="G34" s="15"/>
      <c r="H34" s="15">
        <v>227409</v>
      </c>
      <c r="I34" s="15">
        <v>176366</v>
      </c>
      <c r="J34" s="15">
        <v>9</v>
      </c>
      <c r="K34" s="14">
        <f t="shared" si="3"/>
        <v>1023492</v>
      </c>
    </row>
    <row r="35" spans="1:12" s="34" customFormat="1" ht="47.25" x14ac:dyDescent="0.25">
      <c r="A35" s="11" t="s">
        <v>76</v>
      </c>
      <c r="B35" s="44" t="s">
        <v>77</v>
      </c>
      <c r="C35" s="15">
        <v>464227</v>
      </c>
      <c r="D35" s="15"/>
      <c r="E35" s="15"/>
      <c r="F35" s="15"/>
      <c r="G35" s="15">
        <v>632893</v>
      </c>
      <c r="H35" s="15"/>
      <c r="I35" s="15">
        <v>161304</v>
      </c>
      <c r="J35" s="15">
        <v>7269</v>
      </c>
      <c r="K35" s="14">
        <f t="shared" si="3"/>
        <v>1265693</v>
      </c>
    </row>
    <row r="36" spans="1:12" s="34" customFormat="1" ht="15.75" x14ac:dyDescent="0.25">
      <c r="A36" s="11" t="s">
        <v>78</v>
      </c>
      <c r="B36" s="44" t="s">
        <v>79</v>
      </c>
      <c r="C36" s="15">
        <v>866</v>
      </c>
      <c r="D36" s="15">
        <v>22768</v>
      </c>
      <c r="E36" s="15">
        <v>313953</v>
      </c>
      <c r="F36" s="15">
        <v>2</v>
      </c>
      <c r="G36" s="15">
        <v>45813</v>
      </c>
      <c r="H36" s="15"/>
      <c r="I36" s="15"/>
      <c r="J36" s="15">
        <v>12650</v>
      </c>
      <c r="K36" s="14">
        <f t="shared" si="3"/>
        <v>396052</v>
      </c>
    </row>
    <row r="37" spans="1:12" s="34" customFormat="1" ht="31.5" x14ac:dyDescent="0.25">
      <c r="A37" s="11" t="s">
        <v>80</v>
      </c>
      <c r="B37" s="44" t="s">
        <v>81</v>
      </c>
      <c r="C37" s="15"/>
      <c r="D37" s="15"/>
      <c r="E37" s="15"/>
      <c r="F37" s="15"/>
      <c r="G37" s="15"/>
      <c r="H37" s="15"/>
      <c r="I37" s="15"/>
      <c r="J37" s="15"/>
      <c r="K37" s="14">
        <f t="shared" si="3"/>
        <v>0</v>
      </c>
    </row>
    <row r="38" spans="1:12" s="34" customFormat="1" ht="31.5" x14ac:dyDescent="0.25">
      <c r="A38" s="11" t="s">
        <v>82</v>
      </c>
      <c r="B38" s="44" t="s">
        <v>96</v>
      </c>
      <c r="C38" s="15">
        <v>346001</v>
      </c>
      <c r="D38" s="15"/>
      <c r="E38" s="15"/>
      <c r="F38" s="15"/>
      <c r="G38" s="15"/>
      <c r="H38" s="15"/>
      <c r="I38" s="15"/>
      <c r="J38" s="15"/>
      <c r="K38" s="14">
        <f t="shared" si="3"/>
        <v>346001</v>
      </c>
    </row>
    <row r="39" spans="1:12" s="34" customFormat="1" ht="31.5" x14ac:dyDescent="0.25">
      <c r="A39" s="11" t="s">
        <v>83</v>
      </c>
      <c r="B39" s="44" t="s">
        <v>84</v>
      </c>
      <c r="C39" s="15"/>
      <c r="D39" s="15"/>
      <c r="E39" s="15"/>
      <c r="F39" s="15"/>
      <c r="G39" s="15"/>
      <c r="H39" s="15"/>
      <c r="I39" s="15"/>
      <c r="J39" s="15"/>
      <c r="K39" s="14">
        <f t="shared" si="3"/>
        <v>0</v>
      </c>
    </row>
    <row r="40" spans="1:12" s="34" customFormat="1" ht="31.5" x14ac:dyDescent="0.25">
      <c r="A40" s="11" t="s">
        <v>85</v>
      </c>
      <c r="B40" s="44" t="s">
        <v>86</v>
      </c>
      <c r="C40" s="15"/>
      <c r="D40" s="15">
        <v>28533</v>
      </c>
      <c r="E40" s="15">
        <v>1</v>
      </c>
      <c r="F40" s="15"/>
      <c r="G40" s="15"/>
      <c r="H40" s="15"/>
      <c r="I40" s="15"/>
      <c r="J40" s="15">
        <v>99520</v>
      </c>
      <c r="K40" s="14">
        <f t="shared" si="3"/>
        <v>128054</v>
      </c>
    </row>
    <row r="41" spans="1:12" s="34" customFormat="1" ht="15.75" x14ac:dyDescent="0.25">
      <c r="A41" s="11" t="s">
        <v>87</v>
      </c>
      <c r="B41" s="46" t="s">
        <v>88</v>
      </c>
      <c r="C41" s="12">
        <v>5000000</v>
      </c>
      <c r="D41" s="16"/>
      <c r="E41" s="16"/>
      <c r="F41" s="16"/>
      <c r="G41" s="16"/>
      <c r="H41" s="16"/>
      <c r="I41" s="16"/>
      <c r="J41" s="16"/>
      <c r="K41" s="14">
        <f t="shared" si="3"/>
        <v>5000000</v>
      </c>
    </row>
    <row r="42" spans="1:12" s="34" customFormat="1" ht="15.75" x14ac:dyDescent="0.25">
      <c r="A42" s="11"/>
      <c r="B42" s="46"/>
      <c r="C42" s="12"/>
      <c r="D42" s="16"/>
      <c r="E42" s="16"/>
      <c r="F42" s="16"/>
      <c r="G42" s="16"/>
      <c r="H42" s="16"/>
      <c r="I42" s="16"/>
      <c r="J42" s="16"/>
      <c r="K42" s="14"/>
    </row>
    <row r="43" spans="1:12" s="36" customFormat="1" ht="15.75" x14ac:dyDescent="0.25">
      <c r="A43" s="8" t="s">
        <v>14</v>
      </c>
      <c r="B43" s="41" t="s">
        <v>11</v>
      </c>
      <c r="C43" s="42">
        <f>329396975-31773104</f>
        <v>297623871</v>
      </c>
      <c r="D43" s="10">
        <f>34127851-3186419</f>
        <v>30941432</v>
      </c>
      <c r="E43" s="10">
        <f>248113512-21381354</f>
        <v>226732158</v>
      </c>
      <c r="F43" s="10">
        <f>209721674-9748292-19665425</f>
        <v>180307957</v>
      </c>
      <c r="G43" s="10">
        <f>88978882-10502829</f>
        <v>78476053</v>
      </c>
      <c r="H43" s="10">
        <f>124948061-15094663</f>
        <v>109853398</v>
      </c>
      <c r="I43" s="10">
        <f>70974361-10934446</f>
        <v>60039915</v>
      </c>
      <c r="J43" s="10">
        <f>39423185-4862146+242003</f>
        <v>34803042</v>
      </c>
      <c r="K43" s="9">
        <f>SUM(C43:J43)</f>
        <v>1018777826</v>
      </c>
      <c r="L43" s="35"/>
    </row>
    <row r="44" spans="1:12" s="36" customFormat="1" ht="15.75" x14ac:dyDescent="0.25">
      <c r="A44" s="17" t="s">
        <v>16</v>
      </c>
      <c r="B44" s="47" t="s">
        <v>104</v>
      </c>
      <c r="C44" s="16">
        <f>47474868-9470719</f>
        <v>38004149</v>
      </c>
      <c r="D44" s="16">
        <f>9138485-1183539</f>
        <v>7954946</v>
      </c>
      <c r="E44" s="16">
        <f>27874188-4827178</f>
        <v>23047010</v>
      </c>
      <c r="F44" s="16">
        <f>21778646-1206017-1990172</f>
        <v>18582457</v>
      </c>
      <c r="G44" s="16">
        <f>7576533-3138764</f>
        <v>4437769</v>
      </c>
      <c r="H44" s="16">
        <f>16302131-2649614</f>
        <v>13652517</v>
      </c>
      <c r="I44" s="16">
        <f>13052138-2405967</f>
        <v>10646171</v>
      </c>
      <c r="J44" s="16">
        <f>7681291-1247673+242003</f>
        <v>6675621</v>
      </c>
      <c r="K44" s="14">
        <f>SUM(C44:J44)</f>
        <v>123000640</v>
      </c>
      <c r="L44" s="35"/>
    </row>
    <row r="45" spans="1:12" s="38" customFormat="1" ht="47.25" x14ac:dyDescent="0.25">
      <c r="A45" s="17" t="s">
        <v>99</v>
      </c>
      <c r="B45" s="47" t="s">
        <v>51</v>
      </c>
      <c r="C45" s="16">
        <f>0+15003699</f>
        <v>15003699</v>
      </c>
      <c r="D45" s="16">
        <f>0+5423528</f>
        <v>5423528</v>
      </c>
      <c r="E45" s="16">
        <f>0+6732821</f>
        <v>6732821</v>
      </c>
      <c r="F45" s="16">
        <f>0+4180828</f>
        <v>4180828</v>
      </c>
      <c r="G45" s="16">
        <f>0+1955570</f>
        <v>1955570</v>
      </c>
      <c r="H45" s="16">
        <f>3612385</f>
        <v>3612385</v>
      </c>
      <c r="I45" s="16">
        <f>0+1356346</f>
        <v>1356346</v>
      </c>
      <c r="J45" s="16">
        <f>0+944567</f>
        <v>944567</v>
      </c>
      <c r="K45" s="14">
        <f t="shared" ref="K45:K47" si="5">SUM(C45:J45)</f>
        <v>39209744</v>
      </c>
      <c r="L45" s="37"/>
    </row>
    <row r="46" spans="1:12" s="38" customFormat="1" ht="15.75" x14ac:dyDescent="0.25">
      <c r="A46" s="17" t="s">
        <v>100</v>
      </c>
      <c r="B46" s="48" t="s">
        <v>101</v>
      </c>
      <c r="C46" s="16">
        <f>0+4179111</f>
        <v>4179111</v>
      </c>
      <c r="D46" s="16">
        <f>0+1892309</f>
        <v>1892309</v>
      </c>
      <c r="E46" s="16">
        <f>0+1630425</f>
        <v>1630425</v>
      </c>
      <c r="F46" s="16">
        <f>0+2475678</f>
        <v>2475678</v>
      </c>
      <c r="G46" s="16">
        <f>0+544065</f>
        <v>544065</v>
      </c>
      <c r="H46" s="16">
        <f>0+1637865</f>
        <v>1637865</v>
      </c>
      <c r="I46" s="16">
        <f>0+535106</f>
        <v>535106</v>
      </c>
      <c r="J46" s="16">
        <f>0+386259</f>
        <v>386259</v>
      </c>
      <c r="K46" s="14">
        <f t="shared" si="5"/>
        <v>13280818</v>
      </c>
      <c r="L46" s="37"/>
    </row>
    <row r="47" spans="1:12" s="38" customFormat="1" ht="15.75" x14ac:dyDescent="0.25">
      <c r="A47" s="17" t="s">
        <v>102</v>
      </c>
      <c r="B47" s="48" t="s">
        <v>69</v>
      </c>
      <c r="C47" s="16">
        <f>0+17475224</f>
        <v>17475224</v>
      </c>
      <c r="D47" s="16">
        <f>0+569213</f>
        <v>569213</v>
      </c>
      <c r="E47" s="16">
        <f>0+13706885</f>
        <v>13706885</v>
      </c>
      <c r="F47" s="16">
        <f>0+8596711</f>
        <v>8596711</v>
      </c>
      <c r="G47" s="16">
        <f>0+811436</f>
        <v>811436</v>
      </c>
      <c r="H47" s="16">
        <f>0+5416497</f>
        <v>5416497</v>
      </c>
      <c r="I47" s="16">
        <f>0+3617412</f>
        <v>3617412</v>
      </c>
      <c r="J47" s="16">
        <f>0+2015386</f>
        <v>2015386</v>
      </c>
      <c r="K47" s="14">
        <f t="shared" si="5"/>
        <v>52208764</v>
      </c>
      <c r="L47" s="37"/>
    </row>
    <row r="48" spans="1:12" s="36" customFormat="1" ht="15.75" x14ac:dyDescent="0.25">
      <c r="A48" s="17" t="s">
        <v>17</v>
      </c>
      <c r="B48" s="49" t="s">
        <v>13</v>
      </c>
      <c r="C48" s="16">
        <f t="shared" ref="C48:J48" si="6">C43-C44</f>
        <v>259619722</v>
      </c>
      <c r="D48" s="16">
        <f t="shared" si="6"/>
        <v>22986486</v>
      </c>
      <c r="E48" s="16">
        <f t="shared" si="6"/>
        <v>203685148</v>
      </c>
      <c r="F48" s="16">
        <f t="shared" si="6"/>
        <v>161725500</v>
      </c>
      <c r="G48" s="16">
        <f t="shared" si="6"/>
        <v>74038284</v>
      </c>
      <c r="H48" s="16">
        <f t="shared" si="6"/>
        <v>96200881</v>
      </c>
      <c r="I48" s="16">
        <f t="shared" si="6"/>
        <v>49393744</v>
      </c>
      <c r="J48" s="16">
        <f t="shared" si="6"/>
        <v>28127421</v>
      </c>
      <c r="K48" s="14">
        <f>SUM(C48:J48)</f>
        <v>895777186</v>
      </c>
      <c r="L48" s="35"/>
    </row>
    <row r="49" spans="1:12" s="36" customFormat="1" ht="15.75" x14ac:dyDescent="0.25">
      <c r="A49" s="8"/>
      <c r="B49" s="41"/>
      <c r="C49" s="10"/>
      <c r="D49" s="10"/>
      <c r="E49" s="10"/>
      <c r="F49" s="10"/>
      <c r="G49" s="10"/>
      <c r="H49" s="10"/>
      <c r="I49" s="10"/>
      <c r="J49" s="10"/>
      <c r="K49" s="9"/>
    </row>
    <row r="50" spans="1:12" s="36" customFormat="1" ht="15.75" x14ac:dyDescent="0.25">
      <c r="A50" s="8" t="s">
        <v>20</v>
      </c>
      <c r="B50" s="41" t="s">
        <v>15</v>
      </c>
      <c r="C50" s="10">
        <f>C51+C57</f>
        <v>336750817</v>
      </c>
      <c r="D50" s="10">
        <f t="shared" ref="D50:J50" si="7">SUM(D51+D57)</f>
        <v>35585029</v>
      </c>
      <c r="E50" s="10">
        <f t="shared" si="7"/>
        <v>250481014</v>
      </c>
      <c r="F50" s="10">
        <f t="shared" si="7"/>
        <v>214740346</v>
      </c>
      <c r="G50" s="10">
        <f t="shared" si="7"/>
        <v>105853531</v>
      </c>
      <c r="H50" s="10">
        <f t="shared" si="7"/>
        <v>175510023</v>
      </c>
      <c r="I50" s="10">
        <f t="shared" si="7"/>
        <v>110291506</v>
      </c>
      <c r="J50" s="10">
        <f t="shared" si="7"/>
        <v>62164993</v>
      </c>
      <c r="K50" s="9">
        <f t="shared" ref="K50:K56" si="8">SUM(C50:J50)</f>
        <v>1291377259</v>
      </c>
      <c r="L50" s="35"/>
    </row>
    <row r="51" spans="1:12" s="36" customFormat="1" ht="15.75" x14ac:dyDescent="0.25">
      <c r="A51" s="8" t="s">
        <v>33</v>
      </c>
      <c r="B51" s="41" t="s">
        <v>90</v>
      </c>
      <c r="C51" s="10">
        <f>SUM(C52:C53)</f>
        <v>290929430</v>
      </c>
      <c r="D51" s="10">
        <f>SUM(D52:D53)</f>
        <v>26010134</v>
      </c>
      <c r="E51" s="10">
        <f>SUM(E52:E53)</f>
        <v>224208843</v>
      </c>
      <c r="F51" s="10">
        <f t="shared" ref="F51:J51" si="9">SUM(F52:F53)</f>
        <v>192116032</v>
      </c>
      <c r="G51" s="10">
        <f t="shared" si="9"/>
        <v>95677768</v>
      </c>
      <c r="H51" s="10">
        <f t="shared" si="9"/>
        <v>158899302</v>
      </c>
      <c r="I51" s="10">
        <f t="shared" si="9"/>
        <v>96650086</v>
      </c>
      <c r="J51" s="10">
        <f t="shared" si="9"/>
        <v>54537566</v>
      </c>
      <c r="K51" s="9">
        <f t="shared" si="8"/>
        <v>1139029161</v>
      </c>
    </row>
    <row r="52" spans="1:12" s="38" customFormat="1" ht="15.75" x14ac:dyDescent="0.25">
      <c r="A52" s="17" t="s">
        <v>35</v>
      </c>
      <c r="B52" s="47" t="s">
        <v>105</v>
      </c>
      <c r="C52" s="16">
        <f>252648294-7985187</f>
        <v>244663107</v>
      </c>
      <c r="D52" s="16">
        <f>22417947-1733086</f>
        <v>20684861</v>
      </c>
      <c r="E52" s="16">
        <f>197885112+3456121-7067500</f>
        <v>194273733</v>
      </c>
      <c r="F52" s="16">
        <f>173230810-816485-264302</f>
        <v>172150023</v>
      </c>
      <c r="G52" s="16">
        <f>87617042-718863-427021</f>
        <v>86471158</v>
      </c>
      <c r="H52" s="16">
        <f>142603440+382582+3845916</f>
        <v>146831938</v>
      </c>
      <c r="I52" s="16">
        <f>87665424-49454</f>
        <v>87615970</v>
      </c>
      <c r="J52" s="16">
        <f>48471887-120000</f>
        <v>48351887</v>
      </c>
      <c r="K52" s="14">
        <f t="shared" si="8"/>
        <v>1001042677</v>
      </c>
    </row>
    <row r="53" spans="1:12" s="38" customFormat="1" ht="15.75" x14ac:dyDescent="0.25">
      <c r="A53" s="17" t="s">
        <v>36</v>
      </c>
      <c r="B53" s="47" t="s">
        <v>18</v>
      </c>
      <c r="C53" s="16">
        <f>29273813+C16-3049167+C56</f>
        <v>46266323</v>
      </c>
      <c r="D53" s="16">
        <f>2571419+D16-864945+D56</f>
        <v>5325273</v>
      </c>
      <c r="E53" s="16">
        <f>18898091+E16+E56</f>
        <v>29935110</v>
      </c>
      <c r="F53" s="16">
        <f>20458518-2021811+F56-154780</f>
        <v>19966009</v>
      </c>
      <c r="G53" s="16">
        <f>10449667-2081491+G56</f>
        <v>9206610</v>
      </c>
      <c r="H53" s="16">
        <f>16691109-5760570+H56</f>
        <v>12067364</v>
      </c>
      <c r="I53" s="16">
        <f>10592407-1558291-360000+I56</f>
        <v>9034116</v>
      </c>
      <c r="J53" s="16">
        <f>5279517+1282491-376329</f>
        <v>6185679</v>
      </c>
      <c r="K53" s="14">
        <f t="shared" si="8"/>
        <v>137986484</v>
      </c>
    </row>
    <row r="54" spans="1:12" s="38" customFormat="1" ht="15.75" x14ac:dyDescent="0.25">
      <c r="A54" s="17" t="s">
        <v>37</v>
      </c>
      <c r="B54" s="47" t="s">
        <v>19</v>
      </c>
      <c r="C54" s="16">
        <v>217630</v>
      </c>
      <c r="D54" s="16">
        <v>53292</v>
      </c>
      <c r="E54" s="16">
        <v>285890</v>
      </c>
      <c r="F54" s="16">
        <v>1056667</v>
      </c>
      <c r="G54" s="16">
        <v>636558</v>
      </c>
      <c r="H54" s="16">
        <v>773880</v>
      </c>
      <c r="I54" s="16">
        <v>719524</v>
      </c>
      <c r="J54" s="16">
        <v>530227</v>
      </c>
      <c r="K54" s="14">
        <f t="shared" si="8"/>
        <v>4273668</v>
      </c>
    </row>
    <row r="55" spans="1:12" s="38" customFormat="1" ht="47.25" x14ac:dyDescent="0.25">
      <c r="A55" s="17" t="s">
        <v>38</v>
      </c>
      <c r="B55" s="47" t="s">
        <v>91</v>
      </c>
      <c r="C55" s="16">
        <v>889015</v>
      </c>
      <c r="D55" s="16">
        <v>0</v>
      </c>
      <c r="E55" s="16">
        <v>858125</v>
      </c>
      <c r="F55" s="16">
        <v>240504</v>
      </c>
      <c r="G55" s="16">
        <v>183048</v>
      </c>
      <c r="H55" s="16">
        <v>218637</v>
      </c>
      <c r="I55" s="16">
        <v>119287</v>
      </c>
      <c r="J55" s="16">
        <v>52940</v>
      </c>
      <c r="K55" s="14">
        <f t="shared" si="8"/>
        <v>2561556</v>
      </c>
    </row>
    <row r="56" spans="1:12" s="38" customFormat="1" ht="15.75" x14ac:dyDescent="0.25">
      <c r="A56" s="17" t="s">
        <v>97</v>
      </c>
      <c r="B56" s="47" t="s">
        <v>108</v>
      </c>
      <c r="C56" s="16">
        <v>12489398</v>
      </c>
      <c r="D56" s="16">
        <v>2829811</v>
      </c>
      <c r="E56" s="16">
        <v>7067500</v>
      </c>
      <c r="F56" s="16">
        <f>1529302+154780</f>
        <v>1684082</v>
      </c>
      <c r="G56" s="16">
        <v>838434</v>
      </c>
      <c r="H56" s="16">
        <f>9250+1127575</f>
        <v>1136825</v>
      </c>
      <c r="I56" s="16">
        <v>360000</v>
      </c>
      <c r="J56" s="16">
        <f>1282491</f>
        <v>1282491</v>
      </c>
      <c r="K56" s="14">
        <f t="shared" si="8"/>
        <v>27688541</v>
      </c>
    </row>
    <row r="57" spans="1:12" s="38" customFormat="1" ht="15.75" x14ac:dyDescent="0.25">
      <c r="A57" s="8" t="s">
        <v>34</v>
      </c>
      <c r="B57" s="41" t="s">
        <v>41</v>
      </c>
      <c r="C57" s="10">
        <f>52474868+C17-C41-9470719-1455044</f>
        <v>45821387</v>
      </c>
      <c r="D57" s="10">
        <f>9138485+D17-1183539-231780</f>
        <v>9574895</v>
      </c>
      <c r="E57" s="10">
        <f>27874188+E17-4827178</f>
        <v>26272171</v>
      </c>
      <c r="F57" s="10">
        <f>21778646+F17-1206017-1990172-1265000</f>
        <v>22624314</v>
      </c>
      <c r="G57" s="10">
        <f>7576533+G17+6160-3138764-411413</f>
        <v>10175763</v>
      </c>
      <c r="H57" s="10">
        <f>16302131+H17-2649614-9250</f>
        <v>16610721</v>
      </c>
      <c r="I57" s="10">
        <f>13052138+I17-2405967</f>
        <v>13641420</v>
      </c>
      <c r="J57" s="10">
        <f>7681291+J17-1247673-468357</f>
        <v>7627427</v>
      </c>
      <c r="K57" s="9">
        <f t="shared" ref="K57" si="10">SUM(C57:J57)</f>
        <v>152348098</v>
      </c>
    </row>
    <row r="58" spans="1:12" s="38" customFormat="1" ht="15.75" x14ac:dyDescent="0.25">
      <c r="A58" s="18"/>
      <c r="B58" s="50"/>
      <c r="C58" s="19"/>
      <c r="D58" s="19"/>
      <c r="E58" s="19"/>
      <c r="F58" s="19"/>
      <c r="G58" s="19"/>
      <c r="H58" s="19"/>
      <c r="I58" s="19"/>
      <c r="J58" s="19"/>
      <c r="K58" s="20"/>
    </row>
    <row r="59" spans="1:12" s="36" customFormat="1" ht="31.5" x14ac:dyDescent="0.25">
      <c r="A59" s="8" t="s">
        <v>22</v>
      </c>
      <c r="B59" s="41" t="s">
        <v>21</v>
      </c>
      <c r="C59" s="10">
        <f>C60</f>
        <v>22302385</v>
      </c>
      <c r="D59" s="10">
        <f>D60</f>
        <v>2002880</v>
      </c>
      <c r="E59" s="10">
        <f>E60</f>
        <v>16554176</v>
      </c>
      <c r="F59" s="10">
        <f>F60</f>
        <v>26436472</v>
      </c>
      <c r="G59" s="10">
        <v>18261936</v>
      </c>
      <c r="H59" s="10">
        <f>H50-H43-H15</f>
        <v>60410635</v>
      </c>
      <c r="I59" s="10">
        <v>46852814</v>
      </c>
      <c r="J59" s="10">
        <f>J50-J43-J15</f>
        <v>25618016</v>
      </c>
      <c r="K59" s="9">
        <f>SUM(C59:J59)</f>
        <v>218439314</v>
      </c>
    </row>
    <row r="60" spans="1:12" s="39" customFormat="1" ht="15.75" x14ac:dyDescent="0.25">
      <c r="A60" s="8" t="s">
        <v>39</v>
      </c>
      <c r="B60" s="41" t="s">
        <v>106</v>
      </c>
      <c r="C60" s="10">
        <f>SUM(C61:C63)</f>
        <v>22302385</v>
      </c>
      <c r="D60" s="10">
        <v>2002880</v>
      </c>
      <c r="E60" s="10">
        <f>E63</f>
        <v>16554176</v>
      </c>
      <c r="F60" s="10">
        <f t="shared" ref="F60" si="11">SUM(F61:F63)</f>
        <v>26436472</v>
      </c>
      <c r="G60" s="10">
        <v>18261936</v>
      </c>
      <c r="H60" s="10">
        <f>H61+H62+H63</f>
        <v>60410635</v>
      </c>
      <c r="I60" s="10">
        <v>46852814</v>
      </c>
      <c r="J60" s="10">
        <f>J61+J62+J63</f>
        <v>25618016</v>
      </c>
      <c r="K60" s="9">
        <f>SUM(C60:J60)</f>
        <v>218439314</v>
      </c>
    </row>
    <row r="61" spans="1:12" s="36" customFormat="1" ht="15.75" x14ac:dyDescent="0.25">
      <c r="A61" s="17" t="s">
        <v>24</v>
      </c>
      <c r="B61" s="47" t="s">
        <v>23</v>
      </c>
      <c r="C61" s="16"/>
      <c r="D61" s="16">
        <f t="shared" ref="D61:E61" si="12">D59-D62-D63</f>
        <v>0</v>
      </c>
      <c r="E61" s="16">
        <f t="shared" si="12"/>
        <v>0</v>
      </c>
      <c r="F61" s="16">
        <v>26436472</v>
      </c>
      <c r="G61" s="16">
        <v>18255776</v>
      </c>
      <c r="H61" s="16">
        <v>59283060</v>
      </c>
      <c r="I61" s="16">
        <v>46852814</v>
      </c>
      <c r="J61" s="16">
        <v>25542214</v>
      </c>
      <c r="K61" s="9">
        <f t="shared" ref="K61:K68" si="13">SUM(C61:J61)</f>
        <v>176370336</v>
      </c>
    </row>
    <row r="62" spans="1:12" s="36" customFormat="1" ht="31.5" x14ac:dyDescent="0.25">
      <c r="A62" s="17" t="s">
        <v>110</v>
      </c>
      <c r="B62" s="48" t="s">
        <v>92</v>
      </c>
      <c r="C62" s="16"/>
      <c r="D62" s="16"/>
      <c r="E62" s="16"/>
      <c r="F62" s="16"/>
      <c r="G62" s="16">
        <v>6160</v>
      </c>
      <c r="H62" s="16"/>
      <c r="I62" s="16"/>
      <c r="J62" s="16"/>
      <c r="K62" s="9">
        <f t="shared" si="13"/>
        <v>6160</v>
      </c>
    </row>
    <row r="63" spans="1:12" s="36" customFormat="1" ht="31.5" x14ac:dyDescent="0.25">
      <c r="A63" s="17" t="s">
        <v>98</v>
      </c>
      <c r="B63" s="48" t="s">
        <v>111</v>
      </c>
      <c r="C63" s="21">
        <f>0+22302385</f>
        <v>22302385</v>
      </c>
      <c r="D63" s="21">
        <f>0+2002880</f>
        <v>2002880</v>
      </c>
      <c r="E63" s="21">
        <f>0+16554176</f>
        <v>16554176</v>
      </c>
      <c r="F63" s="22"/>
      <c r="G63" s="22"/>
      <c r="H63" s="21">
        <f>1127575</f>
        <v>1127575</v>
      </c>
      <c r="I63" s="21"/>
      <c r="J63" s="21">
        <v>75802</v>
      </c>
      <c r="K63" s="9">
        <f t="shared" si="13"/>
        <v>42062818</v>
      </c>
    </row>
    <row r="64" spans="1:12" s="36" customFormat="1" ht="31.5" x14ac:dyDescent="0.25">
      <c r="A64" s="17" t="s">
        <v>109</v>
      </c>
      <c r="B64" s="48" t="s">
        <v>113</v>
      </c>
      <c r="C64" s="21"/>
      <c r="D64" s="21"/>
      <c r="E64" s="21"/>
      <c r="F64" s="22"/>
      <c r="G64" s="22"/>
      <c r="H64" s="21">
        <f>H59-H61</f>
        <v>1127575</v>
      </c>
      <c r="I64" s="21"/>
      <c r="J64" s="21">
        <f>75802</f>
        <v>75802</v>
      </c>
      <c r="K64" s="9">
        <f t="shared" si="13"/>
        <v>1203377</v>
      </c>
    </row>
    <row r="65" spans="1:11" s="36" customFormat="1" ht="31.5" x14ac:dyDescent="0.25">
      <c r="A65" s="8" t="s">
        <v>40</v>
      </c>
      <c r="B65" s="41" t="s">
        <v>107</v>
      </c>
      <c r="C65" s="10">
        <f>C50+C66+C67+C68</f>
        <v>372023541</v>
      </c>
      <c r="D65" s="10">
        <f>D50+D66+D67+D68</f>
        <v>36645673</v>
      </c>
      <c r="E65" s="10">
        <f>E50+E66+E67+E68</f>
        <v>273993086</v>
      </c>
      <c r="F65" s="10">
        <f>F50+F66+F67+F68</f>
        <v>240374662</v>
      </c>
      <c r="G65" s="10">
        <f>G50+G66+G67+G68</f>
        <v>127310912</v>
      </c>
      <c r="H65" s="60">
        <f>H50+H66+H67+H68-H64</f>
        <v>203196932</v>
      </c>
      <c r="I65" s="60">
        <f>I50+I66+I67+I68</f>
        <v>127625874</v>
      </c>
      <c r="J65" s="60">
        <f>J50+J66+J67+J68-J64</f>
        <v>77175234</v>
      </c>
      <c r="K65" s="9">
        <f t="shared" si="13"/>
        <v>1458345914</v>
      </c>
    </row>
    <row r="66" spans="1:11" s="36" customFormat="1" ht="31.5" x14ac:dyDescent="0.25">
      <c r="A66" s="17" t="s">
        <v>42</v>
      </c>
      <c r="B66" s="47" t="s">
        <v>25</v>
      </c>
      <c r="C66" s="16">
        <f>2611436-531073</f>
        <v>2080363</v>
      </c>
      <c r="D66" s="16">
        <f>105726-37868</f>
        <v>67858</v>
      </c>
      <c r="E66" s="16">
        <f>2304469-646529</f>
        <v>1657940</v>
      </c>
      <c r="F66" s="16">
        <f>1634532-647693</f>
        <v>986839</v>
      </c>
      <c r="G66" s="16">
        <f>1192680-364424</f>
        <v>828256</v>
      </c>
      <c r="H66" s="16">
        <f>1617405-544084</f>
        <v>1073321</v>
      </c>
      <c r="I66" s="16">
        <f>1169473-316383</f>
        <v>853090</v>
      </c>
      <c r="J66" s="16">
        <f>1009669-220661</f>
        <v>789008</v>
      </c>
      <c r="K66" s="14">
        <f t="shared" si="13"/>
        <v>8336675</v>
      </c>
    </row>
    <row r="67" spans="1:11" s="40" customFormat="1" ht="15.75" x14ac:dyDescent="0.2">
      <c r="A67" s="17" t="s">
        <v>43</v>
      </c>
      <c r="B67" s="47" t="s">
        <v>26</v>
      </c>
      <c r="C67" s="16">
        <f>1770000+2444513</f>
        <v>4214513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4">
        <f t="shared" si="13"/>
        <v>4214513</v>
      </c>
    </row>
    <row r="68" spans="1:11" s="38" customFormat="1" ht="31.5" x14ac:dyDescent="0.25">
      <c r="A68" s="17" t="s">
        <v>32</v>
      </c>
      <c r="B68" s="47" t="s">
        <v>112</v>
      </c>
      <c r="C68" s="16">
        <f>35412234+733174-7167560</f>
        <v>28977848</v>
      </c>
      <c r="D68" s="16">
        <f>1200839+25928-233981</f>
        <v>992786</v>
      </c>
      <c r="E68" s="16">
        <f>26640757+583284-5369909</f>
        <v>21854132</v>
      </c>
      <c r="F68" s="16">
        <f>29272548+1495552-6120623</f>
        <v>24647477</v>
      </c>
      <c r="G68" s="16">
        <f>22651824+797430-2820129</f>
        <v>20629125</v>
      </c>
      <c r="H68" s="16">
        <f>32442216+1198947-5900000</f>
        <v>27741163</v>
      </c>
      <c r="I68" s="16">
        <f>19781821+773612-4074155</f>
        <v>16481278</v>
      </c>
      <c r="J68" s="16">
        <f>16788639+627917-3119521</f>
        <v>14297035</v>
      </c>
      <c r="K68" s="14">
        <f t="shared" si="13"/>
        <v>155620844</v>
      </c>
    </row>
    <row r="69" spans="1:11" ht="16.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6.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6.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6.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86" spans="3:11" x14ac:dyDescent="0.25">
      <c r="C86" s="3"/>
      <c r="D86" s="3"/>
      <c r="E86" s="3"/>
      <c r="F86" s="3"/>
      <c r="G86" s="3"/>
      <c r="H86" s="3"/>
      <c r="I86" s="3"/>
      <c r="J86" s="3"/>
      <c r="K86" s="3"/>
    </row>
    <row r="87" spans="3:11" x14ac:dyDescent="0.25">
      <c r="C87" s="3"/>
      <c r="D87" s="3"/>
      <c r="E87" s="3"/>
      <c r="F87" s="3"/>
      <c r="G87" s="3"/>
      <c r="H87" s="3"/>
      <c r="I87" s="3"/>
      <c r="J87" s="3"/>
      <c r="K87" s="3"/>
    </row>
    <row r="88" spans="3:11" x14ac:dyDescent="0.25">
      <c r="C88" s="3"/>
      <c r="D88" s="3"/>
      <c r="E88" s="3"/>
      <c r="F88" s="3"/>
      <c r="G88" s="3"/>
      <c r="H88" s="3"/>
      <c r="I88" s="3"/>
      <c r="J88" s="3"/>
      <c r="K88" s="3"/>
    </row>
    <row r="89" spans="3:11" x14ac:dyDescent="0.25">
      <c r="C89" s="3"/>
      <c r="D89" s="3"/>
      <c r="E89" s="3"/>
      <c r="F89" s="3"/>
      <c r="G89" s="3"/>
      <c r="H89" s="3"/>
      <c r="I89" s="3"/>
      <c r="J89" s="3"/>
      <c r="K89" s="3"/>
    </row>
    <row r="90" spans="3:11" x14ac:dyDescent="0.25">
      <c r="C90" s="3"/>
      <c r="D90" s="3"/>
      <c r="E90" s="3"/>
      <c r="F90" s="3"/>
      <c r="G90" s="3"/>
      <c r="H90" s="3"/>
      <c r="I90" s="3"/>
      <c r="J90" s="3"/>
      <c r="K90" s="3"/>
    </row>
    <row r="91" spans="3:11" x14ac:dyDescent="0.25">
      <c r="C91" s="3"/>
      <c r="D91" s="3"/>
      <c r="E91" s="3"/>
      <c r="F91" s="3"/>
      <c r="G91" s="3"/>
      <c r="H91" s="3"/>
      <c r="I91" s="3"/>
      <c r="J91" s="3"/>
      <c r="K91" s="3"/>
    </row>
    <row r="92" spans="3:11" x14ac:dyDescent="0.25">
      <c r="C92" s="3"/>
      <c r="D92" s="3"/>
      <c r="E92" s="3"/>
      <c r="F92" s="3"/>
      <c r="G92" s="3"/>
      <c r="H92" s="3"/>
      <c r="I92" s="3"/>
      <c r="J92" s="3"/>
      <c r="K92" s="3"/>
    </row>
    <row r="93" spans="3:11" x14ac:dyDescent="0.25">
      <c r="C93" s="3"/>
      <c r="D93" s="3"/>
      <c r="E93" s="3"/>
      <c r="F93" s="3"/>
      <c r="G93" s="3"/>
      <c r="H93" s="3"/>
      <c r="I93" s="3"/>
      <c r="J93" s="3"/>
      <c r="K93" s="3"/>
    </row>
    <row r="94" spans="3:11" x14ac:dyDescent="0.25">
      <c r="C94" s="3"/>
      <c r="D94" s="3"/>
      <c r="E94" s="3"/>
      <c r="F94" s="3"/>
      <c r="G94" s="3"/>
      <c r="H94" s="3"/>
      <c r="I94" s="3"/>
      <c r="J94" s="3"/>
      <c r="K94" s="3"/>
    </row>
    <row r="95" spans="3:11" x14ac:dyDescent="0.25">
      <c r="C95" s="3"/>
      <c r="D95" s="3"/>
      <c r="E95" s="3"/>
      <c r="F95" s="3"/>
      <c r="G95" s="3"/>
      <c r="H95" s="3"/>
      <c r="I95" s="3"/>
      <c r="J95" s="3"/>
      <c r="K95" s="3"/>
    </row>
    <row r="96" spans="3:11" x14ac:dyDescent="0.25">
      <c r="C96" s="3"/>
      <c r="D96" s="3"/>
      <c r="E96" s="3"/>
      <c r="F96" s="3"/>
      <c r="G96" s="3"/>
      <c r="H96" s="3"/>
      <c r="I96" s="3"/>
      <c r="J96" s="3"/>
      <c r="K96" s="3"/>
    </row>
    <row r="97" spans="3:11" x14ac:dyDescent="0.25">
      <c r="C97" s="3"/>
      <c r="D97" s="3"/>
      <c r="E97" s="3"/>
      <c r="F97" s="3"/>
      <c r="G97" s="3"/>
      <c r="H97" s="3"/>
      <c r="I97" s="3"/>
      <c r="J97" s="3"/>
      <c r="K97" s="3"/>
    </row>
    <row r="98" spans="3:11" x14ac:dyDescent="0.25">
      <c r="C98" s="3"/>
      <c r="D98" s="3"/>
      <c r="E98" s="3"/>
      <c r="F98" s="3"/>
      <c r="G98" s="3"/>
      <c r="H98" s="3"/>
      <c r="I98" s="3"/>
      <c r="J98" s="3"/>
      <c r="K98" s="3"/>
    </row>
    <row r="99" spans="3:11" x14ac:dyDescent="0.25">
      <c r="C99" s="3"/>
      <c r="D99" s="3"/>
      <c r="E99" s="3"/>
      <c r="F99" s="3"/>
      <c r="G99" s="3"/>
      <c r="H99" s="3"/>
      <c r="I99" s="3"/>
      <c r="J99" s="3"/>
      <c r="K99" s="3"/>
    </row>
    <row r="100" spans="3:11" x14ac:dyDescent="0.25">
      <c r="C100" s="3"/>
      <c r="D100" s="3"/>
      <c r="E100" s="3"/>
      <c r="F100" s="3"/>
      <c r="G100" s="3"/>
      <c r="H100" s="3"/>
      <c r="I100" s="3"/>
      <c r="J100" s="3"/>
      <c r="K100" s="3"/>
    </row>
    <row r="101" spans="3:11" x14ac:dyDescent="0.25">
      <c r="C101" s="3"/>
      <c r="D101" s="3"/>
      <c r="E101" s="3"/>
      <c r="F101" s="3"/>
      <c r="G101" s="3"/>
      <c r="H101" s="3"/>
      <c r="I101" s="3"/>
      <c r="J101" s="3"/>
      <c r="K101" s="3"/>
    </row>
    <row r="102" spans="3:11" x14ac:dyDescent="0.25">
      <c r="C102" s="3"/>
      <c r="D102" s="3"/>
      <c r="E102" s="3"/>
      <c r="F102" s="3"/>
      <c r="G102" s="3"/>
      <c r="H102" s="3"/>
      <c r="I102" s="3"/>
      <c r="J102" s="3"/>
      <c r="K102" s="3"/>
    </row>
    <row r="103" spans="3:11" x14ac:dyDescent="0.25">
      <c r="C103" s="3"/>
      <c r="D103" s="3"/>
      <c r="E103" s="3"/>
      <c r="F103" s="3"/>
      <c r="G103" s="3"/>
      <c r="H103" s="3"/>
      <c r="I103" s="3"/>
      <c r="J103" s="3"/>
      <c r="K103" s="3"/>
    </row>
    <row r="104" spans="3:11" x14ac:dyDescent="0.25">
      <c r="C104" s="3"/>
    </row>
    <row r="105" spans="3:11" x14ac:dyDescent="0.25">
      <c r="C105" s="3"/>
    </row>
    <row r="106" spans="3:11" x14ac:dyDescent="0.25">
      <c r="C106" s="3"/>
    </row>
    <row r="107" spans="3:11" x14ac:dyDescent="0.25">
      <c r="C107" s="3"/>
    </row>
    <row r="108" spans="3:11" x14ac:dyDescent="0.25">
      <c r="C108" s="3"/>
    </row>
    <row r="109" spans="3:11" x14ac:dyDescent="0.25">
      <c r="C109" s="3"/>
    </row>
    <row r="110" spans="3:11" x14ac:dyDescent="0.25">
      <c r="C110" s="3"/>
    </row>
    <row r="111" spans="3:11" x14ac:dyDescent="0.25">
      <c r="C111" s="3"/>
    </row>
    <row r="112" spans="3:11" x14ac:dyDescent="0.25">
      <c r="C112" s="3"/>
    </row>
    <row r="113" spans="3:3" x14ac:dyDescent="0.25">
      <c r="C113" s="3"/>
    </row>
    <row r="114" spans="3:3" x14ac:dyDescent="0.25">
      <c r="C114" s="3"/>
    </row>
  </sheetData>
  <mergeCells count="2">
    <mergeCell ref="B10:K11"/>
    <mergeCell ref="C13:J13"/>
  </mergeCells>
  <pageMargins left="0.39370078740157483" right="0.39370078740157483" top="1.1811023622047245" bottom="0.39370078740157483" header="0" footer="0"/>
  <pageSetup paperSize="9" scale="60" firstPageNumber="29" fitToHeight="5" orientation="landscape" useFirstPageNumber="1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новая редакция посл. на 14. (2)</vt:lpstr>
      <vt:lpstr>'новая редакция посл. на 14. (2)'!Заголовки_для_печати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2020-09-14T12:46:43Z</dcterms:modified>
</cp:coreProperties>
</file>