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65"/>
  </bookViews>
  <sheets>
    <sheet name="Приложение № 1 (1051)" sheetId="1" r:id="rId1"/>
  </sheets>
  <definedNames>
    <definedName name="_xlnm.Print_Titles" localSheetId="0">'Приложение № 1 (1051)'!$13:$13</definedName>
    <definedName name="_xlnm.Print_Area" localSheetId="0">'Приложение № 1 (1051)'!$A$1:$K$92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0" i="1" l="1"/>
  <c r="C69" i="1" l="1"/>
  <c r="C42" i="1"/>
  <c r="H24" i="1" l="1"/>
  <c r="C48" i="1" l="1"/>
  <c r="D24" i="1" l="1"/>
  <c r="J88" i="1" l="1"/>
  <c r="I88" i="1"/>
  <c r="H88" i="1"/>
  <c r="G88" i="1"/>
  <c r="F88" i="1"/>
  <c r="E88" i="1"/>
  <c r="D88" i="1"/>
  <c r="C88" i="1"/>
  <c r="F70" i="1"/>
  <c r="F69" i="1"/>
  <c r="C66" i="1"/>
  <c r="C65" i="1"/>
  <c r="D64" i="1"/>
  <c r="E64" i="1"/>
  <c r="F64" i="1"/>
  <c r="G64" i="1"/>
  <c r="H64" i="1"/>
  <c r="I64" i="1"/>
  <c r="J64" i="1"/>
  <c r="C53" i="1"/>
  <c r="F17" i="1"/>
  <c r="F18" i="1"/>
  <c r="J23" i="1"/>
  <c r="I23" i="1"/>
  <c r="H23" i="1"/>
  <c r="G23" i="1"/>
  <c r="F23" i="1"/>
  <c r="E23" i="1"/>
  <c r="D23" i="1"/>
  <c r="C23" i="1"/>
  <c r="J24" i="1"/>
  <c r="I24" i="1"/>
  <c r="G24" i="1"/>
  <c r="F24" i="1"/>
  <c r="E24" i="1"/>
  <c r="C24" i="1"/>
  <c r="C64" i="1" l="1"/>
  <c r="K66" i="1"/>
  <c r="K65" i="1"/>
  <c r="K64" i="1"/>
  <c r="F48" i="1"/>
  <c r="E48" i="1"/>
  <c r="F50" i="1" l="1"/>
  <c r="C78" i="1" l="1"/>
  <c r="C90" i="1" l="1"/>
  <c r="K90" i="1"/>
  <c r="D17" i="1" l="1"/>
  <c r="C17" i="1"/>
  <c r="J32" i="1"/>
  <c r="I32" i="1"/>
  <c r="H32" i="1"/>
  <c r="G32" i="1"/>
  <c r="F32" i="1"/>
  <c r="E32" i="1"/>
  <c r="D32" i="1"/>
  <c r="C32" i="1"/>
  <c r="J36" i="1"/>
  <c r="I36" i="1"/>
  <c r="H36" i="1"/>
  <c r="G36" i="1"/>
  <c r="F36" i="1"/>
  <c r="E36" i="1"/>
  <c r="D36" i="1"/>
  <c r="C36" i="1"/>
  <c r="J37" i="1"/>
  <c r="I37" i="1"/>
  <c r="H37" i="1"/>
  <c r="G37" i="1"/>
  <c r="F37" i="1"/>
  <c r="E37" i="1"/>
  <c r="J39" i="1"/>
  <c r="I39" i="1"/>
  <c r="H39" i="1"/>
  <c r="G39" i="1"/>
  <c r="F39" i="1"/>
  <c r="E39" i="1"/>
  <c r="C39" i="1"/>
  <c r="C50" i="1"/>
  <c r="C57" i="1"/>
  <c r="C58" i="1"/>
  <c r="J72" i="1"/>
  <c r="I72" i="1"/>
  <c r="H72" i="1"/>
  <c r="G72" i="1"/>
  <c r="F72" i="1"/>
  <c r="E72" i="1"/>
  <c r="D72" i="1"/>
  <c r="C72" i="1"/>
  <c r="K32" i="1" l="1"/>
  <c r="C33" i="1"/>
  <c r="D33" i="1"/>
  <c r="E33" i="1"/>
  <c r="F33" i="1"/>
  <c r="G33" i="1"/>
  <c r="H33" i="1"/>
  <c r="I33" i="1"/>
  <c r="J33" i="1"/>
  <c r="K33" i="1" l="1"/>
  <c r="C68" i="1" l="1"/>
  <c r="K74" i="1" l="1"/>
  <c r="K53" i="1" l="1"/>
  <c r="D47" i="1" l="1"/>
  <c r="E47" i="1"/>
  <c r="F47" i="1"/>
  <c r="G47" i="1"/>
  <c r="H47" i="1"/>
  <c r="I47" i="1"/>
  <c r="J47" i="1"/>
  <c r="C47" i="1"/>
  <c r="D15" i="1" l="1"/>
  <c r="E15" i="1"/>
  <c r="F15" i="1"/>
  <c r="G15" i="1"/>
  <c r="H15" i="1"/>
  <c r="I15" i="1"/>
  <c r="J15" i="1"/>
  <c r="C15" i="1"/>
  <c r="K24" i="1"/>
  <c r="K23" i="1" l="1"/>
  <c r="D41" i="1" l="1"/>
  <c r="E41" i="1"/>
  <c r="F41" i="1"/>
  <c r="G41" i="1"/>
  <c r="H41" i="1"/>
  <c r="I41" i="1"/>
  <c r="J41" i="1"/>
  <c r="C41" i="1"/>
  <c r="D26" i="1" l="1"/>
  <c r="E26" i="1"/>
  <c r="F26" i="1"/>
  <c r="G26" i="1"/>
  <c r="H26" i="1"/>
  <c r="I26" i="1"/>
  <c r="J26" i="1"/>
  <c r="C26" i="1"/>
  <c r="D44" i="1"/>
  <c r="E44" i="1"/>
  <c r="F44" i="1"/>
  <c r="G44" i="1"/>
  <c r="H44" i="1"/>
  <c r="I44" i="1"/>
  <c r="J44" i="1"/>
  <c r="C44" i="1"/>
  <c r="K88" i="1"/>
  <c r="K86" i="1"/>
  <c r="K84" i="1"/>
  <c r="K82" i="1"/>
  <c r="K80" i="1"/>
  <c r="K78" i="1"/>
  <c r="K76" i="1"/>
  <c r="K72" i="1"/>
  <c r="K70" i="1"/>
  <c r="K69" i="1"/>
  <c r="K62" i="1"/>
  <c r="K60" i="1"/>
  <c r="K58" i="1"/>
  <c r="K57" i="1"/>
  <c r="K55" i="1"/>
  <c r="K54" i="1"/>
  <c r="K52" i="1"/>
  <c r="K51" i="1"/>
  <c r="K50" i="1"/>
  <c r="K49" i="1"/>
  <c r="K48" i="1"/>
  <c r="K47" i="1"/>
  <c r="K45" i="1"/>
  <c r="K42" i="1"/>
  <c r="K39" i="1"/>
  <c r="K38" i="1"/>
  <c r="K37" i="1"/>
  <c r="K36" i="1"/>
  <c r="K35" i="1"/>
  <c r="K34" i="1"/>
  <c r="K30" i="1"/>
  <c r="K29" i="1"/>
  <c r="K28" i="1"/>
  <c r="K27" i="1"/>
  <c r="K22" i="1"/>
  <c r="K21" i="1"/>
  <c r="K20" i="1"/>
  <c r="K19" i="1"/>
  <c r="K18" i="1"/>
  <c r="K17" i="1"/>
  <c r="D68" i="1"/>
  <c r="E68" i="1"/>
  <c r="F68" i="1"/>
  <c r="G68" i="1"/>
  <c r="H68" i="1"/>
  <c r="I68" i="1"/>
  <c r="J68" i="1"/>
  <c r="C14" i="1" l="1"/>
  <c r="I14" i="1"/>
  <c r="G14" i="1"/>
  <c r="E14" i="1"/>
  <c r="J14" i="1"/>
  <c r="H14" i="1"/>
  <c r="F14" i="1"/>
  <c r="D14" i="1"/>
  <c r="K26" i="1"/>
  <c r="K15" i="1"/>
  <c r="K68" i="1"/>
  <c r="K41" i="1"/>
  <c r="K44" i="1"/>
  <c r="F92" i="1" l="1"/>
  <c r="H92" i="1"/>
  <c r="J92" i="1"/>
  <c r="E92" i="1"/>
  <c r="G92" i="1"/>
  <c r="D92" i="1"/>
  <c r="I92" i="1"/>
  <c r="C92" i="1"/>
  <c r="K14" i="1"/>
  <c r="K92" i="1" l="1"/>
  <c r="K94" i="1"/>
</calcChain>
</file>

<file path=xl/sharedStrings.xml><?xml version="1.0" encoding="utf-8"?>
<sst xmlns="http://schemas.openxmlformats.org/spreadsheetml/2006/main" count="79" uniqueCount="76">
  <si>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</si>
  <si>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</si>
  <si>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</si>
  <si>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</si>
  <si>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</si>
  <si>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</si>
  <si>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</si>
  <si>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</si>
  <si>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</si>
  <si>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</si>
  <si>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</si>
  <si>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</si>
  <si>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</si>
  <si>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</si>
  <si>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</si>
  <si>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</si>
  <si>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</si>
  <si>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</si>
  <si>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</si>
  <si>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</si>
  <si>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</si>
  <si>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</si>
  <si>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</si>
  <si>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</si>
  <si>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</si>
  <si>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</si>
  <si>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</si>
  <si>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</si>
  <si>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</si>
  <si>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</si>
  <si>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</si>
  <si>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</si>
  <si>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</si>
  <si>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</si>
  <si>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</si>
  <si>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</si>
  <si>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</si>
  <si>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</si>
  <si>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</si>
  <si>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</si>
  <si>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</si>
  <si>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</si>
  <si>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</si>
  <si>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</si>
  <si>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</si>
  <si>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</si>
  <si>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</si>
  <si>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</si>
  <si>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</si>
  <si>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</si>
  <si>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</si>
  <si>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</si>
  <si>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</si>
  <si>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</si>
  <si>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</si>
  <si>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</si>
  <si>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</si>
  <si>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</si>
  <si>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</si>
  <si>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</si>
  <si>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</si>
  <si>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</si>
  <si>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</si>
  <si>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Отчисления от единого социального налога на улучшение оснащенности учреждений здравоохранения медицинским оборудованием и приобретение специализированного медицинского автотранспорта</t>
  </si>
  <si>
    <t>Приложение № 1</t>
  </si>
  <si>
    <t>"О республиканском бюджете на 2023 год"</t>
  </si>
  <si>
    <t>Доходы республиканского бюджета в разрезе основных видов налоговых, неналоговых и иных обязательных платежей на 2023 год</t>
  </si>
  <si>
    <t xml:space="preserve">Отчисления средств от налога на доходы на цели пенсионного страхования (обеспечения) </t>
  </si>
  <si>
    <t>Возврат бюджетных ссуд и проценты по ним</t>
  </si>
  <si>
    <t>Фонд государственного резерва</t>
  </si>
  <si>
    <t>Иные поступления, носящие нерегулярный характер</t>
  </si>
  <si>
    <t>Безвозмездные перечисления</t>
  </si>
  <si>
    <t>От нерезидентов</t>
  </si>
  <si>
    <t>Прочие безвозмездные перечисления</t>
  </si>
  <si>
    <t>Приднестровской Молдавской Республики</t>
  </si>
  <si>
    <t>"О внесении изменений и дополнений в Закон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</si>
</sst>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75">
    <xf numFmtId="0" fontId="0" fillId="0" borderId="0" xfId="0"/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right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horizontal="right" vertical="center"/>
    </xf>
    <xf numFmtId="1" fontId="2" fillId="2" borderId="2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1" fontId="2" fillId="2" borderId="10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left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2" borderId="0" xfId="0" applyNumberFormat="1" applyFont="1" applyFill="1" applyAlignment="1">
      <alignment vertical="center"/>
    </xf>
    <xf numFmtId="1" fontId="6" fillId="2" borderId="10" xfId="0" applyNumberFormat="1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vertical="center" wrapText="1"/>
    </xf>
    <xf numFmtId="3" fontId="5" fillId="2" borderId="0" xfId="0" applyNumberFormat="1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4" fontId="2" fillId="4" borderId="8" xfId="1" applyNumberFormat="1" applyFont="1" applyFill="1" applyBorder="1" applyAlignment="1">
      <alignment horizontal="right" vertical="center"/>
    </xf>
    <xf numFmtId="164" fontId="2" fillId="4" borderId="9" xfId="1" applyNumberFormat="1" applyFont="1" applyFill="1" applyBorder="1" applyAlignment="1">
      <alignment horizontal="right" vertical="center"/>
    </xf>
    <xf numFmtId="164" fontId="2" fillId="2" borderId="11" xfId="1" applyNumberFormat="1" applyFont="1" applyFill="1" applyBorder="1" applyAlignment="1">
      <alignment horizontal="right" vertical="center"/>
    </xf>
    <xf numFmtId="164" fontId="2" fillId="2" borderId="12" xfId="1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164" fontId="2" fillId="2" borderId="3" xfId="1" applyNumberFormat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/>
    </xf>
    <xf numFmtId="164" fontId="6" fillId="2" borderId="1" xfId="1" applyNumberFormat="1" applyFont="1" applyFill="1" applyBorder="1" applyAlignment="1">
      <alignment horizontal="right" vertical="center"/>
    </xf>
    <xf numFmtId="164" fontId="6" fillId="2" borderId="3" xfId="1" applyNumberFormat="1" applyFont="1" applyFill="1" applyBorder="1" applyAlignment="1">
      <alignment horizontal="right" vertical="center"/>
    </xf>
    <xf numFmtId="164" fontId="3" fillId="2" borderId="5" xfId="1" applyNumberFormat="1" applyFont="1" applyFill="1" applyBorder="1" applyAlignment="1">
      <alignment horizontal="right" vertical="center"/>
    </xf>
    <xf numFmtId="164" fontId="2" fillId="2" borderId="6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2" fillId="2" borderId="5" xfId="1" applyNumberFormat="1" applyFont="1" applyFill="1" applyBorder="1" applyAlignment="1">
      <alignment horizontal="right" vertical="center"/>
    </xf>
    <xf numFmtId="164" fontId="6" fillId="2" borderId="11" xfId="1" applyNumberFormat="1" applyFont="1" applyFill="1" applyBorder="1" applyAlignment="1">
      <alignment horizontal="right" vertical="center"/>
    </xf>
    <xf numFmtId="164" fontId="6" fillId="2" borderId="12" xfId="1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view="pageBreakPreview" zoomScale="90" zoomScaleNormal="90" zoomScaleSheetLayoutView="90" workbookViewId="0">
      <pane xSplit="2" ySplit="13" topLeftCell="C14" activePane="bottomRight" state="frozen"/>
      <selection pane="topRight" activeCell="C1" sqref="C1"/>
      <selection pane="bottomLeft" activeCell="A10" sqref="A10"/>
      <selection pane="bottomRight" activeCell="E16" sqref="E16"/>
    </sheetView>
  </sheetViews>
  <sheetFormatPr defaultColWidth="58.28515625" defaultRowHeight="15.75" x14ac:dyDescent="0.25"/>
  <cols>
    <col min="1" max="1" width="9" style="6" bestFit="1" customWidth="1"/>
    <col min="2" max="2" width="49.7109375" style="12" customWidth="1"/>
    <col min="3" max="3" width="15.7109375" style="13" bestFit="1" customWidth="1"/>
    <col min="4" max="6" width="14" style="13" bestFit="1" customWidth="1"/>
    <col min="7" max="8" width="12.7109375" style="13" bestFit="1" customWidth="1"/>
    <col min="9" max="9" width="15.5703125" style="13" customWidth="1"/>
    <col min="10" max="10" width="12.85546875" style="13" bestFit="1" customWidth="1"/>
    <col min="11" max="11" width="15.7109375" style="13" bestFit="1" customWidth="1"/>
    <col min="12" max="75" width="58.28515625" style="13"/>
    <col min="76" max="76" width="9" style="13" customWidth="1"/>
    <col min="77" max="77" width="60.28515625" style="13" customWidth="1"/>
    <col min="78" max="78" width="15.7109375" style="13" bestFit="1" customWidth="1"/>
    <col min="79" max="79" width="14.140625" style="13" bestFit="1" customWidth="1"/>
    <col min="80" max="80" width="14.140625" style="13" customWidth="1"/>
    <col min="81" max="81" width="14.140625" style="13" bestFit="1" customWidth="1"/>
    <col min="82" max="83" width="13.140625" style="13" bestFit="1" customWidth="1"/>
    <col min="84" max="84" width="14" style="13" customWidth="1"/>
    <col min="85" max="85" width="13.140625" style="13" customWidth="1"/>
    <col min="86" max="86" width="16.42578125" style="13" customWidth="1"/>
    <col min="87" max="87" width="18.5703125" style="13" customWidth="1"/>
    <col min="88" max="88" width="8.140625" style="13" bestFit="1" customWidth="1"/>
    <col min="89" max="331" width="58.28515625" style="13"/>
    <col min="332" max="332" width="9" style="13" customWidth="1"/>
    <col min="333" max="333" width="60.28515625" style="13" customWidth="1"/>
    <col min="334" max="334" width="15.7109375" style="13" bestFit="1" customWidth="1"/>
    <col min="335" max="335" width="14.140625" style="13" bestFit="1" customWidth="1"/>
    <col min="336" max="336" width="14.140625" style="13" customWidth="1"/>
    <col min="337" max="337" width="14.140625" style="13" bestFit="1" customWidth="1"/>
    <col min="338" max="339" width="13.140625" style="13" bestFit="1" customWidth="1"/>
    <col min="340" max="340" width="14" style="13" customWidth="1"/>
    <col min="341" max="341" width="13.140625" style="13" customWidth="1"/>
    <col min="342" max="342" width="16.42578125" style="13" customWidth="1"/>
    <col min="343" max="343" width="18.5703125" style="13" customWidth="1"/>
    <col min="344" max="344" width="8.140625" style="13" bestFit="1" customWidth="1"/>
    <col min="345" max="587" width="58.28515625" style="13"/>
    <col min="588" max="588" width="9" style="13" customWidth="1"/>
    <col min="589" max="589" width="60.28515625" style="13" customWidth="1"/>
    <col min="590" max="590" width="15.7109375" style="13" bestFit="1" customWidth="1"/>
    <col min="591" max="591" width="14.140625" style="13" bestFit="1" customWidth="1"/>
    <col min="592" max="592" width="14.140625" style="13" customWidth="1"/>
    <col min="593" max="593" width="14.140625" style="13" bestFit="1" customWidth="1"/>
    <col min="594" max="595" width="13.140625" style="13" bestFit="1" customWidth="1"/>
    <col min="596" max="596" width="14" style="13" customWidth="1"/>
    <col min="597" max="597" width="13.140625" style="13" customWidth="1"/>
    <col min="598" max="598" width="16.42578125" style="13" customWidth="1"/>
    <col min="599" max="599" width="18.5703125" style="13" customWidth="1"/>
    <col min="600" max="600" width="8.140625" style="13" bestFit="1" customWidth="1"/>
    <col min="601" max="843" width="58.28515625" style="13"/>
    <col min="844" max="844" width="9" style="13" customWidth="1"/>
    <col min="845" max="845" width="60.28515625" style="13" customWidth="1"/>
    <col min="846" max="846" width="15.7109375" style="13" bestFit="1" customWidth="1"/>
    <col min="847" max="847" width="14.140625" style="13" bestFit="1" customWidth="1"/>
    <col min="848" max="848" width="14.140625" style="13" customWidth="1"/>
    <col min="849" max="849" width="14.140625" style="13" bestFit="1" customWidth="1"/>
    <col min="850" max="851" width="13.140625" style="13" bestFit="1" customWidth="1"/>
    <col min="852" max="852" width="14" style="13" customWidth="1"/>
    <col min="853" max="853" width="13.140625" style="13" customWidth="1"/>
    <col min="854" max="854" width="16.42578125" style="13" customWidth="1"/>
    <col min="855" max="855" width="18.5703125" style="13" customWidth="1"/>
    <col min="856" max="856" width="8.140625" style="13" bestFit="1" customWidth="1"/>
    <col min="857" max="1099" width="58.28515625" style="13"/>
    <col min="1100" max="1100" width="9" style="13" customWidth="1"/>
    <col min="1101" max="1101" width="60.28515625" style="13" customWidth="1"/>
    <col min="1102" max="1102" width="15.7109375" style="13" bestFit="1" customWidth="1"/>
    <col min="1103" max="1103" width="14.140625" style="13" bestFit="1" customWidth="1"/>
    <col min="1104" max="1104" width="14.140625" style="13" customWidth="1"/>
    <col min="1105" max="1105" width="14.140625" style="13" bestFit="1" customWidth="1"/>
    <col min="1106" max="1107" width="13.140625" style="13" bestFit="1" customWidth="1"/>
    <col min="1108" max="1108" width="14" style="13" customWidth="1"/>
    <col min="1109" max="1109" width="13.140625" style="13" customWidth="1"/>
    <col min="1110" max="1110" width="16.42578125" style="13" customWidth="1"/>
    <col min="1111" max="1111" width="18.5703125" style="13" customWidth="1"/>
    <col min="1112" max="1112" width="8.140625" style="13" bestFit="1" customWidth="1"/>
    <col min="1113" max="1355" width="58.28515625" style="13"/>
    <col min="1356" max="1356" width="9" style="13" customWidth="1"/>
    <col min="1357" max="1357" width="60.28515625" style="13" customWidth="1"/>
    <col min="1358" max="1358" width="15.7109375" style="13" bestFit="1" customWidth="1"/>
    <col min="1359" max="1359" width="14.140625" style="13" bestFit="1" customWidth="1"/>
    <col min="1360" max="1360" width="14.140625" style="13" customWidth="1"/>
    <col min="1361" max="1361" width="14.140625" style="13" bestFit="1" customWidth="1"/>
    <col min="1362" max="1363" width="13.140625" style="13" bestFit="1" customWidth="1"/>
    <col min="1364" max="1364" width="14" style="13" customWidth="1"/>
    <col min="1365" max="1365" width="13.140625" style="13" customWidth="1"/>
    <col min="1366" max="1366" width="16.42578125" style="13" customWidth="1"/>
    <col min="1367" max="1367" width="18.5703125" style="13" customWidth="1"/>
    <col min="1368" max="1368" width="8.140625" style="13" bestFit="1" customWidth="1"/>
    <col min="1369" max="1611" width="58.28515625" style="13"/>
    <col min="1612" max="1612" width="9" style="13" customWidth="1"/>
    <col min="1613" max="1613" width="60.28515625" style="13" customWidth="1"/>
    <col min="1614" max="1614" width="15.7109375" style="13" bestFit="1" customWidth="1"/>
    <col min="1615" max="1615" width="14.140625" style="13" bestFit="1" customWidth="1"/>
    <col min="1616" max="1616" width="14.140625" style="13" customWidth="1"/>
    <col min="1617" max="1617" width="14.140625" style="13" bestFit="1" customWidth="1"/>
    <col min="1618" max="1619" width="13.140625" style="13" bestFit="1" customWidth="1"/>
    <col min="1620" max="1620" width="14" style="13" customWidth="1"/>
    <col min="1621" max="1621" width="13.140625" style="13" customWidth="1"/>
    <col min="1622" max="1622" width="16.42578125" style="13" customWidth="1"/>
    <col min="1623" max="1623" width="18.5703125" style="13" customWidth="1"/>
    <col min="1624" max="1624" width="8.140625" style="13" bestFit="1" customWidth="1"/>
    <col min="1625" max="1867" width="58.28515625" style="13"/>
    <col min="1868" max="1868" width="9" style="13" customWidth="1"/>
    <col min="1869" max="1869" width="60.28515625" style="13" customWidth="1"/>
    <col min="1870" max="1870" width="15.7109375" style="13" bestFit="1" customWidth="1"/>
    <col min="1871" max="1871" width="14.140625" style="13" bestFit="1" customWidth="1"/>
    <col min="1872" max="1872" width="14.140625" style="13" customWidth="1"/>
    <col min="1873" max="1873" width="14.140625" style="13" bestFit="1" customWidth="1"/>
    <col min="1874" max="1875" width="13.140625" style="13" bestFit="1" customWidth="1"/>
    <col min="1876" max="1876" width="14" style="13" customWidth="1"/>
    <col min="1877" max="1877" width="13.140625" style="13" customWidth="1"/>
    <col min="1878" max="1878" width="16.42578125" style="13" customWidth="1"/>
    <col min="1879" max="1879" width="18.5703125" style="13" customWidth="1"/>
    <col min="1880" max="1880" width="8.140625" style="13" bestFit="1" customWidth="1"/>
    <col min="1881" max="2123" width="58.28515625" style="13"/>
    <col min="2124" max="2124" width="9" style="13" customWidth="1"/>
    <col min="2125" max="2125" width="60.28515625" style="13" customWidth="1"/>
    <col min="2126" max="2126" width="15.7109375" style="13" bestFit="1" customWidth="1"/>
    <col min="2127" max="2127" width="14.140625" style="13" bestFit="1" customWidth="1"/>
    <col min="2128" max="2128" width="14.140625" style="13" customWidth="1"/>
    <col min="2129" max="2129" width="14.140625" style="13" bestFit="1" customWidth="1"/>
    <col min="2130" max="2131" width="13.140625" style="13" bestFit="1" customWidth="1"/>
    <col min="2132" max="2132" width="14" style="13" customWidth="1"/>
    <col min="2133" max="2133" width="13.140625" style="13" customWidth="1"/>
    <col min="2134" max="2134" width="16.42578125" style="13" customWidth="1"/>
    <col min="2135" max="2135" width="18.5703125" style="13" customWidth="1"/>
    <col min="2136" max="2136" width="8.140625" style="13" bestFit="1" customWidth="1"/>
    <col min="2137" max="2379" width="58.28515625" style="13"/>
    <col min="2380" max="2380" width="9" style="13" customWidth="1"/>
    <col min="2381" max="2381" width="60.28515625" style="13" customWidth="1"/>
    <col min="2382" max="2382" width="15.7109375" style="13" bestFit="1" customWidth="1"/>
    <col min="2383" max="2383" width="14.140625" style="13" bestFit="1" customWidth="1"/>
    <col min="2384" max="2384" width="14.140625" style="13" customWidth="1"/>
    <col min="2385" max="2385" width="14.140625" style="13" bestFit="1" customWidth="1"/>
    <col min="2386" max="2387" width="13.140625" style="13" bestFit="1" customWidth="1"/>
    <col min="2388" max="2388" width="14" style="13" customWidth="1"/>
    <col min="2389" max="2389" width="13.140625" style="13" customWidth="1"/>
    <col min="2390" max="2390" width="16.42578125" style="13" customWidth="1"/>
    <col min="2391" max="2391" width="18.5703125" style="13" customWidth="1"/>
    <col min="2392" max="2392" width="8.140625" style="13" bestFit="1" customWidth="1"/>
    <col min="2393" max="2635" width="58.28515625" style="13"/>
    <col min="2636" max="2636" width="9" style="13" customWidth="1"/>
    <col min="2637" max="2637" width="60.28515625" style="13" customWidth="1"/>
    <col min="2638" max="2638" width="15.7109375" style="13" bestFit="1" customWidth="1"/>
    <col min="2639" max="2639" width="14.140625" style="13" bestFit="1" customWidth="1"/>
    <col min="2640" max="2640" width="14.140625" style="13" customWidth="1"/>
    <col min="2641" max="2641" width="14.140625" style="13" bestFit="1" customWidth="1"/>
    <col min="2642" max="2643" width="13.140625" style="13" bestFit="1" customWidth="1"/>
    <col min="2644" max="2644" width="14" style="13" customWidth="1"/>
    <col min="2645" max="2645" width="13.140625" style="13" customWidth="1"/>
    <col min="2646" max="2646" width="16.42578125" style="13" customWidth="1"/>
    <col min="2647" max="2647" width="18.5703125" style="13" customWidth="1"/>
    <col min="2648" max="2648" width="8.140625" style="13" bestFit="1" customWidth="1"/>
    <col min="2649" max="2891" width="58.28515625" style="13"/>
    <col min="2892" max="2892" width="9" style="13" customWidth="1"/>
    <col min="2893" max="2893" width="60.28515625" style="13" customWidth="1"/>
    <col min="2894" max="2894" width="15.7109375" style="13" bestFit="1" customWidth="1"/>
    <col min="2895" max="2895" width="14.140625" style="13" bestFit="1" customWidth="1"/>
    <col min="2896" max="2896" width="14.140625" style="13" customWidth="1"/>
    <col min="2897" max="2897" width="14.140625" style="13" bestFit="1" customWidth="1"/>
    <col min="2898" max="2899" width="13.140625" style="13" bestFit="1" customWidth="1"/>
    <col min="2900" max="2900" width="14" style="13" customWidth="1"/>
    <col min="2901" max="2901" width="13.140625" style="13" customWidth="1"/>
    <col min="2902" max="2902" width="16.42578125" style="13" customWidth="1"/>
    <col min="2903" max="2903" width="18.5703125" style="13" customWidth="1"/>
    <col min="2904" max="2904" width="8.140625" style="13" bestFit="1" customWidth="1"/>
    <col min="2905" max="3147" width="58.28515625" style="13"/>
    <col min="3148" max="3148" width="9" style="13" customWidth="1"/>
    <col min="3149" max="3149" width="60.28515625" style="13" customWidth="1"/>
    <col min="3150" max="3150" width="15.7109375" style="13" bestFit="1" customWidth="1"/>
    <col min="3151" max="3151" width="14.140625" style="13" bestFit="1" customWidth="1"/>
    <col min="3152" max="3152" width="14.140625" style="13" customWidth="1"/>
    <col min="3153" max="3153" width="14.140625" style="13" bestFit="1" customWidth="1"/>
    <col min="3154" max="3155" width="13.140625" style="13" bestFit="1" customWidth="1"/>
    <col min="3156" max="3156" width="14" style="13" customWidth="1"/>
    <col min="3157" max="3157" width="13.140625" style="13" customWidth="1"/>
    <col min="3158" max="3158" width="16.42578125" style="13" customWidth="1"/>
    <col min="3159" max="3159" width="18.5703125" style="13" customWidth="1"/>
    <col min="3160" max="3160" width="8.140625" style="13" bestFit="1" customWidth="1"/>
    <col min="3161" max="3403" width="58.28515625" style="13"/>
    <col min="3404" max="3404" width="9" style="13" customWidth="1"/>
    <col min="3405" max="3405" width="60.28515625" style="13" customWidth="1"/>
    <col min="3406" max="3406" width="15.7109375" style="13" bestFit="1" customWidth="1"/>
    <col min="3407" max="3407" width="14.140625" style="13" bestFit="1" customWidth="1"/>
    <col min="3408" max="3408" width="14.140625" style="13" customWidth="1"/>
    <col min="3409" max="3409" width="14.140625" style="13" bestFit="1" customWidth="1"/>
    <col min="3410" max="3411" width="13.140625" style="13" bestFit="1" customWidth="1"/>
    <col min="3412" max="3412" width="14" style="13" customWidth="1"/>
    <col min="3413" max="3413" width="13.140625" style="13" customWidth="1"/>
    <col min="3414" max="3414" width="16.42578125" style="13" customWidth="1"/>
    <col min="3415" max="3415" width="18.5703125" style="13" customWidth="1"/>
    <col min="3416" max="3416" width="8.140625" style="13" bestFit="1" customWidth="1"/>
    <col min="3417" max="3659" width="58.28515625" style="13"/>
    <col min="3660" max="3660" width="9" style="13" customWidth="1"/>
    <col min="3661" max="3661" width="60.28515625" style="13" customWidth="1"/>
    <col min="3662" max="3662" width="15.7109375" style="13" bestFit="1" customWidth="1"/>
    <col min="3663" max="3663" width="14.140625" style="13" bestFit="1" customWidth="1"/>
    <col min="3664" max="3664" width="14.140625" style="13" customWidth="1"/>
    <col min="3665" max="3665" width="14.140625" style="13" bestFit="1" customWidth="1"/>
    <col min="3666" max="3667" width="13.140625" style="13" bestFit="1" customWidth="1"/>
    <col min="3668" max="3668" width="14" style="13" customWidth="1"/>
    <col min="3669" max="3669" width="13.140625" style="13" customWidth="1"/>
    <col min="3670" max="3670" width="16.42578125" style="13" customWidth="1"/>
    <col min="3671" max="3671" width="18.5703125" style="13" customWidth="1"/>
    <col min="3672" max="3672" width="8.140625" style="13" bestFit="1" customWidth="1"/>
    <col min="3673" max="3915" width="58.28515625" style="13"/>
    <col min="3916" max="3916" width="9" style="13" customWidth="1"/>
    <col min="3917" max="3917" width="60.28515625" style="13" customWidth="1"/>
    <col min="3918" max="3918" width="15.7109375" style="13" bestFit="1" customWidth="1"/>
    <col min="3919" max="3919" width="14.140625" style="13" bestFit="1" customWidth="1"/>
    <col min="3920" max="3920" width="14.140625" style="13" customWidth="1"/>
    <col min="3921" max="3921" width="14.140625" style="13" bestFit="1" customWidth="1"/>
    <col min="3922" max="3923" width="13.140625" style="13" bestFit="1" customWidth="1"/>
    <col min="3924" max="3924" width="14" style="13" customWidth="1"/>
    <col min="3925" max="3925" width="13.140625" style="13" customWidth="1"/>
    <col min="3926" max="3926" width="16.42578125" style="13" customWidth="1"/>
    <col min="3927" max="3927" width="18.5703125" style="13" customWidth="1"/>
    <col min="3928" max="3928" width="8.140625" style="13" bestFit="1" customWidth="1"/>
    <col min="3929" max="4171" width="58.28515625" style="13"/>
    <col min="4172" max="4172" width="9" style="13" customWidth="1"/>
    <col min="4173" max="4173" width="60.28515625" style="13" customWidth="1"/>
    <col min="4174" max="4174" width="15.7109375" style="13" bestFit="1" customWidth="1"/>
    <col min="4175" max="4175" width="14.140625" style="13" bestFit="1" customWidth="1"/>
    <col min="4176" max="4176" width="14.140625" style="13" customWidth="1"/>
    <col min="4177" max="4177" width="14.140625" style="13" bestFit="1" customWidth="1"/>
    <col min="4178" max="4179" width="13.140625" style="13" bestFit="1" customWidth="1"/>
    <col min="4180" max="4180" width="14" style="13" customWidth="1"/>
    <col min="4181" max="4181" width="13.140625" style="13" customWidth="1"/>
    <col min="4182" max="4182" width="16.42578125" style="13" customWidth="1"/>
    <col min="4183" max="4183" width="18.5703125" style="13" customWidth="1"/>
    <col min="4184" max="4184" width="8.140625" style="13" bestFit="1" customWidth="1"/>
    <col min="4185" max="4427" width="58.28515625" style="13"/>
    <col min="4428" max="4428" width="9" style="13" customWidth="1"/>
    <col min="4429" max="4429" width="60.28515625" style="13" customWidth="1"/>
    <col min="4430" max="4430" width="15.7109375" style="13" bestFit="1" customWidth="1"/>
    <col min="4431" max="4431" width="14.140625" style="13" bestFit="1" customWidth="1"/>
    <col min="4432" max="4432" width="14.140625" style="13" customWidth="1"/>
    <col min="4433" max="4433" width="14.140625" style="13" bestFit="1" customWidth="1"/>
    <col min="4434" max="4435" width="13.140625" style="13" bestFit="1" customWidth="1"/>
    <col min="4436" max="4436" width="14" style="13" customWidth="1"/>
    <col min="4437" max="4437" width="13.140625" style="13" customWidth="1"/>
    <col min="4438" max="4438" width="16.42578125" style="13" customWidth="1"/>
    <col min="4439" max="4439" width="18.5703125" style="13" customWidth="1"/>
    <col min="4440" max="4440" width="8.140625" style="13" bestFit="1" customWidth="1"/>
    <col min="4441" max="4683" width="58.28515625" style="13"/>
    <col min="4684" max="4684" width="9" style="13" customWidth="1"/>
    <col min="4685" max="4685" width="60.28515625" style="13" customWidth="1"/>
    <col min="4686" max="4686" width="15.7109375" style="13" bestFit="1" customWidth="1"/>
    <col min="4687" max="4687" width="14.140625" style="13" bestFit="1" customWidth="1"/>
    <col min="4688" max="4688" width="14.140625" style="13" customWidth="1"/>
    <col min="4689" max="4689" width="14.140625" style="13" bestFit="1" customWidth="1"/>
    <col min="4690" max="4691" width="13.140625" style="13" bestFit="1" customWidth="1"/>
    <col min="4692" max="4692" width="14" style="13" customWidth="1"/>
    <col min="4693" max="4693" width="13.140625" style="13" customWidth="1"/>
    <col min="4694" max="4694" width="16.42578125" style="13" customWidth="1"/>
    <col min="4695" max="4695" width="18.5703125" style="13" customWidth="1"/>
    <col min="4696" max="4696" width="8.140625" style="13" bestFit="1" customWidth="1"/>
    <col min="4697" max="4939" width="58.28515625" style="13"/>
    <col min="4940" max="4940" width="9" style="13" customWidth="1"/>
    <col min="4941" max="4941" width="60.28515625" style="13" customWidth="1"/>
    <col min="4942" max="4942" width="15.7109375" style="13" bestFit="1" customWidth="1"/>
    <col min="4943" max="4943" width="14.140625" style="13" bestFit="1" customWidth="1"/>
    <col min="4944" max="4944" width="14.140625" style="13" customWidth="1"/>
    <col min="4945" max="4945" width="14.140625" style="13" bestFit="1" customWidth="1"/>
    <col min="4946" max="4947" width="13.140625" style="13" bestFit="1" customWidth="1"/>
    <col min="4948" max="4948" width="14" style="13" customWidth="1"/>
    <col min="4949" max="4949" width="13.140625" style="13" customWidth="1"/>
    <col min="4950" max="4950" width="16.42578125" style="13" customWidth="1"/>
    <col min="4951" max="4951" width="18.5703125" style="13" customWidth="1"/>
    <col min="4952" max="4952" width="8.140625" style="13" bestFit="1" customWidth="1"/>
    <col min="4953" max="5195" width="58.28515625" style="13"/>
    <col min="5196" max="5196" width="9" style="13" customWidth="1"/>
    <col min="5197" max="5197" width="60.28515625" style="13" customWidth="1"/>
    <col min="5198" max="5198" width="15.7109375" style="13" bestFit="1" customWidth="1"/>
    <col min="5199" max="5199" width="14.140625" style="13" bestFit="1" customWidth="1"/>
    <col min="5200" max="5200" width="14.140625" style="13" customWidth="1"/>
    <col min="5201" max="5201" width="14.140625" style="13" bestFit="1" customWidth="1"/>
    <col min="5202" max="5203" width="13.140625" style="13" bestFit="1" customWidth="1"/>
    <col min="5204" max="5204" width="14" style="13" customWidth="1"/>
    <col min="5205" max="5205" width="13.140625" style="13" customWidth="1"/>
    <col min="5206" max="5206" width="16.42578125" style="13" customWidth="1"/>
    <col min="5207" max="5207" width="18.5703125" style="13" customWidth="1"/>
    <col min="5208" max="5208" width="8.140625" style="13" bestFit="1" customWidth="1"/>
    <col min="5209" max="5451" width="58.28515625" style="13"/>
    <col min="5452" max="5452" width="9" style="13" customWidth="1"/>
    <col min="5453" max="5453" width="60.28515625" style="13" customWidth="1"/>
    <col min="5454" max="5454" width="15.7109375" style="13" bestFit="1" customWidth="1"/>
    <col min="5455" max="5455" width="14.140625" style="13" bestFit="1" customWidth="1"/>
    <col min="5456" max="5456" width="14.140625" style="13" customWidth="1"/>
    <col min="5457" max="5457" width="14.140625" style="13" bestFit="1" customWidth="1"/>
    <col min="5458" max="5459" width="13.140625" style="13" bestFit="1" customWidth="1"/>
    <col min="5460" max="5460" width="14" style="13" customWidth="1"/>
    <col min="5461" max="5461" width="13.140625" style="13" customWidth="1"/>
    <col min="5462" max="5462" width="16.42578125" style="13" customWidth="1"/>
    <col min="5463" max="5463" width="18.5703125" style="13" customWidth="1"/>
    <col min="5464" max="5464" width="8.140625" style="13" bestFit="1" customWidth="1"/>
    <col min="5465" max="5707" width="58.28515625" style="13"/>
    <col min="5708" max="5708" width="9" style="13" customWidth="1"/>
    <col min="5709" max="5709" width="60.28515625" style="13" customWidth="1"/>
    <col min="5710" max="5710" width="15.7109375" style="13" bestFit="1" customWidth="1"/>
    <col min="5711" max="5711" width="14.140625" style="13" bestFit="1" customWidth="1"/>
    <col min="5712" max="5712" width="14.140625" style="13" customWidth="1"/>
    <col min="5713" max="5713" width="14.140625" style="13" bestFit="1" customWidth="1"/>
    <col min="5714" max="5715" width="13.140625" style="13" bestFit="1" customWidth="1"/>
    <col min="5716" max="5716" width="14" style="13" customWidth="1"/>
    <col min="5717" max="5717" width="13.140625" style="13" customWidth="1"/>
    <col min="5718" max="5718" width="16.42578125" style="13" customWidth="1"/>
    <col min="5719" max="5719" width="18.5703125" style="13" customWidth="1"/>
    <col min="5720" max="5720" width="8.140625" style="13" bestFit="1" customWidth="1"/>
    <col min="5721" max="5963" width="58.28515625" style="13"/>
    <col min="5964" max="5964" width="9" style="13" customWidth="1"/>
    <col min="5965" max="5965" width="60.28515625" style="13" customWidth="1"/>
    <col min="5966" max="5966" width="15.7109375" style="13" bestFit="1" customWidth="1"/>
    <col min="5967" max="5967" width="14.140625" style="13" bestFit="1" customWidth="1"/>
    <col min="5968" max="5968" width="14.140625" style="13" customWidth="1"/>
    <col min="5969" max="5969" width="14.140625" style="13" bestFit="1" customWidth="1"/>
    <col min="5970" max="5971" width="13.140625" style="13" bestFit="1" customWidth="1"/>
    <col min="5972" max="5972" width="14" style="13" customWidth="1"/>
    <col min="5973" max="5973" width="13.140625" style="13" customWidth="1"/>
    <col min="5974" max="5974" width="16.42578125" style="13" customWidth="1"/>
    <col min="5975" max="5975" width="18.5703125" style="13" customWidth="1"/>
    <col min="5976" max="5976" width="8.140625" style="13" bestFit="1" customWidth="1"/>
    <col min="5977" max="6219" width="58.28515625" style="13"/>
    <col min="6220" max="6220" width="9" style="13" customWidth="1"/>
    <col min="6221" max="6221" width="60.28515625" style="13" customWidth="1"/>
    <col min="6222" max="6222" width="15.7109375" style="13" bestFit="1" customWidth="1"/>
    <col min="6223" max="6223" width="14.140625" style="13" bestFit="1" customWidth="1"/>
    <col min="6224" max="6224" width="14.140625" style="13" customWidth="1"/>
    <col min="6225" max="6225" width="14.140625" style="13" bestFit="1" customWidth="1"/>
    <col min="6226" max="6227" width="13.140625" style="13" bestFit="1" customWidth="1"/>
    <col min="6228" max="6228" width="14" style="13" customWidth="1"/>
    <col min="6229" max="6229" width="13.140625" style="13" customWidth="1"/>
    <col min="6230" max="6230" width="16.42578125" style="13" customWidth="1"/>
    <col min="6231" max="6231" width="18.5703125" style="13" customWidth="1"/>
    <col min="6232" max="6232" width="8.140625" style="13" bestFit="1" customWidth="1"/>
    <col min="6233" max="6475" width="58.28515625" style="13"/>
    <col min="6476" max="6476" width="9" style="13" customWidth="1"/>
    <col min="6477" max="6477" width="60.28515625" style="13" customWidth="1"/>
    <col min="6478" max="6478" width="15.7109375" style="13" bestFit="1" customWidth="1"/>
    <col min="6479" max="6479" width="14.140625" style="13" bestFit="1" customWidth="1"/>
    <col min="6480" max="6480" width="14.140625" style="13" customWidth="1"/>
    <col min="6481" max="6481" width="14.140625" style="13" bestFit="1" customWidth="1"/>
    <col min="6482" max="6483" width="13.140625" style="13" bestFit="1" customWidth="1"/>
    <col min="6484" max="6484" width="14" style="13" customWidth="1"/>
    <col min="6485" max="6485" width="13.140625" style="13" customWidth="1"/>
    <col min="6486" max="6486" width="16.42578125" style="13" customWidth="1"/>
    <col min="6487" max="6487" width="18.5703125" style="13" customWidth="1"/>
    <col min="6488" max="6488" width="8.140625" style="13" bestFit="1" customWidth="1"/>
    <col min="6489" max="6731" width="58.28515625" style="13"/>
    <col min="6732" max="6732" width="9" style="13" customWidth="1"/>
    <col min="6733" max="6733" width="60.28515625" style="13" customWidth="1"/>
    <col min="6734" max="6734" width="15.7109375" style="13" bestFit="1" customWidth="1"/>
    <col min="6735" max="6735" width="14.140625" style="13" bestFit="1" customWidth="1"/>
    <col min="6736" max="6736" width="14.140625" style="13" customWidth="1"/>
    <col min="6737" max="6737" width="14.140625" style="13" bestFit="1" customWidth="1"/>
    <col min="6738" max="6739" width="13.140625" style="13" bestFit="1" customWidth="1"/>
    <col min="6740" max="6740" width="14" style="13" customWidth="1"/>
    <col min="6741" max="6741" width="13.140625" style="13" customWidth="1"/>
    <col min="6742" max="6742" width="16.42578125" style="13" customWidth="1"/>
    <col min="6743" max="6743" width="18.5703125" style="13" customWidth="1"/>
    <col min="6744" max="6744" width="8.140625" style="13" bestFit="1" customWidth="1"/>
    <col min="6745" max="6987" width="58.28515625" style="13"/>
    <col min="6988" max="6988" width="9" style="13" customWidth="1"/>
    <col min="6989" max="6989" width="60.28515625" style="13" customWidth="1"/>
    <col min="6990" max="6990" width="15.7109375" style="13" bestFit="1" customWidth="1"/>
    <col min="6991" max="6991" width="14.140625" style="13" bestFit="1" customWidth="1"/>
    <col min="6992" max="6992" width="14.140625" style="13" customWidth="1"/>
    <col min="6993" max="6993" width="14.140625" style="13" bestFit="1" customWidth="1"/>
    <col min="6994" max="6995" width="13.140625" style="13" bestFit="1" customWidth="1"/>
    <col min="6996" max="6996" width="14" style="13" customWidth="1"/>
    <col min="6997" max="6997" width="13.140625" style="13" customWidth="1"/>
    <col min="6998" max="6998" width="16.42578125" style="13" customWidth="1"/>
    <col min="6999" max="6999" width="18.5703125" style="13" customWidth="1"/>
    <col min="7000" max="7000" width="8.140625" style="13" bestFit="1" customWidth="1"/>
    <col min="7001" max="7243" width="58.28515625" style="13"/>
    <col min="7244" max="7244" width="9" style="13" customWidth="1"/>
    <col min="7245" max="7245" width="60.28515625" style="13" customWidth="1"/>
    <col min="7246" max="7246" width="15.7109375" style="13" bestFit="1" customWidth="1"/>
    <col min="7247" max="7247" width="14.140625" style="13" bestFit="1" customWidth="1"/>
    <col min="7248" max="7248" width="14.140625" style="13" customWidth="1"/>
    <col min="7249" max="7249" width="14.140625" style="13" bestFit="1" customWidth="1"/>
    <col min="7250" max="7251" width="13.140625" style="13" bestFit="1" customWidth="1"/>
    <col min="7252" max="7252" width="14" style="13" customWidth="1"/>
    <col min="7253" max="7253" width="13.140625" style="13" customWidth="1"/>
    <col min="7254" max="7254" width="16.42578125" style="13" customWidth="1"/>
    <col min="7255" max="7255" width="18.5703125" style="13" customWidth="1"/>
    <col min="7256" max="7256" width="8.140625" style="13" bestFit="1" customWidth="1"/>
    <col min="7257" max="7499" width="58.28515625" style="13"/>
    <col min="7500" max="7500" width="9" style="13" customWidth="1"/>
    <col min="7501" max="7501" width="60.28515625" style="13" customWidth="1"/>
    <col min="7502" max="7502" width="15.7109375" style="13" bestFit="1" customWidth="1"/>
    <col min="7503" max="7503" width="14.140625" style="13" bestFit="1" customWidth="1"/>
    <col min="7504" max="7504" width="14.140625" style="13" customWidth="1"/>
    <col min="7505" max="7505" width="14.140625" style="13" bestFit="1" customWidth="1"/>
    <col min="7506" max="7507" width="13.140625" style="13" bestFit="1" customWidth="1"/>
    <col min="7508" max="7508" width="14" style="13" customWidth="1"/>
    <col min="7509" max="7509" width="13.140625" style="13" customWidth="1"/>
    <col min="7510" max="7510" width="16.42578125" style="13" customWidth="1"/>
    <col min="7511" max="7511" width="18.5703125" style="13" customWidth="1"/>
    <col min="7512" max="7512" width="8.140625" style="13" bestFit="1" customWidth="1"/>
    <col min="7513" max="7755" width="58.28515625" style="13"/>
    <col min="7756" max="7756" width="9" style="13" customWidth="1"/>
    <col min="7757" max="7757" width="60.28515625" style="13" customWidth="1"/>
    <col min="7758" max="7758" width="15.7109375" style="13" bestFit="1" customWidth="1"/>
    <col min="7759" max="7759" width="14.140625" style="13" bestFit="1" customWidth="1"/>
    <col min="7760" max="7760" width="14.140625" style="13" customWidth="1"/>
    <col min="7761" max="7761" width="14.140625" style="13" bestFit="1" customWidth="1"/>
    <col min="7762" max="7763" width="13.140625" style="13" bestFit="1" customWidth="1"/>
    <col min="7764" max="7764" width="14" style="13" customWidth="1"/>
    <col min="7765" max="7765" width="13.140625" style="13" customWidth="1"/>
    <col min="7766" max="7766" width="16.42578125" style="13" customWidth="1"/>
    <col min="7767" max="7767" width="18.5703125" style="13" customWidth="1"/>
    <col min="7768" max="7768" width="8.140625" style="13" bestFit="1" customWidth="1"/>
    <col min="7769" max="8011" width="58.28515625" style="13"/>
    <col min="8012" max="8012" width="9" style="13" customWidth="1"/>
    <col min="8013" max="8013" width="60.28515625" style="13" customWidth="1"/>
    <col min="8014" max="8014" width="15.7109375" style="13" bestFit="1" customWidth="1"/>
    <col min="8015" max="8015" width="14.140625" style="13" bestFit="1" customWidth="1"/>
    <col min="8016" max="8016" width="14.140625" style="13" customWidth="1"/>
    <col min="8017" max="8017" width="14.140625" style="13" bestFit="1" customWidth="1"/>
    <col min="8018" max="8019" width="13.140625" style="13" bestFit="1" customWidth="1"/>
    <col min="8020" max="8020" width="14" style="13" customWidth="1"/>
    <col min="8021" max="8021" width="13.140625" style="13" customWidth="1"/>
    <col min="8022" max="8022" width="16.42578125" style="13" customWidth="1"/>
    <col min="8023" max="8023" width="18.5703125" style="13" customWidth="1"/>
    <col min="8024" max="8024" width="8.140625" style="13" bestFit="1" customWidth="1"/>
    <col min="8025" max="8267" width="58.28515625" style="13"/>
    <col min="8268" max="8268" width="9" style="13" customWidth="1"/>
    <col min="8269" max="8269" width="60.28515625" style="13" customWidth="1"/>
    <col min="8270" max="8270" width="15.7109375" style="13" bestFit="1" customWidth="1"/>
    <col min="8271" max="8271" width="14.140625" style="13" bestFit="1" customWidth="1"/>
    <col min="8272" max="8272" width="14.140625" style="13" customWidth="1"/>
    <col min="8273" max="8273" width="14.140625" style="13" bestFit="1" customWidth="1"/>
    <col min="8274" max="8275" width="13.140625" style="13" bestFit="1" customWidth="1"/>
    <col min="8276" max="8276" width="14" style="13" customWidth="1"/>
    <col min="8277" max="8277" width="13.140625" style="13" customWidth="1"/>
    <col min="8278" max="8278" width="16.42578125" style="13" customWidth="1"/>
    <col min="8279" max="8279" width="18.5703125" style="13" customWidth="1"/>
    <col min="8280" max="8280" width="8.140625" style="13" bestFit="1" customWidth="1"/>
    <col min="8281" max="8523" width="58.28515625" style="13"/>
    <col min="8524" max="8524" width="9" style="13" customWidth="1"/>
    <col min="8525" max="8525" width="60.28515625" style="13" customWidth="1"/>
    <col min="8526" max="8526" width="15.7109375" style="13" bestFit="1" customWidth="1"/>
    <col min="8527" max="8527" width="14.140625" style="13" bestFit="1" customWidth="1"/>
    <col min="8528" max="8528" width="14.140625" style="13" customWidth="1"/>
    <col min="8529" max="8529" width="14.140625" style="13" bestFit="1" customWidth="1"/>
    <col min="8530" max="8531" width="13.140625" style="13" bestFit="1" customWidth="1"/>
    <col min="8532" max="8532" width="14" style="13" customWidth="1"/>
    <col min="8533" max="8533" width="13.140625" style="13" customWidth="1"/>
    <col min="8534" max="8534" width="16.42578125" style="13" customWidth="1"/>
    <col min="8535" max="8535" width="18.5703125" style="13" customWidth="1"/>
    <col min="8536" max="8536" width="8.140625" style="13" bestFit="1" customWidth="1"/>
    <col min="8537" max="8779" width="58.28515625" style="13"/>
    <col min="8780" max="8780" width="9" style="13" customWidth="1"/>
    <col min="8781" max="8781" width="60.28515625" style="13" customWidth="1"/>
    <col min="8782" max="8782" width="15.7109375" style="13" bestFit="1" customWidth="1"/>
    <col min="8783" max="8783" width="14.140625" style="13" bestFit="1" customWidth="1"/>
    <col min="8784" max="8784" width="14.140625" style="13" customWidth="1"/>
    <col min="8785" max="8785" width="14.140625" style="13" bestFit="1" customWidth="1"/>
    <col min="8786" max="8787" width="13.140625" style="13" bestFit="1" customWidth="1"/>
    <col min="8788" max="8788" width="14" style="13" customWidth="1"/>
    <col min="8789" max="8789" width="13.140625" style="13" customWidth="1"/>
    <col min="8790" max="8790" width="16.42578125" style="13" customWidth="1"/>
    <col min="8791" max="8791" width="18.5703125" style="13" customWidth="1"/>
    <col min="8792" max="8792" width="8.140625" style="13" bestFit="1" customWidth="1"/>
    <col min="8793" max="9035" width="58.28515625" style="13"/>
    <col min="9036" max="9036" width="9" style="13" customWidth="1"/>
    <col min="9037" max="9037" width="60.28515625" style="13" customWidth="1"/>
    <col min="9038" max="9038" width="15.7109375" style="13" bestFit="1" customWidth="1"/>
    <col min="9039" max="9039" width="14.140625" style="13" bestFit="1" customWidth="1"/>
    <col min="9040" max="9040" width="14.140625" style="13" customWidth="1"/>
    <col min="9041" max="9041" width="14.140625" style="13" bestFit="1" customWidth="1"/>
    <col min="9042" max="9043" width="13.140625" style="13" bestFit="1" customWidth="1"/>
    <col min="9044" max="9044" width="14" style="13" customWidth="1"/>
    <col min="9045" max="9045" width="13.140625" style="13" customWidth="1"/>
    <col min="9046" max="9046" width="16.42578125" style="13" customWidth="1"/>
    <col min="9047" max="9047" width="18.5703125" style="13" customWidth="1"/>
    <col min="9048" max="9048" width="8.140625" style="13" bestFit="1" customWidth="1"/>
    <col min="9049" max="9291" width="58.28515625" style="13"/>
    <col min="9292" max="9292" width="9" style="13" customWidth="1"/>
    <col min="9293" max="9293" width="60.28515625" style="13" customWidth="1"/>
    <col min="9294" max="9294" width="15.7109375" style="13" bestFit="1" customWidth="1"/>
    <col min="9295" max="9295" width="14.140625" style="13" bestFit="1" customWidth="1"/>
    <col min="9296" max="9296" width="14.140625" style="13" customWidth="1"/>
    <col min="9297" max="9297" width="14.140625" style="13" bestFit="1" customWidth="1"/>
    <col min="9298" max="9299" width="13.140625" style="13" bestFit="1" customWidth="1"/>
    <col min="9300" max="9300" width="14" style="13" customWidth="1"/>
    <col min="9301" max="9301" width="13.140625" style="13" customWidth="1"/>
    <col min="9302" max="9302" width="16.42578125" style="13" customWidth="1"/>
    <col min="9303" max="9303" width="18.5703125" style="13" customWidth="1"/>
    <col min="9304" max="9304" width="8.140625" style="13" bestFit="1" customWidth="1"/>
    <col min="9305" max="9547" width="58.28515625" style="13"/>
    <col min="9548" max="9548" width="9" style="13" customWidth="1"/>
    <col min="9549" max="9549" width="60.28515625" style="13" customWidth="1"/>
    <col min="9550" max="9550" width="15.7109375" style="13" bestFit="1" customWidth="1"/>
    <col min="9551" max="9551" width="14.140625" style="13" bestFit="1" customWidth="1"/>
    <col min="9552" max="9552" width="14.140625" style="13" customWidth="1"/>
    <col min="9553" max="9553" width="14.140625" style="13" bestFit="1" customWidth="1"/>
    <col min="9554" max="9555" width="13.140625" style="13" bestFit="1" customWidth="1"/>
    <col min="9556" max="9556" width="14" style="13" customWidth="1"/>
    <col min="9557" max="9557" width="13.140625" style="13" customWidth="1"/>
    <col min="9558" max="9558" width="16.42578125" style="13" customWidth="1"/>
    <col min="9559" max="9559" width="18.5703125" style="13" customWidth="1"/>
    <col min="9560" max="9560" width="8.140625" style="13" bestFit="1" customWidth="1"/>
    <col min="9561" max="9803" width="58.28515625" style="13"/>
    <col min="9804" max="9804" width="9" style="13" customWidth="1"/>
    <col min="9805" max="9805" width="60.28515625" style="13" customWidth="1"/>
    <col min="9806" max="9806" width="15.7109375" style="13" bestFit="1" customWidth="1"/>
    <col min="9807" max="9807" width="14.140625" style="13" bestFit="1" customWidth="1"/>
    <col min="9808" max="9808" width="14.140625" style="13" customWidth="1"/>
    <col min="9809" max="9809" width="14.140625" style="13" bestFit="1" customWidth="1"/>
    <col min="9810" max="9811" width="13.140625" style="13" bestFit="1" customWidth="1"/>
    <col min="9812" max="9812" width="14" style="13" customWidth="1"/>
    <col min="9813" max="9813" width="13.140625" style="13" customWidth="1"/>
    <col min="9814" max="9814" width="16.42578125" style="13" customWidth="1"/>
    <col min="9815" max="9815" width="18.5703125" style="13" customWidth="1"/>
    <col min="9816" max="9816" width="8.140625" style="13" bestFit="1" customWidth="1"/>
    <col min="9817" max="10059" width="58.28515625" style="13"/>
    <col min="10060" max="10060" width="9" style="13" customWidth="1"/>
    <col min="10061" max="10061" width="60.28515625" style="13" customWidth="1"/>
    <col min="10062" max="10062" width="15.7109375" style="13" bestFit="1" customWidth="1"/>
    <col min="10063" max="10063" width="14.140625" style="13" bestFit="1" customWidth="1"/>
    <col min="10064" max="10064" width="14.140625" style="13" customWidth="1"/>
    <col min="10065" max="10065" width="14.140625" style="13" bestFit="1" customWidth="1"/>
    <col min="10066" max="10067" width="13.140625" style="13" bestFit="1" customWidth="1"/>
    <col min="10068" max="10068" width="14" style="13" customWidth="1"/>
    <col min="10069" max="10069" width="13.140625" style="13" customWidth="1"/>
    <col min="10070" max="10070" width="16.42578125" style="13" customWidth="1"/>
    <col min="10071" max="10071" width="18.5703125" style="13" customWidth="1"/>
    <col min="10072" max="10072" width="8.140625" style="13" bestFit="1" customWidth="1"/>
    <col min="10073" max="10315" width="58.28515625" style="13"/>
    <col min="10316" max="10316" width="9" style="13" customWidth="1"/>
    <col min="10317" max="10317" width="60.28515625" style="13" customWidth="1"/>
    <col min="10318" max="10318" width="15.7109375" style="13" bestFit="1" customWidth="1"/>
    <col min="10319" max="10319" width="14.140625" style="13" bestFit="1" customWidth="1"/>
    <col min="10320" max="10320" width="14.140625" style="13" customWidth="1"/>
    <col min="10321" max="10321" width="14.140625" style="13" bestFit="1" customWidth="1"/>
    <col min="10322" max="10323" width="13.140625" style="13" bestFit="1" customWidth="1"/>
    <col min="10324" max="10324" width="14" style="13" customWidth="1"/>
    <col min="10325" max="10325" width="13.140625" style="13" customWidth="1"/>
    <col min="10326" max="10326" width="16.42578125" style="13" customWidth="1"/>
    <col min="10327" max="10327" width="18.5703125" style="13" customWidth="1"/>
    <col min="10328" max="10328" width="8.140625" style="13" bestFit="1" customWidth="1"/>
    <col min="10329" max="10571" width="58.28515625" style="13"/>
    <col min="10572" max="10572" width="9" style="13" customWidth="1"/>
    <col min="10573" max="10573" width="60.28515625" style="13" customWidth="1"/>
    <col min="10574" max="10574" width="15.7109375" style="13" bestFit="1" customWidth="1"/>
    <col min="10575" max="10575" width="14.140625" style="13" bestFit="1" customWidth="1"/>
    <col min="10576" max="10576" width="14.140625" style="13" customWidth="1"/>
    <col min="10577" max="10577" width="14.140625" style="13" bestFit="1" customWidth="1"/>
    <col min="10578" max="10579" width="13.140625" style="13" bestFit="1" customWidth="1"/>
    <col min="10580" max="10580" width="14" style="13" customWidth="1"/>
    <col min="10581" max="10581" width="13.140625" style="13" customWidth="1"/>
    <col min="10582" max="10582" width="16.42578125" style="13" customWidth="1"/>
    <col min="10583" max="10583" width="18.5703125" style="13" customWidth="1"/>
    <col min="10584" max="10584" width="8.140625" style="13" bestFit="1" customWidth="1"/>
    <col min="10585" max="10827" width="58.28515625" style="13"/>
    <col min="10828" max="10828" width="9" style="13" customWidth="1"/>
    <col min="10829" max="10829" width="60.28515625" style="13" customWidth="1"/>
    <col min="10830" max="10830" width="15.7109375" style="13" bestFit="1" customWidth="1"/>
    <col min="10831" max="10831" width="14.140625" style="13" bestFit="1" customWidth="1"/>
    <col min="10832" max="10832" width="14.140625" style="13" customWidth="1"/>
    <col min="10833" max="10833" width="14.140625" style="13" bestFit="1" customWidth="1"/>
    <col min="10834" max="10835" width="13.140625" style="13" bestFit="1" customWidth="1"/>
    <col min="10836" max="10836" width="14" style="13" customWidth="1"/>
    <col min="10837" max="10837" width="13.140625" style="13" customWidth="1"/>
    <col min="10838" max="10838" width="16.42578125" style="13" customWidth="1"/>
    <col min="10839" max="10839" width="18.5703125" style="13" customWidth="1"/>
    <col min="10840" max="10840" width="8.140625" style="13" bestFit="1" customWidth="1"/>
    <col min="10841" max="11083" width="58.28515625" style="13"/>
    <col min="11084" max="11084" width="9" style="13" customWidth="1"/>
    <col min="11085" max="11085" width="60.28515625" style="13" customWidth="1"/>
    <col min="11086" max="11086" width="15.7109375" style="13" bestFit="1" customWidth="1"/>
    <col min="11087" max="11087" width="14.140625" style="13" bestFit="1" customWidth="1"/>
    <col min="11088" max="11088" width="14.140625" style="13" customWidth="1"/>
    <col min="11089" max="11089" width="14.140625" style="13" bestFit="1" customWidth="1"/>
    <col min="11090" max="11091" width="13.140625" style="13" bestFit="1" customWidth="1"/>
    <col min="11092" max="11092" width="14" style="13" customWidth="1"/>
    <col min="11093" max="11093" width="13.140625" style="13" customWidth="1"/>
    <col min="11094" max="11094" width="16.42578125" style="13" customWidth="1"/>
    <col min="11095" max="11095" width="18.5703125" style="13" customWidth="1"/>
    <col min="11096" max="11096" width="8.140625" style="13" bestFit="1" customWidth="1"/>
    <col min="11097" max="11339" width="58.28515625" style="13"/>
    <col min="11340" max="11340" width="9" style="13" customWidth="1"/>
    <col min="11341" max="11341" width="60.28515625" style="13" customWidth="1"/>
    <col min="11342" max="11342" width="15.7109375" style="13" bestFit="1" customWidth="1"/>
    <col min="11343" max="11343" width="14.140625" style="13" bestFit="1" customWidth="1"/>
    <col min="11344" max="11344" width="14.140625" style="13" customWidth="1"/>
    <col min="11345" max="11345" width="14.140625" style="13" bestFit="1" customWidth="1"/>
    <col min="11346" max="11347" width="13.140625" style="13" bestFit="1" customWidth="1"/>
    <col min="11348" max="11348" width="14" style="13" customWidth="1"/>
    <col min="11349" max="11349" width="13.140625" style="13" customWidth="1"/>
    <col min="11350" max="11350" width="16.42578125" style="13" customWidth="1"/>
    <col min="11351" max="11351" width="18.5703125" style="13" customWidth="1"/>
    <col min="11352" max="11352" width="8.140625" style="13" bestFit="1" customWidth="1"/>
    <col min="11353" max="11595" width="58.28515625" style="13"/>
    <col min="11596" max="11596" width="9" style="13" customWidth="1"/>
    <col min="11597" max="11597" width="60.28515625" style="13" customWidth="1"/>
    <col min="11598" max="11598" width="15.7109375" style="13" bestFit="1" customWidth="1"/>
    <col min="11599" max="11599" width="14.140625" style="13" bestFit="1" customWidth="1"/>
    <col min="11600" max="11600" width="14.140625" style="13" customWidth="1"/>
    <col min="11601" max="11601" width="14.140625" style="13" bestFit="1" customWidth="1"/>
    <col min="11602" max="11603" width="13.140625" style="13" bestFit="1" customWidth="1"/>
    <col min="11604" max="11604" width="14" style="13" customWidth="1"/>
    <col min="11605" max="11605" width="13.140625" style="13" customWidth="1"/>
    <col min="11606" max="11606" width="16.42578125" style="13" customWidth="1"/>
    <col min="11607" max="11607" width="18.5703125" style="13" customWidth="1"/>
    <col min="11608" max="11608" width="8.140625" style="13" bestFit="1" customWidth="1"/>
    <col min="11609" max="11851" width="58.28515625" style="13"/>
    <col min="11852" max="11852" width="9" style="13" customWidth="1"/>
    <col min="11853" max="11853" width="60.28515625" style="13" customWidth="1"/>
    <col min="11854" max="11854" width="15.7109375" style="13" bestFit="1" customWidth="1"/>
    <col min="11855" max="11855" width="14.140625" style="13" bestFit="1" customWidth="1"/>
    <col min="11856" max="11856" width="14.140625" style="13" customWidth="1"/>
    <col min="11857" max="11857" width="14.140625" style="13" bestFit="1" customWidth="1"/>
    <col min="11858" max="11859" width="13.140625" style="13" bestFit="1" customWidth="1"/>
    <col min="11860" max="11860" width="14" style="13" customWidth="1"/>
    <col min="11861" max="11861" width="13.140625" style="13" customWidth="1"/>
    <col min="11862" max="11862" width="16.42578125" style="13" customWidth="1"/>
    <col min="11863" max="11863" width="18.5703125" style="13" customWidth="1"/>
    <col min="11864" max="11864" width="8.140625" style="13" bestFit="1" customWidth="1"/>
    <col min="11865" max="12107" width="58.28515625" style="13"/>
    <col min="12108" max="12108" width="9" style="13" customWidth="1"/>
    <col min="12109" max="12109" width="60.28515625" style="13" customWidth="1"/>
    <col min="12110" max="12110" width="15.7109375" style="13" bestFit="1" customWidth="1"/>
    <col min="12111" max="12111" width="14.140625" style="13" bestFit="1" customWidth="1"/>
    <col min="12112" max="12112" width="14.140625" style="13" customWidth="1"/>
    <col min="12113" max="12113" width="14.140625" style="13" bestFit="1" customWidth="1"/>
    <col min="12114" max="12115" width="13.140625" style="13" bestFit="1" customWidth="1"/>
    <col min="12116" max="12116" width="14" style="13" customWidth="1"/>
    <col min="12117" max="12117" width="13.140625" style="13" customWidth="1"/>
    <col min="12118" max="12118" width="16.42578125" style="13" customWidth="1"/>
    <col min="12119" max="12119" width="18.5703125" style="13" customWidth="1"/>
    <col min="12120" max="12120" width="8.140625" style="13" bestFit="1" customWidth="1"/>
    <col min="12121" max="12363" width="58.28515625" style="13"/>
    <col min="12364" max="12364" width="9" style="13" customWidth="1"/>
    <col min="12365" max="12365" width="60.28515625" style="13" customWidth="1"/>
    <col min="12366" max="12366" width="15.7109375" style="13" bestFit="1" customWidth="1"/>
    <col min="12367" max="12367" width="14.140625" style="13" bestFit="1" customWidth="1"/>
    <col min="12368" max="12368" width="14.140625" style="13" customWidth="1"/>
    <col min="12369" max="12369" width="14.140625" style="13" bestFit="1" customWidth="1"/>
    <col min="12370" max="12371" width="13.140625" style="13" bestFit="1" customWidth="1"/>
    <col min="12372" max="12372" width="14" style="13" customWidth="1"/>
    <col min="12373" max="12373" width="13.140625" style="13" customWidth="1"/>
    <col min="12374" max="12374" width="16.42578125" style="13" customWidth="1"/>
    <col min="12375" max="12375" width="18.5703125" style="13" customWidth="1"/>
    <col min="12376" max="12376" width="8.140625" style="13" bestFit="1" customWidth="1"/>
    <col min="12377" max="12619" width="58.28515625" style="13"/>
    <col min="12620" max="12620" width="9" style="13" customWidth="1"/>
    <col min="12621" max="12621" width="60.28515625" style="13" customWidth="1"/>
    <col min="12622" max="12622" width="15.7109375" style="13" bestFit="1" customWidth="1"/>
    <col min="12623" max="12623" width="14.140625" style="13" bestFit="1" customWidth="1"/>
    <col min="12624" max="12624" width="14.140625" style="13" customWidth="1"/>
    <col min="12625" max="12625" width="14.140625" style="13" bestFit="1" customWidth="1"/>
    <col min="12626" max="12627" width="13.140625" style="13" bestFit="1" customWidth="1"/>
    <col min="12628" max="12628" width="14" style="13" customWidth="1"/>
    <col min="12629" max="12629" width="13.140625" style="13" customWidth="1"/>
    <col min="12630" max="12630" width="16.42578125" style="13" customWidth="1"/>
    <col min="12631" max="12631" width="18.5703125" style="13" customWidth="1"/>
    <col min="12632" max="12632" width="8.140625" style="13" bestFit="1" customWidth="1"/>
    <col min="12633" max="12875" width="58.28515625" style="13"/>
    <col min="12876" max="12876" width="9" style="13" customWidth="1"/>
    <col min="12877" max="12877" width="60.28515625" style="13" customWidth="1"/>
    <col min="12878" max="12878" width="15.7109375" style="13" bestFit="1" customWidth="1"/>
    <col min="12879" max="12879" width="14.140625" style="13" bestFit="1" customWidth="1"/>
    <col min="12880" max="12880" width="14.140625" style="13" customWidth="1"/>
    <col min="12881" max="12881" width="14.140625" style="13" bestFit="1" customWidth="1"/>
    <col min="12882" max="12883" width="13.140625" style="13" bestFit="1" customWidth="1"/>
    <col min="12884" max="12884" width="14" style="13" customWidth="1"/>
    <col min="12885" max="12885" width="13.140625" style="13" customWidth="1"/>
    <col min="12886" max="12886" width="16.42578125" style="13" customWidth="1"/>
    <col min="12887" max="12887" width="18.5703125" style="13" customWidth="1"/>
    <col min="12888" max="12888" width="8.140625" style="13" bestFit="1" customWidth="1"/>
    <col min="12889" max="13131" width="58.28515625" style="13"/>
    <col min="13132" max="13132" width="9" style="13" customWidth="1"/>
    <col min="13133" max="13133" width="60.28515625" style="13" customWidth="1"/>
    <col min="13134" max="13134" width="15.7109375" style="13" bestFit="1" customWidth="1"/>
    <col min="13135" max="13135" width="14.140625" style="13" bestFit="1" customWidth="1"/>
    <col min="13136" max="13136" width="14.140625" style="13" customWidth="1"/>
    <col min="13137" max="13137" width="14.140625" style="13" bestFit="1" customWidth="1"/>
    <col min="13138" max="13139" width="13.140625" style="13" bestFit="1" customWidth="1"/>
    <col min="13140" max="13140" width="14" style="13" customWidth="1"/>
    <col min="13141" max="13141" width="13.140625" style="13" customWidth="1"/>
    <col min="13142" max="13142" width="16.42578125" style="13" customWidth="1"/>
    <col min="13143" max="13143" width="18.5703125" style="13" customWidth="1"/>
    <col min="13144" max="13144" width="8.140625" style="13" bestFit="1" customWidth="1"/>
    <col min="13145" max="13387" width="58.28515625" style="13"/>
    <col min="13388" max="13388" width="9" style="13" customWidth="1"/>
    <col min="13389" max="13389" width="60.28515625" style="13" customWidth="1"/>
    <col min="13390" max="13390" width="15.7109375" style="13" bestFit="1" customWidth="1"/>
    <col min="13391" max="13391" width="14.140625" style="13" bestFit="1" customWidth="1"/>
    <col min="13392" max="13392" width="14.140625" style="13" customWidth="1"/>
    <col min="13393" max="13393" width="14.140625" style="13" bestFit="1" customWidth="1"/>
    <col min="13394" max="13395" width="13.140625" style="13" bestFit="1" customWidth="1"/>
    <col min="13396" max="13396" width="14" style="13" customWidth="1"/>
    <col min="13397" max="13397" width="13.140625" style="13" customWidth="1"/>
    <col min="13398" max="13398" width="16.42578125" style="13" customWidth="1"/>
    <col min="13399" max="13399" width="18.5703125" style="13" customWidth="1"/>
    <col min="13400" max="13400" width="8.140625" style="13" bestFit="1" customWidth="1"/>
    <col min="13401" max="13643" width="58.28515625" style="13"/>
    <col min="13644" max="13644" width="9" style="13" customWidth="1"/>
    <col min="13645" max="13645" width="60.28515625" style="13" customWidth="1"/>
    <col min="13646" max="13646" width="15.7109375" style="13" bestFit="1" customWidth="1"/>
    <col min="13647" max="13647" width="14.140625" style="13" bestFit="1" customWidth="1"/>
    <col min="13648" max="13648" width="14.140625" style="13" customWidth="1"/>
    <col min="13649" max="13649" width="14.140625" style="13" bestFit="1" customWidth="1"/>
    <col min="13650" max="13651" width="13.140625" style="13" bestFit="1" customWidth="1"/>
    <col min="13652" max="13652" width="14" style="13" customWidth="1"/>
    <col min="13653" max="13653" width="13.140625" style="13" customWidth="1"/>
    <col min="13654" max="13654" width="16.42578125" style="13" customWidth="1"/>
    <col min="13655" max="13655" width="18.5703125" style="13" customWidth="1"/>
    <col min="13656" max="13656" width="8.140625" style="13" bestFit="1" customWidth="1"/>
    <col min="13657" max="13899" width="58.28515625" style="13"/>
    <col min="13900" max="13900" width="9" style="13" customWidth="1"/>
    <col min="13901" max="13901" width="60.28515625" style="13" customWidth="1"/>
    <col min="13902" max="13902" width="15.7109375" style="13" bestFit="1" customWidth="1"/>
    <col min="13903" max="13903" width="14.140625" style="13" bestFit="1" customWidth="1"/>
    <col min="13904" max="13904" width="14.140625" style="13" customWidth="1"/>
    <col min="13905" max="13905" width="14.140625" style="13" bestFit="1" customWidth="1"/>
    <col min="13906" max="13907" width="13.140625" style="13" bestFit="1" customWidth="1"/>
    <col min="13908" max="13908" width="14" style="13" customWidth="1"/>
    <col min="13909" max="13909" width="13.140625" style="13" customWidth="1"/>
    <col min="13910" max="13910" width="16.42578125" style="13" customWidth="1"/>
    <col min="13911" max="13911" width="18.5703125" style="13" customWidth="1"/>
    <col min="13912" max="13912" width="8.140625" style="13" bestFit="1" customWidth="1"/>
    <col min="13913" max="14155" width="58.28515625" style="13"/>
    <col min="14156" max="14156" width="9" style="13" customWidth="1"/>
    <col min="14157" max="14157" width="60.28515625" style="13" customWidth="1"/>
    <col min="14158" max="14158" width="15.7109375" style="13" bestFit="1" customWidth="1"/>
    <col min="14159" max="14159" width="14.140625" style="13" bestFit="1" customWidth="1"/>
    <col min="14160" max="14160" width="14.140625" style="13" customWidth="1"/>
    <col min="14161" max="14161" width="14.140625" style="13" bestFit="1" customWidth="1"/>
    <col min="14162" max="14163" width="13.140625" style="13" bestFit="1" customWidth="1"/>
    <col min="14164" max="14164" width="14" style="13" customWidth="1"/>
    <col min="14165" max="14165" width="13.140625" style="13" customWidth="1"/>
    <col min="14166" max="14166" width="16.42578125" style="13" customWidth="1"/>
    <col min="14167" max="14167" width="18.5703125" style="13" customWidth="1"/>
    <col min="14168" max="14168" width="8.140625" style="13" bestFit="1" customWidth="1"/>
    <col min="14169" max="14411" width="58.28515625" style="13"/>
    <col min="14412" max="14412" width="9" style="13" customWidth="1"/>
    <col min="14413" max="14413" width="60.28515625" style="13" customWidth="1"/>
    <col min="14414" max="14414" width="15.7109375" style="13" bestFit="1" customWidth="1"/>
    <col min="14415" max="14415" width="14.140625" style="13" bestFit="1" customWidth="1"/>
    <col min="14416" max="14416" width="14.140625" style="13" customWidth="1"/>
    <col min="14417" max="14417" width="14.140625" style="13" bestFit="1" customWidth="1"/>
    <col min="14418" max="14419" width="13.140625" style="13" bestFit="1" customWidth="1"/>
    <col min="14420" max="14420" width="14" style="13" customWidth="1"/>
    <col min="14421" max="14421" width="13.140625" style="13" customWidth="1"/>
    <col min="14422" max="14422" width="16.42578125" style="13" customWidth="1"/>
    <col min="14423" max="14423" width="18.5703125" style="13" customWidth="1"/>
    <col min="14424" max="14424" width="8.140625" style="13" bestFit="1" customWidth="1"/>
    <col min="14425" max="14667" width="58.28515625" style="13"/>
    <col min="14668" max="14668" width="9" style="13" customWidth="1"/>
    <col min="14669" max="14669" width="60.28515625" style="13" customWidth="1"/>
    <col min="14670" max="14670" width="15.7109375" style="13" bestFit="1" customWidth="1"/>
    <col min="14671" max="14671" width="14.140625" style="13" bestFit="1" customWidth="1"/>
    <col min="14672" max="14672" width="14.140625" style="13" customWidth="1"/>
    <col min="14673" max="14673" width="14.140625" style="13" bestFit="1" customWidth="1"/>
    <col min="14674" max="14675" width="13.140625" style="13" bestFit="1" customWidth="1"/>
    <col min="14676" max="14676" width="14" style="13" customWidth="1"/>
    <col min="14677" max="14677" width="13.140625" style="13" customWidth="1"/>
    <col min="14678" max="14678" width="16.42578125" style="13" customWidth="1"/>
    <col min="14679" max="14679" width="18.5703125" style="13" customWidth="1"/>
    <col min="14680" max="14680" width="8.140625" style="13" bestFit="1" customWidth="1"/>
    <col min="14681" max="14923" width="58.28515625" style="13"/>
    <col min="14924" max="14924" width="9" style="13" customWidth="1"/>
    <col min="14925" max="14925" width="60.28515625" style="13" customWidth="1"/>
    <col min="14926" max="14926" width="15.7109375" style="13" bestFit="1" customWidth="1"/>
    <col min="14927" max="14927" width="14.140625" style="13" bestFit="1" customWidth="1"/>
    <col min="14928" max="14928" width="14.140625" style="13" customWidth="1"/>
    <col min="14929" max="14929" width="14.140625" style="13" bestFit="1" customWidth="1"/>
    <col min="14930" max="14931" width="13.140625" style="13" bestFit="1" customWidth="1"/>
    <col min="14932" max="14932" width="14" style="13" customWidth="1"/>
    <col min="14933" max="14933" width="13.140625" style="13" customWidth="1"/>
    <col min="14934" max="14934" width="16.42578125" style="13" customWidth="1"/>
    <col min="14935" max="14935" width="18.5703125" style="13" customWidth="1"/>
    <col min="14936" max="14936" width="8.140625" style="13" bestFit="1" customWidth="1"/>
    <col min="14937" max="15179" width="58.28515625" style="13"/>
    <col min="15180" max="15180" width="9" style="13" customWidth="1"/>
    <col min="15181" max="15181" width="60.28515625" style="13" customWidth="1"/>
    <col min="15182" max="15182" width="15.7109375" style="13" bestFit="1" customWidth="1"/>
    <col min="15183" max="15183" width="14.140625" style="13" bestFit="1" customWidth="1"/>
    <col min="15184" max="15184" width="14.140625" style="13" customWidth="1"/>
    <col min="15185" max="15185" width="14.140625" style="13" bestFit="1" customWidth="1"/>
    <col min="15186" max="15187" width="13.140625" style="13" bestFit="1" customWidth="1"/>
    <col min="15188" max="15188" width="14" style="13" customWidth="1"/>
    <col min="15189" max="15189" width="13.140625" style="13" customWidth="1"/>
    <col min="15190" max="15190" width="16.42578125" style="13" customWidth="1"/>
    <col min="15191" max="15191" width="18.5703125" style="13" customWidth="1"/>
    <col min="15192" max="15192" width="8.140625" style="13" bestFit="1" customWidth="1"/>
    <col min="15193" max="15435" width="58.28515625" style="13"/>
    <col min="15436" max="15436" width="9" style="13" customWidth="1"/>
    <col min="15437" max="15437" width="60.28515625" style="13" customWidth="1"/>
    <col min="15438" max="15438" width="15.7109375" style="13" bestFit="1" customWidth="1"/>
    <col min="15439" max="15439" width="14.140625" style="13" bestFit="1" customWidth="1"/>
    <col min="15440" max="15440" width="14.140625" style="13" customWidth="1"/>
    <col min="15441" max="15441" width="14.140625" style="13" bestFit="1" customWidth="1"/>
    <col min="15442" max="15443" width="13.140625" style="13" bestFit="1" customWidth="1"/>
    <col min="15444" max="15444" width="14" style="13" customWidth="1"/>
    <col min="15445" max="15445" width="13.140625" style="13" customWidth="1"/>
    <col min="15446" max="15446" width="16.42578125" style="13" customWidth="1"/>
    <col min="15447" max="15447" width="18.5703125" style="13" customWidth="1"/>
    <col min="15448" max="15448" width="8.140625" style="13" bestFit="1" customWidth="1"/>
    <col min="15449" max="15691" width="58.28515625" style="13"/>
    <col min="15692" max="15692" width="9" style="13" customWidth="1"/>
    <col min="15693" max="15693" width="60.28515625" style="13" customWidth="1"/>
    <col min="15694" max="15694" width="15.7109375" style="13" bestFit="1" customWidth="1"/>
    <col min="15695" max="15695" width="14.140625" style="13" bestFit="1" customWidth="1"/>
    <col min="15696" max="15696" width="14.140625" style="13" customWidth="1"/>
    <col min="15697" max="15697" width="14.140625" style="13" bestFit="1" customWidth="1"/>
    <col min="15698" max="15699" width="13.140625" style="13" bestFit="1" customWidth="1"/>
    <col min="15700" max="15700" width="14" style="13" customWidth="1"/>
    <col min="15701" max="15701" width="13.140625" style="13" customWidth="1"/>
    <col min="15702" max="15702" width="16.42578125" style="13" customWidth="1"/>
    <col min="15703" max="15703" width="18.5703125" style="13" customWidth="1"/>
    <col min="15704" max="15704" width="8.140625" style="13" bestFit="1" customWidth="1"/>
    <col min="15705" max="15947" width="58.28515625" style="13"/>
    <col min="15948" max="15948" width="9" style="13" customWidth="1"/>
    <col min="15949" max="15949" width="60.28515625" style="13" customWidth="1"/>
    <col min="15950" max="15950" width="15.7109375" style="13" bestFit="1" customWidth="1"/>
    <col min="15951" max="15951" width="14.140625" style="13" bestFit="1" customWidth="1"/>
    <col min="15952" max="15952" width="14.140625" style="13" customWidth="1"/>
    <col min="15953" max="15953" width="14.140625" style="13" bestFit="1" customWidth="1"/>
    <col min="15954" max="15955" width="13.140625" style="13" bestFit="1" customWidth="1"/>
    <col min="15956" max="15956" width="14" style="13" customWidth="1"/>
    <col min="15957" max="15957" width="13.140625" style="13" customWidth="1"/>
    <col min="15958" max="15958" width="16.42578125" style="13" customWidth="1"/>
    <col min="15959" max="15959" width="18.5703125" style="13" customWidth="1"/>
    <col min="15960" max="15960" width="8.140625" style="13" bestFit="1" customWidth="1"/>
    <col min="15961" max="16384" width="58.28515625" style="13"/>
  </cols>
  <sheetData>
    <row r="1" spans="1:11" x14ac:dyDescent="0.25">
      <c r="C1" s="69"/>
      <c r="D1" s="69"/>
      <c r="E1" s="69"/>
      <c r="F1" s="69"/>
      <c r="G1" s="70"/>
      <c r="H1" s="70"/>
      <c r="I1" s="70"/>
      <c r="J1" s="74" t="s">
        <v>64</v>
      </c>
      <c r="K1" s="74"/>
    </row>
    <row r="2" spans="1:11" x14ac:dyDescent="0.25">
      <c r="C2" s="69"/>
      <c r="D2" s="69"/>
      <c r="E2" s="69"/>
      <c r="F2" s="69"/>
      <c r="G2" s="70"/>
      <c r="H2" s="74" t="s">
        <v>59</v>
      </c>
      <c r="I2" s="74"/>
      <c r="J2" s="74"/>
      <c r="K2" s="74"/>
    </row>
    <row r="3" spans="1:11" x14ac:dyDescent="0.25">
      <c r="C3" s="69"/>
      <c r="D3" s="69"/>
      <c r="E3" s="69"/>
      <c r="F3" s="69"/>
      <c r="G3" s="74" t="s">
        <v>75</v>
      </c>
      <c r="H3" s="74"/>
      <c r="I3" s="74"/>
      <c r="J3" s="74"/>
      <c r="K3" s="74"/>
    </row>
    <row r="4" spans="1:11" x14ac:dyDescent="0.25">
      <c r="C4" s="69"/>
      <c r="D4" s="69"/>
      <c r="E4" s="69"/>
      <c r="F4" s="69"/>
      <c r="G4" s="70"/>
      <c r="H4" s="74" t="s">
        <v>74</v>
      </c>
      <c r="I4" s="74"/>
      <c r="J4" s="74"/>
      <c r="K4" s="74"/>
    </row>
    <row r="5" spans="1:11" x14ac:dyDescent="0.25">
      <c r="C5" s="69"/>
      <c r="D5" s="69"/>
      <c r="E5" s="69"/>
      <c r="F5" s="69"/>
      <c r="G5" s="70"/>
      <c r="H5" s="74" t="s">
        <v>65</v>
      </c>
      <c r="I5" s="74"/>
      <c r="J5" s="74"/>
      <c r="K5" s="74"/>
    </row>
    <row r="6" spans="1:11" x14ac:dyDescent="0.25">
      <c r="C6" s="69"/>
      <c r="D6" s="69"/>
      <c r="E6" s="69"/>
      <c r="F6" s="69"/>
      <c r="G6" s="71"/>
      <c r="H6" s="71"/>
      <c r="I6" s="71"/>
      <c r="J6" s="71"/>
      <c r="K6" s="71"/>
    </row>
    <row r="7" spans="1:11" ht="15" customHeight="1" x14ac:dyDescent="0.25">
      <c r="H7" s="14"/>
      <c r="I7" s="72" t="s">
        <v>64</v>
      </c>
      <c r="J7" s="72"/>
      <c r="K7" s="72"/>
    </row>
    <row r="8" spans="1:11" x14ac:dyDescent="0.25">
      <c r="H8" s="72" t="s">
        <v>59</v>
      </c>
      <c r="I8" s="72"/>
      <c r="J8" s="72"/>
      <c r="K8" s="72"/>
    </row>
    <row r="9" spans="1:11" x14ac:dyDescent="0.25">
      <c r="H9" s="14"/>
      <c r="I9" s="72" t="s">
        <v>65</v>
      </c>
      <c r="J9" s="72"/>
      <c r="K9" s="72"/>
    </row>
    <row r="11" spans="1:11" x14ac:dyDescent="0.25">
      <c r="A11" s="73" t="s">
        <v>66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16.5" thickBot="1" x14ac:dyDescent="0.3">
      <c r="B12" s="45"/>
      <c r="D12" s="14"/>
      <c r="E12" s="14"/>
      <c r="F12" s="14"/>
      <c r="G12" s="14"/>
      <c r="H12" s="14"/>
      <c r="I12" s="15"/>
      <c r="J12" s="14"/>
      <c r="K12" s="14" t="s">
        <v>0</v>
      </c>
    </row>
    <row r="13" spans="1:11" s="1" customFormat="1" ht="32.25" thickBot="1" x14ac:dyDescent="0.3">
      <c r="A13" s="7" t="s">
        <v>1</v>
      </c>
      <c r="B13" s="3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5" t="s">
        <v>11</v>
      </c>
    </row>
    <row r="14" spans="1:11" s="1" customFormat="1" ht="16.5" thickBot="1" x14ac:dyDescent="0.3">
      <c r="A14" s="33">
        <v>1000000</v>
      </c>
      <c r="B14" s="35" t="s">
        <v>12</v>
      </c>
      <c r="C14" s="49">
        <f t="shared" ref="C14:J14" si="0">SUM(C15+C26+C32+C41+C44)</f>
        <v>842766870</v>
      </c>
      <c r="D14" s="49">
        <f t="shared" si="0"/>
        <v>194399075</v>
      </c>
      <c r="E14" s="49">
        <f t="shared" si="0"/>
        <v>70238992</v>
      </c>
      <c r="F14" s="49">
        <f t="shared" si="0"/>
        <v>83672510</v>
      </c>
      <c r="G14" s="49">
        <f t="shared" si="0"/>
        <v>17445516</v>
      </c>
      <c r="H14" s="49">
        <f t="shared" si="0"/>
        <v>23955305</v>
      </c>
      <c r="I14" s="49">
        <f t="shared" si="0"/>
        <v>17315526</v>
      </c>
      <c r="J14" s="49">
        <f t="shared" si="0"/>
        <v>5006868</v>
      </c>
      <c r="K14" s="50">
        <f>SUM(C14:J14)</f>
        <v>1254800662</v>
      </c>
    </row>
    <row r="15" spans="1:11" s="1" customFormat="1" x14ac:dyDescent="0.25">
      <c r="A15" s="16">
        <v>1010000</v>
      </c>
      <c r="B15" s="34" t="s">
        <v>13</v>
      </c>
      <c r="C15" s="51">
        <f>SUM(C16+C17+C19+C20+C21+C22+C23+C24)</f>
        <v>509435992</v>
      </c>
      <c r="D15" s="51">
        <f t="shared" ref="D15:J15" si="1">SUM(D16+D17+D19+D20+D21+D22+D23+D24)</f>
        <v>190403175</v>
      </c>
      <c r="E15" s="51">
        <f t="shared" si="1"/>
        <v>52115195</v>
      </c>
      <c r="F15" s="51">
        <f t="shared" si="1"/>
        <v>61030873</v>
      </c>
      <c r="G15" s="51">
        <f t="shared" si="1"/>
        <v>7816390</v>
      </c>
      <c r="H15" s="51">
        <f t="shared" si="1"/>
        <v>17729895</v>
      </c>
      <c r="I15" s="51">
        <f t="shared" si="1"/>
        <v>7397292</v>
      </c>
      <c r="J15" s="51">
        <f t="shared" si="1"/>
        <v>3155573</v>
      </c>
      <c r="K15" s="52">
        <f t="shared" ref="K15:K78" si="2">SUM(C15:J15)</f>
        <v>849084385</v>
      </c>
    </row>
    <row r="16" spans="1:11" s="1" customFormat="1" x14ac:dyDescent="0.25">
      <c r="A16" s="8">
        <v>1010100</v>
      </c>
      <c r="B16" s="11" t="s">
        <v>14</v>
      </c>
      <c r="C16" s="53"/>
      <c r="D16" s="53"/>
      <c r="E16" s="53"/>
      <c r="F16" s="53"/>
      <c r="G16" s="53"/>
      <c r="H16" s="53"/>
      <c r="I16" s="53"/>
      <c r="J16" s="53"/>
      <c r="K16" s="54"/>
    </row>
    <row r="17" spans="1:11" s="1" customFormat="1" ht="31.5" x14ac:dyDescent="0.25">
      <c r="A17" s="8">
        <v>1010200</v>
      </c>
      <c r="B17" s="11" t="s">
        <v>15</v>
      </c>
      <c r="C17" s="53">
        <f>315862756+25359973</f>
        <v>341222729</v>
      </c>
      <c r="D17" s="53">
        <f>159952286+763338</f>
        <v>160715624</v>
      </c>
      <c r="E17" s="53">
        <v>22214202</v>
      </c>
      <c r="F17" s="53">
        <f>48492718+2683543-8857396</f>
        <v>42318865</v>
      </c>
      <c r="G17" s="53">
        <v>3843224</v>
      </c>
      <c r="H17" s="53">
        <v>6788394</v>
      </c>
      <c r="I17" s="53">
        <v>2284362</v>
      </c>
      <c r="J17" s="53">
        <v>1013528</v>
      </c>
      <c r="K17" s="54">
        <f t="shared" si="2"/>
        <v>580400928</v>
      </c>
    </row>
    <row r="18" spans="1:11" s="1" customFormat="1" ht="31.5" x14ac:dyDescent="0.25">
      <c r="A18" s="18">
        <v>1010290</v>
      </c>
      <c r="B18" s="19" t="s">
        <v>16</v>
      </c>
      <c r="C18" s="55">
        <v>141129385</v>
      </c>
      <c r="D18" s="55">
        <v>35509831</v>
      </c>
      <c r="E18" s="55">
        <v>22214202</v>
      </c>
      <c r="F18" s="55">
        <f>20782205-4383408</f>
        <v>16398797</v>
      </c>
      <c r="G18" s="55">
        <v>3843224</v>
      </c>
      <c r="H18" s="55">
        <v>6788394</v>
      </c>
      <c r="I18" s="55">
        <v>2284362</v>
      </c>
      <c r="J18" s="55">
        <v>1013528</v>
      </c>
      <c r="K18" s="56">
        <f t="shared" si="2"/>
        <v>229181723</v>
      </c>
    </row>
    <row r="19" spans="1:11" s="1" customFormat="1" x14ac:dyDescent="0.25">
      <c r="A19" s="8">
        <v>1010400</v>
      </c>
      <c r="B19" s="11" t="s">
        <v>17</v>
      </c>
      <c r="C19" s="53">
        <v>3020640</v>
      </c>
      <c r="D19" s="53"/>
      <c r="E19" s="53">
        <v>1689540</v>
      </c>
      <c r="F19" s="53">
        <v>732540</v>
      </c>
      <c r="G19" s="53">
        <v>595241</v>
      </c>
      <c r="H19" s="53">
        <v>236640</v>
      </c>
      <c r="I19" s="53">
        <v>156600</v>
      </c>
      <c r="J19" s="53">
        <v>372396</v>
      </c>
      <c r="K19" s="54">
        <f t="shared" si="2"/>
        <v>6803597</v>
      </c>
    </row>
    <row r="20" spans="1:11" s="1" customFormat="1" ht="47.25" x14ac:dyDescent="0.25">
      <c r="A20" s="8">
        <v>1010600</v>
      </c>
      <c r="B20" s="11" t="s">
        <v>18</v>
      </c>
      <c r="C20" s="53">
        <v>14487840</v>
      </c>
      <c r="D20" s="53">
        <v>371286</v>
      </c>
      <c r="E20" s="53"/>
      <c r="F20" s="53">
        <v>135881</v>
      </c>
      <c r="G20" s="53"/>
      <c r="H20" s="53"/>
      <c r="I20" s="53"/>
      <c r="J20" s="53"/>
      <c r="K20" s="54">
        <f t="shared" si="2"/>
        <v>14995007</v>
      </c>
    </row>
    <row r="21" spans="1:11" s="1" customFormat="1" ht="47.25" x14ac:dyDescent="0.25">
      <c r="A21" s="8">
        <v>1010601</v>
      </c>
      <c r="B21" s="11" t="s">
        <v>19</v>
      </c>
      <c r="C21" s="53">
        <v>13162441</v>
      </c>
      <c r="D21" s="53">
        <v>279862</v>
      </c>
      <c r="E21" s="53"/>
      <c r="F21" s="53">
        <v>1020439</v>
      </c>
      <c r="G21" s="53"/>
      <c r="H21" s="53"/>
      <c r="I21" s="53"/>
      <c r="J21" s="53"/>
      <c r="K21" s="54">
        <f t="shared" si="2"/>
        <v>14462742</v>
      </c>
    </row>
    <row r="22" spans="1:11" s="1" customFormat="1" x14ac:dyDescent="0.25">
      <c r="A22" s="8">
        <v>1010700</v>
      </c>
      <c r="B22" s="11" t="s">
        <v>20</v>
      </c>
      <c r="C22" s="53">
        <v>26734112</v>
      </c>
      <c r="D22" s="53">
        <v>13990229</v>
      </c>
      <c r="E22" s="53"/>
      <c r="F22" s="53"/>
      <c r="G22" s="53"/>
      <c r="H22" s="53"/>
      <c r="I22" s="53"/>
      <c r="J22" s="53"/>
      <c r="K22" s="54">
        <f t="shared" si="2"/>
        <v>40724341</v>
      </c>
    </row>
    <row r="23" spans="1:11" s="1" customFormat="1" ht="94.5" x14ac:dyDescent="0.25">
      <c r="A23" s="8">
        <v>1010800</v>
      </c>
      <c r="B23" s="46" t="s">
        <v>63</v>
      </c>
      <c r="C23" s="53">
        <f>36391692-12845481</f>
        <v>23546211</v>
      </c>
      <c r="D23" s="53">
        <f>2939324-1025719</f>
        <v>1913605</v>
      </c>
      <c r="E23" s="53">
        <f>8648630-3228207</f>
        <v>5420423</v>
      </c>
      <c r="F23" s="53">
        <f>8101624-2945517</f>
        <v>5156107</v>
      </c>
      <c r="G23" s="53">
        <f>2204967-880205</f>
        <v>1324762</v>
      </c>
      <c r="H23" s="53">
        <f>3628254-1444988</f>
        <v>2183266</v>
      </c>
      <c r="I23" s="53">
        <f>2181742-783654</f>
        <v>1398088</v>
      </c>
      <c r="J23" s="53">
        <f>1265891-471925</f>
        <v>793966</v>
      </c>
      <c r="K23" s="54">
        <f t="shared" ref="K23:K24" si="3">SUM(C23:J23)</f>
        <v>41736428</v>
      </c>
    </row>
    <row r="24" spans="1:11" s="44" customFormat="1" ht="31.5" x14ac:dyDescent="0.25">
      <c r="A24" s="47">
        <v>1010900</v>
      </c>
      <c r="B24" s="48" t="s">
        <v>67</v>
      </c>
      <c r="C24" s="57">
        <f>101527844-14265825</f>
        <v>87262019</v>
      </c>
      <c r="D24" s="57">
        <f>30365635-17233066</f>
        <v>13132569</v>
      </c>
      <c r="E24" s="57">
        <f>30472348-7681318</f>
        <v>22791030</v>
      </c>
      <c r="F24" s="57">
        <f>63871087-52204046</f>
        <v>11667041</v>
      </c>
      <c r="G24" s="57">
        <f>2373368-320205</f>
        <v>2053163</v>
      </c>
      <c r="H24" s="57">
        <f>9100416-578821</f>
        <v>8521595</v>
      </c>
      <c r="I24" s="57">
        <f>3672818-114576</f>
        <v>3558242</v>
      </c>
      <c r="J24" s="57">
        <f>1219407-243724</f>
        <v>975683</v>
      </c>
      <c r="K24" s="58">
        <f t="shared" si="3"/>
        <v>149961342</v>
      </c>
    </row>
    <row r="25" spans="1:11" s="1" customFormat="1" x14ac:dyDescent="0.25">
      <c r="A25" s="18"/>
      <c r="B25" s="11"/>
      <c r="C25" s="53"/>
      <c r="D25" s="53"/>
      <c r="E25" s="53"/>
      <c r="F25" s="53"/>
      <c r="G25" s="53"/>
      <c r="H25" s="53"/>
      <c r="I25" s="53"/>
      <c r="J25" s="53"/>
      <c r="K25" s="54"/>
    </row>
    <row r="26" spans="1:11" s="2" customFormat="1" ht="31.5" x14ac:dyDescent="0.25">
      <c r="A26" s="8">
        <v>1020000</v>
      </c>
      <c r="B26" s="11" t="s">
        <v>21</v>
      </c>
      <c r="C26" s="53">
        <f t="shared" ref="C26:J26" si="4">SUM(C27:C30)</f>
        <v>34598395</v>
      </c>
      <c r="D26" s="53">
        <f t="shared" si="4"/>
        <v>148765</v>
      </c>
      <c r="E26" s="53">
        <f t="shared" si="4"/>
        <v>10317079</v>
      </c>
      <c r="F26" s="53">
        <f t="shared" si="4"/>
        <v>385255</v>
      </c>
      <c r="G26" s="53">
        <f t="shared" si="4"/>
        <v>3750203</v>
      </c>
      <c r="H26" s="53">
        <f t="shared" si="4"/>
        <v>160419</v>
      </c>
      <c r="I26" s="53">
        <f t="shared" si="4"/>
        <v>18050</v>
      </c>
      <c r="J26" s="53">
        <f t="shared" si="4"/>
        <v>164613</v>
      </c>
      <c r="K26" s="54">
        <f t="shared" si="2"/>
        <v>49542779</v>
      </c>
    </row>
    <row r="27" spans="1:11" s="1" customFormat="1" x14ac:dyDescent="0.25">
      <c r="A27" s="8">
        <v>1020100</v>
      </c>
      <c r="B27" s="11" t="s">
        <v>22</v>
      </c>
      <c r="C27" s="53"/>
      <c r="D27" s="53"/>
      <c r="E27" s="53"/>
      <c r="F27" s="53"/>
      <c r="G27" s="53"/>
      <c r="H27" s="53"/>
      <c r="I27" s="53"/>
      <c r="J27" s="53"/>
      <c r="K27" s="54">
        <f t="shared" si="2"/>
        <v>0</v>
      </c>
    </row>
    <row r="28" spans="1:11" s="1" customFormat="1" ht="31.5" x14ac:dyDescent="0.25">
      <c r="A28" s="8">
        <v>1020200</v>
      </c>
      <c r="B28" s="11" t="s">
        <v>23</v>
      </c>
      <c r="C28" s="53">
        <v>32091225</v>
      </c>
      <c r="D28" s="53"/>
      <c r="E28" s="53">
        <v>10207422</v>
      </c>
      <c r="F28" s="53">
        <v>188395</v>
      </c>
      <c r="G28" s="53">
        <v>3635732</v>
      </c>
      <c r="H28" s="53">
        <v>26939</v>
      </c>
      <c r="I28" s="53"/>
      <c r="J28" s="53">
        <v>106613</v>
      </c>
      <c r="K28" s="54">
        <f t="shared" si="2"/>
        <v>46256326</v>
      </c>
    </row>
    <row r="29" spans="1:11" s="2" customFormat="1" ht="31.5" x14ac:dyDescent="0.25">
      <c r="A29" s="8">
        <v>1020400</v>
      </c>
      <c r="B29" s="17" t="s">
        <v>24</v>
      </c>
      <c r="C29" s="53">
        <v>685286</v>
      </c>
      <c r="D29" s="53"/>
      <c r="E29" s="53"/>
      <c r="F29" s="53"/>
      <c r="G29" s="53">
        <v>41391</v>
      </c>
      <c r="H29" s="53"/>
      <c r="I29" s="53"/>
      <c r="J29" s="53">
        <v>0</v>
      </c>
      <c r="K29" s="54">
        <f t="shared" si="2"/>
        <v>726677</v>
      </c>
    </row>
    <row r="30" spans="1:11" s="1" customFormat="1" x14ac:dyDescent="0.25">
      <c r="A30" s="8">
        <v>1020500</v>
      </c>
      <c r="B30" s="11" t="s">
        <v>25</v>
      </c>
      <c r="C30" s="53">
        <v>1821884</v>
      </c>
      <c r="D30" s="53">
        <v>148765</v>
      </c>
      <c r="E30" s="53">
        <v>109657</v>
      </c>
      <c r="F30" s="53">
        <v>196860</v>
      </c>
      <c r="G30" s="53">
        <v>73080</v>
      </c>
      <c r="H30" s="53">
        <v>133480</v>
      </c>
      <c r="I30" s="53">
        <v>18050</v>
      </c>
      <c r="J30" s="53">
        <v>58000</v>
      </c>
      <c r="K30" s="54">
        <f t="shared" si="2"/>
        <v>2559776</v>
      </c>
    </row>
    <row r="31" spans="1:11" s="1" customFormat="1" x14ac:dyDescent="0.25">
      <c r="A31" s="8"/>
      <c r="B31" s="11"/>
      <c r="C31" s="53"/>
      <c r="D31" s="53"/>
      <c r="E31" s="53"/>
      <c r="F31" s="53"/>
      <c r="G31" s="53"/>
      <c r="H31" s="53"/>
      <c r="I31" s="53"/>
      <c r="J31" s="53"/>
      <c r="K31" s="54"/>
    </row>
    <row r="32" spans="1:11" s="1" customFormat="1" ht="31.5" x14ac:dyDescent="0.25">
      <c r="A32" s="8">
        <v>1050000</v>
      </c>
      <c r="B32" s="11" t="s">
        <v>26</v>
      </c>
      <c r="C32" s="53">
        <f>12389318-961132</f>
        <v>11428186</v>
      </c>
      <c r="D32" s="53">
        <f>3993517-424454</f>
        <v>3569063</v>
      </c>
      <c r="E32" s="53">
        <f>2168053-226651</f>
        <v>1941402</v>
      </c>
      <c r="F32" s="53">
        <f>19538242-2062510</f>
        <v>17475732</v>
      </c>
      <c r="G32" s="53">
        <f>3011378-321947</f>
        <v>2689431</v>
      </c>
      <c r="H32" s="53">
        <f>3550524-359125</f>
        <v>3191399</v>
      </c>
      <c r="I32" s="53">
        <f>9294803-970706</f>
        <v>8324097</v>
      </c>
      <c r="J32" s="53">
        <f>729793-66807</f>
        <v>662986</v>
      </c>
      <c r="K32" s="54">
        <f t="shared" si="2"/>
        <v>49282296</v>
      </c>
    </row>
    <row r="33" spans="1:11" s="1" customFormat="1" x14ac:dyDescent="0.25">
      <c r="A33" s="8">
        <v>1050100</v>
      </c>
      <c r="B33" s="11" t="s">
        <v>27</v>
      </c>
      <c r="C33" s="53">
        <f>SUM(C34:C35)</f>
        <v>3167282</v>
      </c>
      <c r="D33" s="53">
        <f t="shared" ref="D33:J33" si="5">SUM(D34:D35)</f>
        <v>32020</v>
      </c>
      <c r="E33" s="53">
        <f t="shared" si="5"/>
        <v>0</v>
      </c>
      <c r="F33" s="53">
        <f t="shared" si="5"/>
        <v>0</v>
      </c>
      <c r="G33" s="53">
        <f t="shared" si="5"/>
        <v>0</v>
      </c>
      <c r="H33" s="53">
        <f t="shared" si="5"/>
        <v>0</v>
      </c>
      <c r="I33" s="53">
        <f t="shared" si="5"/>
        <v>0</v>
      </c>
      <c r="J33" s="53">
        <f t="shared" si="5"/>
        <v>0</v>
      </c>
      <c r="K33" s="54">
        <f t="shared" si="2"/>
        <v>3199302</v>
      </c>
    </row>
    <row r="34" spans="1:11" s="1" customFormat="1" ht="31.5" x14ac:dyDescent="0.25">
      <c r="A34" s="18">
        <v>1050101</v>
      </c>
      <c r="B34" s="19" t="s">
        <v>28</v>
      </c>
      <c r="C34" s="55">
        <v>117618</v>
      </c>
      <c r="D34" s="55"/>
      <c r="E34" s="55"/>
      <c r="F34" s="55"/>
      <c r="G34" s="55"/>
      <c r="H34" s="55"/>
      <c r="I34" s="55"/>
      <c r="J34" s="55"/>
      <c r="K34" s="56">
        <f t="shared" si="2"/>
        <v>117618</v>
      </c>
    </row>
    <row r="35" spans="1:11" s="1" customFormat="1" ht="31.5" x14ac:dyDescent="0.25">
      <c r="A35" s="18">
        <v>1050102</v>
      </c>
      <c r="B35" s="19" t="s">
        <v>29</v>
      </c>
      <c r="C35" s="55">
        <v>3049664</v>
      </c>
      <c r="D35" s="55">
        <v>32020</v>
      </c>
      <c r="E35" s="55"/>
      <c r="F35" s="55"/>
      <c r="G35" s="55"/>
      <c r="H35" s="55"/>
      <c r="I35" s="55"/>
      <c r="J35" s="55"/>
      <c r="K35" s="56">
        <f t="shared" si="2"/>
        <v>3081684</v>
      </c>
    </row>
    <row r="36" spans="1:11" s="1" customFormat="1" ht="47.25" x14ac:dyDescent="0.25">
      <c r="A36" s="8">
        <v>1050200</v>
      </c>
      <c r="B36" s="11" t="s">
        <v>30</v>
      </c>
      <c r="C36" s="53">
        <f>8965585-960598</f>
        <v>8004987</v>
      </c>
      <c r="D36" s="53">
        <f>3961497-424446</f>
        <v>3537051</v>
      </c>
      <c r="E36" s="53">
        <f>1807734-193686</f>
        <v>1614048</v>
      </c>
      <c r="F36" s="53">
        <f>526167-56375</f>
        <v>469792</v>
      </c>
      <c r="G36" s="53">
        <f>242710-26005</f>
        <v>216705</v>
      </c>
      <c r="H36" s="53">
        <f>760294-81460</f>
        <v>678834</v>
      </c>
      <c r="I36" s="53">
        <f>791121-84763</f>
        <v>706358</v>
      </c>
      <c r="J36" s="53">
        <f>434065-46507</f>
        <v>387558</v>
      </c>
      <c r="K36" s="54">
        <f t="shared" si="2"/>
        <v>15615333</v>
      </c>
    </row>
    <row r="37" spans="1:11" s="1" customFormat="1" ht="63" x14ac:dyDescent="0.25">
      <c r="A37" s="8">
        <v>1050400</v>
      </c>
      <c r="B37" s="11" t="s">
        <v>31</v>
      </c>
      <c r="C37" s="53"/>
      <c r="D37" s="53"/>
      <c r="E37" s="53">
        <f>230453-24691</f>
        <v>205762</v>
      </c>
      <c r="F37" s="53">
        <f>10447735-1119400</f>
        <v>9328335</v>
      </c>
      <c r="G37" s="53">
        <f>1843511-197519</f>
        <v>1645992</v>
      </c>
      <c r="H37" s="53">
        <f>1780192-190735</f>
        <v>1589457</v>
      </c>
      <c r="I37" s="53">
        <f>5328511-570912</f>
        <v>4757599</v>
      </c>
      <c r="J37" s="53">
        <f>136473-14622</f>
        <v>121851</v>
      </c>
      <c r="K37" s="54">
        <f t="shared" si="2"/>
        <v>17648996</v>
      </c>
    </row>
    <row r="38" spans="1:11" s="1" customFormat="1" ht="31.5" x14ac:dyDescent="0.25">
      <c r="A38" s="8">
        <v>1051100</v>
      </c>
      <c r="B38" s="11" t="s">
        <v>32</v>
      </c>
      <c r="C38" s="53">
        <v>251474</v>
      </c>
      <c r="D38" s="53"/>
      <c r="E38" s="53">
        <v>52646</v>
      </c>
      <c r="F38" s="53">
        <v>288145</v>
      </c>
      <c r="G38" s="53">
        <v>6543</v>
      </c>
      <c r="H38" s="53">
        <v>198686</v>
      </c>
      <c r="I38" s="53">
        <v>234886</v>
      </c>
      <c r="J38" s="53">
        <v>106256</v>
      </c>
      <c r="K38" s="54">
        <f t="shared" si="2"/>
        <v>1138636</v>
      </c>
    </row>
    <row r="39" spans="1:11" s="2" customFormat="1" ht="31.5" x14ac:dyDescent="0.25">
      <c r="A39" s="8">
        <v>1051200</v>
      </c>
      <c r="B39" s="11" t="s">
        <v>33</v>
      </c>
      <c r="C39" s="53">
        <f>390-42</f>
        <v>348</v>
      </c>
      <c r="D39" s="53"/>
      <c r="E39" s="53">
        <f>77220-8274</f>
        <v>68946</v>
      </c>
      <c r="F39" s="53">
        <f>8180527-876485</f>
        <v>7304042</v>
      </c>
      <c r="G39" s="53">
        <f>918615-98423</f>
        <v>820192</v>
      </c>
      <c r="H39" s="53">
        <f>799009-85608</f>
        <v>713401</v>
      </c>
      <c r="I39" s="53">
        <f>2935325-314499</f>
        <v>2620826</v>
      </c>
      <c r="J39" s="53">
        <f>52999-5678</f>
        <v>47321</v>
      </c>
      <c r="K39" s="54">
        <f t="shared" si="2"/>
        <v>11575076</v>
      </c>
    </row>
    <row r="40" spans="1:11" s="2" customFormat="1" x14ac:dyDescent="0.25">
      <c r="A40" s="18"/>
      <c r="B40" s="19"/>
      <c r="C40" s="55"/>
      <c r="D40" s="55"/>
      <c r="E40" s="55"/>
      <c r="F40" s="55"/>
      <c r="G40" s="55"/>
      <c r="H40" s="55"/>
      <c r="I40" s="55"/>
      <c r="J40" s="55"/>
      <c r="K40" s="56"/>
    </row>
    <row r="41" spans="1:11" s="1" customFormat="1" ht="31.5" x14ac:dyDescent="0.25">
      <c r="A41" s="8">
        <v>1060000</v>
      </c>
      <c r="B41" s="11" t="s">
        <v>34</v>
      </c>
      <c r="C41" s="53">
        <f>SUM(C42)</f>
        <v>275677299</v>
      </c>
      <c r="D41" s="53">
        <f t="shared" ref="D41:J41" si="6">SUM(D42)</f>
        <v>0</v>
      </c>
      <c r="E41" s="53">
        <f t="shared" si="6"/>
        <v>0</v>
      </c>
      <c r="F41" s="53">
        <f t="shared" si="6"/>
        <v>0</v>
      </c>
      <c r="G41" s="53">
        <f t="shared" si="6"/>
        <v>0</v>
      </c>
      <c r="H41" s="53">
        <f t="shared" si="6"/>
        <v>0</v>
      </c>
      <c r="I41" s="53">
        <f t="shared" si="6"/>
        <v>0</v>
      </c>
      <c r="J41" s="53">
        <f t="shared" si="6"/>
        <v>0</v>
      </c>
      <c r="K41" s="54">
        <f t="shared" si="2"/>
        <v>275677299</v>
      </c>
    </row>
    <row r="42" spans="1:11" s="1" customFormat="1" x14ac:dyDescent="0.25">
      <c r="A42" s="18">
        <v>1060400</v>
      </c>
      <c r="B42" s="19" t="s">
        <v>62</v>
      </c>
      <c r="C42" s="55">
        <f>472013547-5343295-178887273-9712496-2393184</f>
        <v>275677299</v>
      </c>
      <c r="D42" s="55"/>
      <c r="E42" s="55"/>
      <c r="F42" s="55"/>
      <c r="G42" s="55"/>
      <c r="H42" s="55"/>
      <c r="I42" s="55"/>
      <c r="J42" s="55"/>
      <c r="K42" s="56">
        <f t="shared" si="2"/>
        <v>275677299</v>
      </c>
    </row>
    <row r="43" spans="1:11" s="1" customFormat="1" x14ac:dyDescent="0.25">
      <c r="A43" s="8"/>
      <c r="B43" s="11"/>
      <c r="C43" s="55"/>
      <c r="D43" s="55"/>
      <c r="E43" s="55"/>
      <c r="F43" s="55"/>
      <c r="G43" s="55"/>
      <c r="H43" s="55"/>
      <c r="I43" s="55"/>
      <c r="J43" s="55"/>
      <c r="K43" s="54"/>
    </row>
    <row r="44" spans="1:11" s="1" customFormat="1" x14ac:dyDescent="0.25">
      <c r="A44" s="8">
        <v>1400000</v>
      </c>
      <c r="B44" s="11" t="s">
        <v>35</v>
      </c>
      <c r="C44" s="53">
        <f>C45</f>
        <v>11626998</v>
      </c>
      <c r="D44" s="53">
        <f t="shared" ref="D44:J44" si="7">D45</f>
        <v>278072</v>
      </c>
      <c r="E44" s="53">
        <f t="shared" si="7"/>
        <v>5865316</v>
      </c>
      <c r="F44" s="53">
        <f t="shared" si="7"/>
        <v>4780650</v>
      </c>
      <c r="G44" s="53">
        <f t="shared" si="7"/>
        <v>3189492</v>
      </c>
      <c r="H44" s="53">
        <f t="shared" si="7"/>
        <v>2873592</v>
      </c>
      <c r="I44" s="53">
        <f t="shared" si="7"/>
        <v>1576087</v>
      </c>
      <c r="J44" s="53">
        <f t="shared" si="7"/>
        <v>1023696</v>
      </c>
      <c r="K44" s="54">
        <f t="shared" si="2"/>
        <v>31213903</v>
      </c>
    </row>
    <row r="45" spans="1:11" s="1" customFormat="1" x14ac:dyDescent="0.25">
      <c r="A45" s="8">
        <v>1400100</v>
      </c>
      <c r="B45" s="11" t="s">
        <v>36</v>
      </c>
      <c r="C45" s="55">
        <v>11626998</v>
      </c>
      <c r="D45" s="55">
        <v>278072</v>
      </c>
      <c r="E45" s="55">
        <v>5865316</v>
      </c>
      <c r="F45" s="55">
        <v>4780650</v>
      </c>
      <c r="G45" s="55">
        <v>3189492</v>
      </c>
      <c r="H45" s="55">
        <v>2873592</v>
      </c>
      <c r="I45" s="55">
        <v>1576087</v>
      </c>
      <c r="J45" s="55">
        <v>1023696</v>
      </c>
      <c r="K45" s="56">
        <f t="shared" si="2"/>
        <v>31213903</v>
      </c>
    </row>
    <row r="46" spans="1:11" s="1" customFormat="1" ht="16.5" thickBot="1" x14ac:dyDescent="0.3">
      <c r="A46" s="31"/>
      <c r="B46" s="32"/>
      <c r="C46" s="59"/>
      <c r="D46" s="59"/>
      <c r="E46" s="59"/>
      <c r="F46" s="59"/>
      <c r="G46" s="59"/>
      <c r="H46" s="59"/>
      <c r="I46" s="59"/>
      <c r="J46" s="59"/>
      <c r="K46" s="60"/>
    </row>
    <row r="47" spans="1:11" s="1" customFormat="1" ht="16.5" thickBot="1" x14ac:dyDescent="0.3">
      <c r="A47" s="33">
        <v>2000000</v>
      </c>
      <c r="B47" s="30" t="s">
        <v>37</v>
      </c>
      <c r="C47" s="49">
        <f>SUM(C48+C57+C60+C62)</f>
        <v>72109756</v>
      </c>
      <c r="D47" s="49">
        <f t="shared" ref="D47:J47" si="8">SUM(D48+D57+D60+D62)</f>
        <v>184848</v>
      </c>
      <c r="E47" s="49">
        <f t="shared" si="8"/>
        <v>6936931</v>
      </c>
      <c r="F47" s="49">
        <f t="shared" si="8"/>
        <v>76536186</v>
      </c>
      <c r="G47" s="49">
        <f t="shared" si="8"/>
        <v>2418694</v>
      </c>
      <c r="H47" s="49">
        <f t="shared" si="8"/>
        <v>2803562</v>
      </c>
      <c r="I47" s="49">
        <f t="shared" si="8"/>
        <v>1057493</v>
      </c>
      <c r="J47" s="49">
        <f t="shared" si="8"/>
        <v>788120</v>
      </c>
      <c r="K47" s="50">
        <f t="shared" si="2"/>
        <v>162835590</v>
      </c>
    </row>
    <row r="48" spans="1:11" s="1" customFormat="1" ht="47.25" x14ac:dyDescent="0.25">
      <c r="A48" s="16">
        <v>2010000</v>
      </c>
      <c r="B48" s="29" t="s">
        <v>38</v>
      </c>
      <c r="C48" s="51">
        <f>38724402+18718904-11450000-18718904</f>
        <v>27274402</v>
      </c>
      <c r="D48" s="51">
        <v>32158</v>
      </c>
      <c r="E48" s="51">
        <f>807264+1200000</f>
        <v>2007264</v>
      </c>
      <c r="F48" s="51">
        <f>63827185+10250000</f>
        <v>74077185</v>
      </c>
      <c r="G48" s="51">
        <v>186496</v>
      </c>
      <c r="H48" s="51">
        <v>136060</v>
      </c>
      <c r="I48" s="51">
        <v>102649</v>
      </c>
      <c r="J48" s="51">
        <v>15436</v>
      </c>
      <c r="K48" s="52">
        <f t="shared" si="2"/>
        <v>103831650</v>
      </c>
    </row>
    <row r="49" spans="1:11" s="1" customFormat="1" ht="31.5" x14ac:dyDescent="0.25">
      <c r="A49" s="18">
        <v>2010200</v>
      </c>
      <c r="B49" s="68" t="s">
        <v>39</v>
      </c>
      <c r="C49" s="61">
        <v>1657241</v>
      </c>
      <c r="D49" s="61">
        <v>27175</v>
      </c>
      <c r="E49" s="61">
        <v>669698</v>
      </c>
      <c r="F49" s="61">
        <v>127009</v>
      </c>
      <c r="G49" s="61">
        <v>46325</v>
      </c>
      <c r="H49" s="61">
        <v>108168</v>
      </c>
      <c r="I49" s="61">
        <v>76669</v>
      </c>
      <c r="J49" s="61">
        <v>14624</v>
      </c>
      <c r="K49" s="56">
        <f t="shared" si="2"/>
        <v>2726909</v>
      </c>
    </row>
    <row r="50" spans="1:11" s="1" customFormat="1" ht="31.5" x14ac:dyDescent="0.25">
      <c r="A50" s="18">
        <v>2010300</v>
      </c>
      <c r="B50" s="19" t="s">
        <v>40</v>
      </c>
      <c r="C50" s="55">
        <f>20800000-11450000</f>
        <v>9350000</v>
      </c>
      <c r="D50" s="55"/>
      <c r="E50" s="55">
        <v>1200000</v>
      </c>
      <c r="F50" s="55">
        <f>63646520+10250000</f>
        <v>73896520</v>
      </c>
      <c r="G50" s="55"/>
      <c r="H50" s="55"/>
      <c r="I50" s="55"/>
      <c r="J50" s="55"/>
      <c r="K50" s="56">
        <f t="shared" si="2"/>
        <v>84446520</v>
      </c>
    </row>
    <row r="51" spans="1:11" s="1" customFormat="1" ht="31.5" x14ac:dyDescent="0.25">
      <c r="A51" s="18">
        <v>2010400</v>
      </c>
      <c r="B51" s="19" t="s">
        <v>41</v>
      </c>
      <c r="C51" s="55">
        <v>325000</v>
      </c>
      <c r="D51" s="55"/>
      <c r="E51" s="55"/>
      <c r="F51" s="55"/>
      <c r="G51" s="55"/>
      <c r="H51" s="55"/>
      <c r="I51" s="55"/>
      <c r="J51" s="55"/>
      <c r="K51" s="56">
        <f t="shared" si="2"/>
        <v>325000</v>
      </c>
    </row>
    <row r="52" spans="1:11" s="1" customFormat="1" ht="31.5" x14ac:dyDescent="0.25">
      <c r="A52" s="18">
        <v>2010500</v>
      </c>
      <c r="B52" s="19" t="s">
        <v>42</v>
      </c>
      <c r="C52" s="55">
        <v>302</v>
      </c>
      <c r="D52" s="55"/>
      <c r="E52" s="55">
        <v>1760</v>
      </c>
      <c r="F52" s="55"/>
      <c r="G52" s="55"/>
      <c r="H52" s="55"/>
      <c r="I52" s="55"/>
      <c r="J52" s="55"/>
      <c r="K52" s="56">
        <f t="shared" si="2"/>
        <v>2062</v>
      </c>
    </row>
    <row r="53" spans="1:11" s="1" customFormat="1" x14ac:dyDescent="0.25">
      <c r="A53" s="18">
        <v>2010600</v>
      </c>
      <c r="B53" s="19" t="s">
        <v>68</v>
      </c>
      <c r="C53" s="55">
        <f>18718904-18718904</f>
        <v>0</v>
      </c>
      <c r="D53" s="55"/>
      <c r="E53" s="55"/>
      <c r="F53" s="55"/>
      <c r="G53" s="55"/>
      <c r="H53" s="55"/>
      <c r="I53" s="55"/>
      <c r="J53" s="55"/>
      <c r="K53" s="56">
        <f t="shared" ref="K53" si="9">SUM(C53:J53)</f>
        <v>0</v>
      </c>
    </row>
    <row r="54" spans="1:11" s="1" customFormat="1" ht="31.5" x14ac:dyDescent="0.25">
      <c r="A54" s="18">
        <v>2010900</v>
      </c>
      <c r="B54" s="19" t="s">
        <v>43</v>
      </c>
      <c r="C54" s="55">
        <v>3801587</v>
      </c>
      <c r="D54" s="55">
        <v>4983</v>
      </c>
      <c r="E54" s="55">
        <v>23750</v>
      </c>
      <c r="F54" s="55">
        <v>22800</v>
      </c>
      <c r="G54" s="55">
        <v>11875</v>
      </c>
      <c r="H54" s="55">
        <v>27892</v>
      </c>
      <c r="I54" s="55">
        <v>25980</v>
      </c>
      <c r="J54" s="55"/>
      <c r="K54" s="56">
        <f t="shared" si="2"/>
        <v>3918867</v>
      </c>
    </row>
    <row r="55" spans="1:11" s="1" customFormat="1" ht="31.5" x14ac:dyDescent="0.25">
      <c r="A55" s="8">
        <v>2011000</v>
      </c>
      <c r="B55" s="11" t="s">
        <v>44</v>
      </c>
      <c r="C55" s="53">
        <v>10017709</v>
      </c>
      <c r="D55" s="53"/>
      <c r="E55" s="53"/>
      <c r="F55" s="53"/>
      <c r="G55" s="53"/>
      <c r="H55" s="55"/>
      <c r="I55" s="53"/>
      <c r="J55" s="53"/>
      <c r="K55" s="54">
        <f t="shared" si="2"/>
        <v>10017709</v>
      </c>
    </row>
    <row r="56" spans="1:11" s="1" customFormat="1" x14ac:dyDescent="0.25">
      <c r="A56" s="8"/>
      <c r="B56" s="11"/>
      <c r="C56" s="53"/>
      <c r="D56" s="53"/>
      <c r="E56" s="53"/>
      <c r="F56" s="53"/>
      <c r="G56" s="53"/>
      <c r="H56" s="53"/>
      <c r="I56" s="53"/>
      <c r="J56" s="53"/>
      <c r="K56" s="54"/>
    </row>
    <row r="57" spans="1:11" s="1" customFormat="1" ht="47.25" x14ac:dyDescent="0.25">
      <c r="A57" s="8">
        <v>2020000</v>
      </c>
      <c r="B57" s="11" t="s">
        <v>45</v>
      </c>
      <c r="C57" s="53">
        <f>33617930-483001</f>
        <v>33134929</v>
      </c>
      <c r="D57" s="53">
        <v>1854</v>
      </c>
      <c r="E57" s="53">
        <v>87895</v>
      </c>
      <c r="F57" s="53">
        <v>17893</v>
      </c>
      <c r="G57" s="53">
        <v>5000</v>
      </c>
      <c r="H57" s="53">
        <v>534380</v>
      </c>
      <c r="I57" s="53">
        <v>36829</v>
      </c>
      <c r="J57" s="53">
        <v>4731</v>
      </c>
      <c r="K57" s="54">
        <f t="shared" si="2"/>
        <v>33823511</v>
      </c>
    </row>
    <row r="58" spans="1:11" s="1" customFormat="1" ht="47.25" x14ac:dyDescent="0.25">
      <c r="A58" s="18">
        <v>2020100</v>
      </c>
      <c r="B58" s="19" t="s">
        <v>46</v>
      </c>
      <c r="C58" s="55">
        <f>17500000-483001</f>
        <v>17016999</v>
      </c>
      <c r="D58" s="55"/>
      <c r="E58" s="55"/>
      <c r="F58" s="55"/>
      <c r="G58" s="55"/>
      <c r="H58" s="55"/>
      <c r="I58" s="55"/>
      <c r="J58" s="55"/>
      <c r="K58" s="56">
        <f t="shared" si="2"/>
        <v>17016999</v>
      </c>
    </row>
    <row r="59" spans="1:11" s="1" customFormat="1" x14ac:dyDescent="0.25">
      <c r="A59" s="18"/>
      <c r="B59" s="19"/>
      <c r="C59" s="55"/>
      <c r="D59" s="55"/>
      <c r="E59" s="55"/>
      <c r="F59" s="55"/>
      <c r="G59" s="55"/>
      <c r="H59" s="55"/>
      <c r="I59" s="55"/>
      <c r="J59" s="55"/>
      <c r="K59" s="54"/>
    </row>
    <row r="60" spans="1:11" s="1" customFormat="1" x14ac:dyDescent="0.25">
      <c r="A60" s="10">
        <v>2060000</v>
      </c>
      <c r="B60" s="11" t="s">
        <v>47</v>
      </c>
      <c r="C60" s="53">
        <v>3328258</v>
      </c>
      <c r="D60" s="53">
        <v>110528</v>
      </c>
      <c r="E60" s="53">
        <v>1221904</v>
      </c>
      <c r="F60" s="53">
        <v>927520</v>
      </c>
      <c r="G60" s="53">
        <v>630762</v>
      </c>
      <c r="H60" s="53">
        <v>547500</v>
      </c>
      <c r="I60" s="53">
        <v>342651</v>
      </c>
      <c r="J60" s="53">
        <v>487649</v>
      </c>
      <c r="K60" s="54">
        <f t="shared" si="2"/>
        <v>7596772</v>
      </c>
    </row>
    <row r="61" spans="1:11" s="1" customFormat="1" x14ac:dyDescent="0.25">
      <c r="A61" s="20"/>
      <c r="B61" s="19"/>
      <c r="C61" s="55"/>
      <c r="D61" s="55"/>
      <c r="E61" s="55"/>
      <c r="F61" s="55"/>
      <c r="G61" s="55"/>
      <c r="H61" s="55"/>
      <c r="I61" s="55"/>
      <c r="J61" s="55"/>
      <c r="K61" s="54"/>
    </row>
    <row r="62" spans="1:11" s="1" customFormat="1" x14ac:dyDescent="0.25">
      <c r="A62" s="10">
        <v>2070000</v>
      </c>
      <c r="B62" s="11" t="s">
        <v>48</v>
      </c>
      <c r="C62" s="53">
        <v>8372167</v>
      </c>
      <c r="D62" s="53">
        <v>40308</v>
      </c>
      <c r="E62" s="53">
        <v>3619868</v>
      </c>
      <c r="F62" s="53">
        <v>1513588</v>
      </c>
      <c r="G62" s="53">
        <v>1596436</v>
      </c>
      <c r="H62" s="53">
        <v>1585622</v>
      </c>
      <c r="I62" s="53">
        <v>575364</v>
      </c>
      <c r="J62" s="53">
        <v>280304</v>
      </c>
      <c r="K62" s="54">
        <f t="shared" si="2"/>
        <v>17583657</v>
      </c>
    </row>
    <row r="63" spans="1:11" s="1" customFormat="1" ht="16.5" thickBot="1" x14ac:dyDescent="0.3">
      <c r="A63" s="22"/>
      <c r="B63" s="26"/>
      <c r="C63" s="62"/>
      <c r="D63" s="62"/>
      <c r="E63" s="62"/>
      <c r="F63" s="62"/>
      <c r="G63" s="62"/>
      <c r="H63" s="62"/>
      <c r="I63" s="62"/>
      <c r="J63" s="62"/>
      <c r="K63" s="60"/>
    </row>
    <row r="64" spans="1:11" s="1" customFormat="1" ht="16.5" thickBot="1" x14ac:dyDescent="0.3">
      <c r="A64" s="27">
        <v>3000000</v>
      </c>
      <c r="B64" s="30" t="s">
        <v>71</v>
      </c>
      <c r="C64" s="49">
        <f t="shared" ref="C64:J64" si="10">SUM(C65:C66)</f>
        <v>34551800</v>
      </c>
      <c r="D64" s="49">
        <f t="shared" si="10"/>
        <v>0</v>
      </c>
      <c r="E64" s="49">
        <f t="shared" si="10"/>
        <v>0</v>
      </c>
      <c r="F64" s="49">
        <f t="shared" si="10"/>
        <v>0</v>
      </c>
      <c r="G64" s="49">
        <f t="shared" si="10"/>
        <v>0</v>
      </c>
      <c r="H64" s="49">
        <f t="shared" si="10"/>
        <v>0</v>
      </c>
      <c r="I64" s="49">
        <f t="shared" si="10"/>
        <v>0</v>
      </c>
      <c r="J64" s="49">
        <f t="shared" si="10"/>
        <v>0</v>
      </c>
      <c r="K64" s="50">
        <f t="shared" ref="K64" si="11">SUM(C64:J64)</f>
        <v>34551800</v>
      </c>
    </row>
    <row r="65" spans="1:11" s="1" customFormat="1" x14ac:dyDescent="0.25">
      <c r="A65" s="20">
        <v>3010000</v>
      </c>
      <c r="B65" s="19" t="s">
        <v>72</v>
      </c>
      <c r="C65" s="55">
        <f>0+4185000</f>
        <v>4185000</v>
      </c>
      <c r="D65" s="55"/>
      <c r="E65" s="55"/>
      <c r="F65" s="55"/>
      <c r="G65" s="55"/>
      <c r="H65" s="55"/>
      <c r="I65" s="55"/>
      <c r="J65" s="55"/>
      <c r="K65" s="56">
        <f t="shared" ref="K65" si="12">SUM(C65:J65)</f>
        <v>4185000</v>
      </c>
    </row>
    <row r="66" spans="1:11" s="1" customFormat="1" x14ac:dyDescent="0.25">
      <c r="A66" s="20">
        <v>3060000</v>
      </c>
      <c r="B66" s="19" t="s">
        <v>73</v>
      </c>
      <c r="C66" s="55">
        <f>0+30366800</f>
        <v>30366800</v>
      </c>
      <c r="D66" s="55"/>
      <c r="E66" s="55"/>
      <c r="F66" s="55"/>
      <c r="G66" s="55"/>
      <c r="H66" s="55"/>
      <c r="I66" s="55"/>
      <c r="J66" s="55"/>
      <c r="K66" s="56">
        <f t="shared" ref="K66" si="13">SUM(C66:J66)</f>
        <v>30366800</v>
      </c>
    </row>
    <row r="67" spans="1:11" s="1" customFormat="1" ht="16.5" thickBot="1" x14ac:dyDescent="0.3">
      <c r="A67" s="10"/>
      <c r="B67" s="11"/>
      <c r="C67" s="53"/>
      <c r="D67" s="53"/>
      <c r="E67" s="53"/>
      <c r="F67" s="53"/>
      <c r="G67" s="53"/>
      <c r="H67" s="53"/>
      <c r="I67" s="53"/>
      <c r="J67" s="53"/>
      <c r="K67" s="54"/>
    </row>
    <row r="68" spans="1:11" s="1" customFormat="1" ht="16.5" thickBot="1" x14ac:dyDescent="0.3">
      <c r="A68" s="27">
        <v>4000000</v>
      </c>
      <c r="B68" s="30" t="s">
        <v>49</v>
      </c>
      <c r="C68" s="49">
        <f>SUM(C69+C72+C74+C76+C78+C80+C82+C84+C86)</f>
        <v>704796599</v>
      </c>
      <c r="D68" s="49">
        <f t="shared" ref="D68:J68" si="14">SUM(D69+D72+D76+D78+D80+D82+D84+D86)</f>
        <v>16144456</v>
      </c>
      <c r="E68" s="49">
        <f t="shared" si="14"/>
        <v>12722530</v>
      </c>
      <c r="F68" s="49">
        <f t="shared" si="14"/>
        <v>24920846</v>
      </c>
      <c r="G68" s="49">
        <f t="shared" si="14"/>
        <v>9227678</v>
      </c>
      <c r="H68" s="49">
        <f t="shared" si="14"/>
        <v>21776780</v>
      </c>
      <c r="I68" s="49">
        <f t="shared" si="14"/>
        <v>17395872</v>
      </c>
      <c r="J68" s="49">
        <f t="shared" si="14"/>
        <v>5819155</v>
      </c>
      <c r="K68" s="50">
        <f t="shared" si="2"/>
        <v>812803916</v>
      </c>
    </row>
    <row r="69" spans="1:11" s="44" customFormat="1" x14ac:dyDescent="0.25">
      <c r="A69" s="42">
        <v>4010000</v>
      </c>
      <c r="B69" s="43" t="s">
        <v>50</v>
      </c>
      <c r="C69" s="63">
        <f>181134818+45545406+9712496+2393184</f>
        <v>238785904</v>
      </c>
      <c r="D69" s="63">
        <v>14587688</v>
      </c>
      <c r="E69" s="63">
        <v>11089401</v>
      </c>
      <c r="F69" s="63">
        <f>10580467-1754894</f>
        <v>8825573</v>
      </c>
      <c r="G69" s="63">
        <v>2326460</v>
      </c>
      <c r="H69" s="63">
        <v>4080945</v>
      </c>
      <c r="I69" s="63">
        <v>1605447</v>
      </c>
      <c r="J69" s="63">
        <v>808254</v>
      </c>
      <c r="K69" s="64">
        <f t="shared" si="2"/>
        <v>282109672</v>
      </c>
    </row>
    <row r="70" spans="1:11" s="1" customFormat="1" x14ac:dyDescent="0.25">
      <c r="A70" s="20">
        <v>4010104</v>
      </c>
      <c r="B70" s="19" t="s">
        <v>51</v>
      </c>
      <c r="C70" s="55">
        <f>56454786</f>
        <v>56454786</v>
      </c>
      <c r="D70" s="55">
        <v>14207893</v>
      </c>
      <c r="E70" s="55">
        <v>8924376</v>
      </c>
      <c r="F70" s="55">
        <f>8313241-1754894</f>
        <v>6558347</v>
      </c>
      <c r="G70" s="55">
        <v>1538377</v>
      </c>
      <c r="H70" s="55">
        <v>2712985</v>
      </c>
      <c r="I70" s="55">
        <v>945405</v>
      </c>
      <c r="J70" s="55">
        <v>407602</v>
      </c>
      <c r="K70" s="56">
        <f t="shared" si="2"/>
        <v>91749771</v>
      </c>
    </row>
    <row r="71" spans="1:11" s="1" customFormat="1" x14ac:dyDescent="0.25">
      <c r="A71" s="20"/>
      <c r="B71" s="19"/>
      <c r="C71" s="55"/>
      <c r="D71" s="55"/>
      <c r="E71" s="55"/>
      <c r="F71" s="55"/>
      <c r="G71" s="55"/>
      <c r="H71" s="55"/>
      <c r="I71" s="55"/>
      <c r="J71" s="55"/>
      <c r="K71" s="54"/>
    </row>
    <row r="72" spans="1:11" s="1" customFormat="1" ht="31.5" x14ac:dyDescent="0.25">
      <c r="A72" s="10">
        <v>4020100</v>
      </c>
      <c r="B72" s="11" t="s">
        <v>52</v>
      </c>
      <c r="C72" s="53">
        <f>2800995-300107</f>
        <v>2500888</v>
      </c>
      <c r="D72" s="53">
        <f>1743580-186812</f>
        <v>1556768</v>
      </c>
      <c r="E72" s="53">
        <f>919178-98484</f>
        <v>820694</v>
      </c>
      <c r="F72" s="53">
        <f>1500915-160812</f>
        <v>1340103</v>
      </c>
      <c r="G72" s="53">
        <f>294101-31511</f>
        <v>262590</v>
      </c>
      <c r="H72" s="53">
        <f>801549-85880</f>
        <v>715669</v>
      </c>
      <c r="I72" s="53">
        <f>353807-37908</f>
        <v>315899</v>
      </c>
      <c r="J72" s="53">
        <f>134027-14360</f>
        <v>119667</v>
      </c>
      <c r="K72" s="54">
        <f t="shared" si="2"/>
        <v>7632278</v>
      </c>
    </row>
    <row r="73" spans="1:11" s="1" customFormat="1" x14ac:dyDescent="0.25">
      <c r="A73" s="10"/>
      <c r="B73" s="11"/>
      <c r="C73" s="53"/>
      <c r="D73" s="53"/>
      <c r="E73" s="53"/>
      <c r="F73" s="53"/>
      <c r="G73" s="53"/>
      <c r="H73" s="53"/>
      <c r="I73" s="53"/>
      <c r="J73" s="53"/>
      <c r="K73" s="54"/>
    </row>
    <row r="74" spans="1:11" s="1" customFormat="1" x14ac:dyDescent="0.25">
      <c r="A74" s="10">
        <v>4060000</v>
      </c>
      <c r="B74" s="11" t="s">
        <v>69</v>
      </c>
      <c r="C74" s="53">
        <v>6795720</v>
      </c>
      <c r="D74" s="53"/>
      <c r="E74" s="53"/>
      <c r="F74" s="53"/>
      <c r="G74" s="53"/>
      <c r="H74" s="53"/>
      <c r="I74" s="53"/>
      <c r="J74" s="53"/>
      <c r="K74" s="54">
        <f t="shared" si="2"/>
        <v>6795720</v>
      </c>
    </row>
    <row r="75" spans="1:11" s="1" customFormat="1" x14ac:dyDescent="0.25">
      <c r="A75" s="20"/>
      <c r="B75" s="19"/>
      <c r="C75" s="55"/>
      <c r="D75" s="55"/>
      <c r="E75" s="55"/>
      <c r="F75" s="55"/>
      <c r="G75" s="55"/>
      <c r="H75" s="55"/>
      <c r="I75" s="55"/>
      <c r="J75" s="55"/>
      <c r="K75" s="54"/>
    </row>
    <row r="76" spans="1:11" ht="78.75" x14ac:dyDescent="0.25">
      <c r="A76" s="8">
        <v>4080000</v>
      </c>
      <c r="B76" s="11" t="s">
        <v>53</v>
      </c>
      <c r="C76" s="53">
        <v>352996</v>
      </c>
      <c r="D76" s="53"/>
      <c r="E76" s="53">
        <v>648579</v>
      </c>
      <c r="F76" s="53">
        <v>11887744</v>
      </c>
      <c r="G76" s="53">
        <v>5401055</v>
      </c>
      <c r="H76" s="53">
        <v>13769793</v>
      </c>
      <c r="I76" s="53">
        <v>12508930</v>
      </c>
      <c r="J76" s="53">
        <v>3683019</v>
      </c>
      <c r="K76" s="54">
        <f t="shared" si="2"/>
        <v>48252116</v>
      </c>
    </row>
    <row r="77" spans="1:11" x14ac:dyDescent="0.25">
      <c r="A77" s="10"/>
      <c r="B77" s="11"/>
      <c r="C77" s="53"/>
      <c r="D77" s="53"/>
      <c r="E77" s="53"/>
      <c r="F77" s="53"/>
      <c r="G77" s="53"/>
      <c r="H77" s="53"/>
      <c r="I77" s="53"/>
      <c r="J77" s="53"/>
      <c r="K77" s="54"/>
    </row>
    <row r="78" spans="1:11" x14ac:dyDescent="0.25">
      <c r="A78" s="10">
        <v>4100000</v>
      </c>
      <c r="B78" s="11" t="s">
        <v>54</v>
      </c>
      <c r="C78" s="53">
        <f>206980240+5343295+133341867</f>
        <v>345665402</v>
      </c>
      <c r="D78" s="53"/>
      <c r="E78" s="53"/>
      <c r="F78" s="53"/>
      <c r="G78" s="53"/>
      <c r="H78" s="53"/>
      <c r="I78" s="53"/>
      <c r="J78" s="53"/>
      <c r="K78" s="54">
        <f t="shared" si="2"/>
        <v>345665402</v>
      </c>
    </row>
    <row r="79" spans="1:11" x14ac:dyDescent="0.25">
      <c r="A79" s="10"/>
      <c r="B79" s="11"/>
      <c r="C79" s="53"/>
      <c r="D79" s="53"/>
      <c r="E79" s="53"/>
      <c r="F79" s="53"/>
      <c r="G79" s="53"/>
      <c r="H79" s="53"/>
      <c r="I79" s="53"/>
      <c r="J79" s="53"/>
      <c r="K79" s="54"/>
    </row>
    <row r="80" spans="1:11" x14ac:dyDescent="0.25">
      <c r="A80" s="10">
        <v>4110000</v>
      </c>
      <c r="B80" s="11" t="s">
        <v>55</v>
      </c>
      <c r="C80" s="53">
        <v>20701609</v>
      </c>
      <c r="D80" s="53"/>
      <c r="E80" s="53"/>
      <c r="F80" s="53"/>
      <c r="G80" s="53"/>
      <c r="H80" s="53"/>
      <c r="I80" s="53"/>
      <c r="J80" s="53"/>
      <c r="K80" s="54">
        <f t="shared" ref="K80:K88" si="15">SUM(C80:J80)</f>
        <v>20701609</v>
      </c>
    </row>
    <row r="81" spans="1:11" x14ac:dyDescent="0.25">
      <c r="A81" s="10"/>
      <c r="B81" s="11"/>
      <c r="C81" s="53"/>
      <c r="D81" s="53"/>
      <c r="E81" s="53"/>
      <c r="F81" s="53"/>
      <c r="G81" s="53"/>
      <c r="H81" s="53"/>
      <c r="I81" s="53"/>
      <c r="J81" s="53"/>
      <c r="K81" s="54"/>
    </row>
    <row r="82" spans="1:11" x14ac:dyDescent="0.25">
      <c r="A82" s="10">
        <v>4120000</v>
      </c>
      <c r="B82" s="11" t="s">
        <v>56</v>
      </c>
      <c r="C82" s="53">
        <v>9893699</v>
      </c>
      <c r="D82" s="53"/>
      <c r="E82" s="53"/>
      <c r="F82" s="53"/>
      <c r="G82" s="53"/>
      <c r="H82" s="53"/>
      <c r="I82" s="53"/>
      <c r="J82" s="53"/>
      <c r="K82" s="54">
        <f t="shared" si="15"/>
        <v>9893699</v>
      </c>
    </row>
    <row r="83" spans="1:11" x14ac:dyDescent="0.25">
      <c r="A83" s="10"/>
      <c r="B83" s="11"/>
      <c r="C83" s="53"/>
      <c r="D83" s="53"/>
      <c r="E83" s="53"/>
      <c r="F83" s="53"/>
      <c r="G83" s="53"/>
      <c r="H83" s="53"/>
      <c r="I83" s="53"/>
      <c r="J83" s="53"/>
      <c r="K83" s="54"/>
    </row>
    <row r="84" spans="1:11" x14ac:dyDescent="0.25">
      <c r="A84" s="10">
        <v>4130000</v>
      </c>
      <c r="B84" s="21" t="s">
        <v>60</v>
      </c>
      <c r="C84" s="53">
        <v>20500000</v>
      </c>
      <c r="D84" s="65"/>
      <c r="E84" s="65"/>
      <c r="F84" s="65"/>
      <c r="G84" s="65"/>
      <c r="H84" s="65"/>
      <c r="I84" s="65"/>
      <c r="J84" s="65"/>
      <c r="K84" s="54">
        <f t="shared" si="15"/>
        <v>20500000</v>
      </c>
    </row>
    <row r="85" spans="1:11" x14ac:dyDescent="0.25">
      <c r="A85" s="22"/>
      <c r="B85" s="38"/>
      <c r="C85" s="62"/>
      <c r="D85" s="66"/>
      <c r="E85" s="66"/>
      <c r="F85" s="66"/>
      <c r="G85" s="66"/>
      <c r="H85" s="66"/>
      <c r="I85" s="66"/>
      <c r="J85" s="66"/>
      <c r="K85" s="60"/>
    </row>
    <row r="86" spans="1:11" s="41" customFormat="1" x14ac:dyDescent="0.25">
      <c r="A86" s="39">
        <v>4140000</v>
      </c>
      <c r="B86" s="40" t="s">
        <v>61</v>
      </c>
      <c r="C86" s="57">
        <v>59600381</v>
      </c>
      <c r="D86" s="67"/>
      <c r="E86" s="67">
        <v>163856</v>
      </c>
      <c r="F86" s="67">
        <v>2867426</v>
      </c>
      <c r="G86" s="67">
        <v>1237573</v>
      </c>
      <c r="H86" s="67">
        <v>3210373</v>
      </c>
      <c r="I86" s="67">
        <v>2965596</v>
      </c>
      <c r="J86" s="67">
        <v>1208215</v>
      </c>
      <c r="K86" s="58">
        <f t="shared" si="15"/>
        <v>71253420</v>
      </c>
    </row>
    <row r="87" spans="1:11" ht="16.5" thickBot="1" x14ac:dyDescent="0.3">
      <c r="A87" s="22"/>
      <c r="B87" s="26"/>
      <c r="C87" s="62"/>
      <c r="D87" s="66"/>
      <c r="E87" s="66"/>
      <c r="F87" s="66"/>
      <c r="G87" s="66"/>
      <c r="H87" s="66"/>
      <c r="I87" s="66"/>
      <c r="J87" s="66"/>
      <c r="K87" s="60"/>
    </row>
    <row r="88" spans="1:11" ht="32.25" thickBot="1" x14ac:dyDescent="0.3">
      <c r="A88" s="27">
        <v>5000000</v>
      </c>
      <c r="B88" s="28" t="s">
        <v>57</v>
      </c>
      <c r="C88" s="49">
        <f>155513283-19204669+4465989</f>
        <v>140774603</v>
      </c>
      <c r="D88" s="49">
        <f>6390517+242896</f>
        <v>6633413</v>
      </c>
      <c r="E88" s="49">
        <f>42078601+2814295+9559462</f>
        <v>54452358</v>
      </c>
      <c r="F88" s="49">
        <f>21948129+249898</f>
        <v>22198027</v>
      </c>
      <c r="G88" s="49">
        <f>9993513+267542</f>
        <v>10261055</v>
      </c>
      <c r="H88" s="49">
        <f>7065315+502075</f>
        <v>7567390</v>
      </c>
      <c r="I88" s="49">
        <f>6120695+256488</f>
        <v>6377183</v>
      </c>
      <c r="J88" s="49">
        <f>3260473+146288</f>
        <v>3406761</v>
      </c>
      <c r="K88" s="50">
        <f t="shared" si="15"/>
        <v>251670790</v>
      </c>
    </row>
    <row r="89" spans="1:11" ht="16.5" thickBot="1" x14ac:dyDescent="0.3">
      <c r="A89" s="22"/>
      <c r="B89" s="26"/>
      <c r="C89" s="62"/>
      <c r="D89" s="66"/>
      <c r="E89" s="66"/>
      <c r="F89" s="66"/>
      <c r="G89" s="66"/>
      <c r="H89" s="66"/>
      <c r="I89" s="66"/>
      <c r="J89" s="66"/>
      <c r="K89" s="60"/>
    </row>
    <row r="90" spans="1:11" ht="32.25" thickBot="1" x14ac:dyDescent="0.3">
      <c r="A90" s="27">
        <v>6010000</v>
      </c>
      <c r="B90" s="28" t="s">
        <v>70</v>
      </c>
      <c r="C90" s="49">
        <f>0+9909244</f>
        <v>9909244</v>
      </c>
      <c r="D90" s="49"/>
      <c r="E90" s="49"/>
      <c r="F90" s="49"/>
      <c r="G90" s="49"/>
      <c r="H90" s="49"/>
      <c r="I90" s="49"/>
      <c r="J90" s="49"/>
      <c r="K90" s="50">
        <f t="shared" ref="K90" si="16">SUM(C90:J90)</f>
        <v>9909244</v>
      </c>
    </row>
    <row r="91" spans="1:11" ht="16.5" thickBot="1" x14ac:dyDescent="0.3">
      <c r="A91" s="22"/>
      <c r="B91" s="26"/>
      <c r="C91" s="62"/>
      <c r="D91" s="66"/>
      <c r="E91" s="66"/>
      <c r="F91" s="66"/>
      <c r="G91" s="66"/>
      <c r="H91" s="66"/>
      <c r="I91" s="66"/>
      <c r="J91" s="66"/>
      <c r="K91" s="60"/>
    </row>
    <row r="92" spans="1:11" ht="16.5" thickBot="1" x14ac:dyDescent="0.3">
      <c r="A92" s="23"/>
      <c r="B92" s="24" t="s">
        <v>58</v>
      </c>
      <c r="C92" s="36">
        <f t="shared" ref="C92:J92" si="17">SUM(C14+C47+C68+C88+C90+C64)</f>
        <v>1804908872</v>
      </c>
      <c r="D92" s="36">
        <f t="shared" si="17"/>
        <v>217361792</v>
      </c>
      <c r="E92" s="36">
        <f t="shared" si="17"/>
        <v>144350811</v>
      </c>
      <c r="F92" s="36">
        <f t="shared" si="17"/>
        <v>207327569</v>
      </c>
      <c r="G92" s="36">
        <f t="shared" si="17"/>
        <v>39352943</v>
      </c>
      <c r="H92" s="36">
        <f t="shared" si="17"/>
        <v>56103037</v>
      </c>
      <c r="I92" s="36">
        <f t="shared" si="17"/>
        <v>42146074</v>
      </c>
      <c r="J92" s="36">
        <f t="shared" si="17"/>
        <v>15020904</v>
      </c>
      <c r="K92" s="37">
        <f>SUM(C92:J92)</f>
        <v>2526572002</v>
      </c>
    </row>
    <row r="93" spans="1:11" x14ac:dyDescent="0.25">
      <c r="K93" s="13">
        <v>2526572002</v>
      </c>
    </row>
    <row r="94" spans="1:11" x14ac:dyDescent="0.25">
      <c r="K94" s="13">
        <f>K93-K92</f>
        <v>0</v>
      </c>
    </row>
    <row r="100" spans="2:10" x14ac:dyDescent="0.25">
      <c r="B100" s="25"/>
      <c r="C100" s="15"/>
      <c r="D100" s="15"/>
      <c r="E100" s="15"/>
      <c r="F100" s="15"/>
      <c r="G100" s="15"/>
      <c r="H100" s="15"/>
      <c r="I100" s="15"/>
      <c r="J100" s="15"/>
    </row>
    <row r="101" spans="2:10" x14ac:dyDescent="0.25">
      <c r="B101" s="25"/>
      <c r="C101" s="15"/>
      <c r="D101" s="15"/>
      <c r="E101" s="15"/>
      <c r="F101" s="15"/>
      <c r="G101" s="15"/>
      <c r="H101" s="15"/>
      <c r="I101" s="15"/>
      <c r="J101" s="15"/>
    </row>
    <row r="125" spans="2:10" x14ac:dyDescent="0.25">
      <c r="B125" s="25"/>
      <c r="C125" s="15"/>
      <c r="D125" s="15"/>
      <c r="E125" s="15"/>
      <c r="F125" s="15"/>
      <c r="G125" s="15"/>
      <c r="H125" s="15"/>
      <c r="I125" s="15"/>
      <c r="J125" s="15"/>
    </row>
    <row r="126" spans="2:10" x14ac:dyDescent="0.25">
      <c r="B126" s="25"/>
      <c r="C126" s="15"/>
      <c r="D126" s="15"/>
      <c r="E126" s="15"/>
      <c r="F126" s="15"/>
      <c r="G126" s="15"/>
      <c r="H126" s="15"/>
      <c r="I126" s="15"/>
      <c r="J126" s="15"/>
    </row>
    <row r="127" spans="2:10" x14ac:dyDescent="0.25">
      <c r="B127" s="25"/>
      <c r="C127" s="15"/>
      <c r="D127" s="15"/>
      <c r="E127" s="15"/>
      <c r="F127" s="15"/>
      <c r="G127" s="15"/>
      <c r="H127" s="15"/>
      <c r="I127" s="15"/>
      <c r="J127" s="15"/>
    </row>
    <row r="128" spans="2:10" x14ac:dyDescent="0.25">
      <c r="B128" s="25"/>
      <c r="C128" s="15"/>
      <c r="D128" s="15"/>
      <c r="E128" s="15"/>
      <c r="F128" s="15"/>
      <c r="G128" s="15"/>
      <c r="H128" s="15"/>
      <c r="I128" s="15"/>
      <c r="J128" s="15"/>
    </row>
    <row r="134" spans="1:10" x14ac:dyDescent="0.25">
      <c r="A134" s="9"/>
      <c r="B134" s="2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25">
      <c r="B135" s="2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25">
      <c r="B136" s="25"/>
      <c r="C136" s="15"/>
      <c r="D136" s="15"/>
      <c r="E136" s="15"/>
      <c r="F136" s="15"/>
      <c r="G136" s="15"/>
      <c r="H136" s="15"/>
      <c r="I136" s="15"/>
      <c r="J136" s="15"/>
    </row>
  </sheetData>
  <mergeCells count="9">
    <mergeCell ref="I7:K7"/>
    <mergeCell ref="H8:K8"/>
    <mergeCell ref="I9:K9"/>
    <mergeCell ref="A11:K11"/>
    <mergeCell ref="J1:K1"/>
    <mergeCell ref="H2:K2"/>
    <mergeCell ref="G3:K3"/>
    <mergeCell ref="H4:K4"/>
    <mergeCell ref="H5:K5"/>
  </mergeCells>
  <pageMargins left="0.39370078740157483" right="0.39370078740157483" top="0.6692913385826772" bottom="0.39370078740157483" header="0" footer="0"/>
  <pageSetup paperSize="9" scale="74" firstPageNumber="10" fitToHeight="4" orientation="landscape" useFirstPageNumber="1" r:id="rId1"/>
  <headerFooter scaleWithDoc="0" alignWithMargins="0">
    <oddHeader>&amp;C&amp;"Times New Roman,обычный"&amp;12&amp;P</oddHeader>
  </headerFooter>
  <rowBreaks count="1" manualBreakCount="1">
    <brk id="8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 (1051)</vt:lpstr>
      <vt:lpstr>'Приложение № 1 (1051)'!Заголовки_для_печати</vt:lpstr>
      <vt:lpstr>'Приложение № 1 (1051)'!Область_печати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2023-07-18T05:47:13Z</dcterms:modified>
</cp:coreProperties>
</file>