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6" windowHeight="9360" firstSheet="24" activeTab="24"/>
  </bookViews>
  <sheets>
    <sheet name="Свод расходов" sheetId="1" state="hidden" r:id="rId1"/>
    <sheet name="МРОТ (ВЫСОКОКВАЛ.)" sheetId="2" state="hidden" r:id="rId2"/>
    <sheet name="Хоз. и др.расх." sheetId="3" state="hidden" r:id="rId3"/>
    <sheet name="110350" sheetId="4" state="hidden" r:id="rId4"/>
    <sheet name="бензин" sheetId="5" state="hidden" r:id="rId5"/>
    <sheet name="Лист1" sheetId="6" state="hidden" r:id="rId6"/>
    <sheet name="Лист2" sheetId="7" state="hidden" r:id="rId7"/>
    <sheet name="Лист3" sheetId="8" state="hidden" r:id="rId8"/>
    <sheet name="Лист4" sheetId="9" state="hidden" r:id="rId9"/>
    <sheet name="Лист5" sheetId="10" state="hidden" r:id="rId10"/>
    <sheet name="Лист6" sheetId="11" state="hidden" r:id="rId11"/>
    <sheet name="Лист7" sheetId="12" state="hidden" r:id="rId12"/>
    <sheet name="Лист8" sheetId="13" state="hidden" r:id="rId13"/>
    <sheet name="Лист9" sheetId="14" state="hidden" r:id="rId14"/>
    <sheet name="расчет масла" sheetId="15" state="hidden" r:id="rId15"/>
    <sheet name="расчет текущего ремонта" sheetId="16" state="hidden" r:id="rId16"/>
    <sheet name="медикаменты" sheetId="17" state="hidden" r:id="rId17"/>
    <sheet name="Спецодежда" sheetId="18" state="hidden" r:id="rId18"/>
    <sheet name="Лист17" sheetId="19" state="hidden" r:id="rId19"/>
    <sheet name="технологические карты" sheetId="20" state="hidden" r:id="rId20"/>
    <sheet name="мобилизация" sheetId="21" state="hidden" r:id="rId21"/>
    <sheet name="оборудов. и инвент." sheetId="22" state="hidden" r:id="rId22"/>
    <sheet name="здания и сооружения" sheetId="23" state="hidden" r:id="rId23"/>
    <sheet name="Лист11" sheetId="24" state="hidden" r:id="rId24"/>
    <sheet name="Приложение № 2.28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24">'Приложение № 2.28'!$7:$7</definedName>
  </definedNames>
  <calcPr fullCalcOnLoad="1" fullPrecision="0"/>
</workbook>
</file>

<file path=xl/sharedStrings.xml><?xml version="1.0" encoding="utf-8"?>
<sst xmlns="http://schemas.openxmlformats.org/spreadsheetml/2006/main" count="2494" uniqueCount="1161">
  <si>
    <t xml:space="preserve">       СОГЛАСНО   БЮДЖЕТНОЙ  КЛАССИФИКАЦИИ</t>
  </si>
  <si>
    <t xml:space="preserve">     функциональная</t>
  </si>
  <si>
    <t xml:space="preserve"> экономическая</t>
  </si>
  <si>
    <t>код</t>
  </si>
  <si>
    <t>подстатья</t>
  </si>
  <si>
    <t>статья</t>
  </si>
  <si>
    <t>ВСЕГО</t>
  </si>
  <si>
    <t>Всего:</t>
  </si>
  <si>
    <t xml:space="preserve">     ИСПОЛНИТЕЛЬ   ________________________</t>
  </si>
  <si>
    <t>классификация</t>
  </si>
  <si>
    <t>в год</t>
  </si>
  <si>
    <t>руб.</t>
  </si>
  <si>
    <t>прочие</t>
  </si>
  <si>
    <t>тонн</t>
  </si>
  <si>
    <t>Мягкий инвентарь и обмундирование</t>
  </si>
  <si>
    <t>0,10</t>
  </si>
  <si>
    <t>Наименование</t>
  </si>
  <si>
    <t xml:space="preserve">        Всего</t>
  </si>
  <si>
    <t>должности</t>
  </si>
  <si>
    <t>Итого:</t>
  </si>
  <si>
    <t>за пределами П М Р</t>
  </si>
  <si>
    <t>Премия</t>
  </si>
  <si>
    <t>Сумма</t>
  </si>
  <si>
    <t xml:space="preserve">  экономическая</t>
  </si>
  <si>
    <t xml:space="preserve">     РУКОВОДИТЕЛЬ_______________________</t>
  </si>
  <si>
    <t xml:space="preserve">             СВОД   РАСХОДОВ</t>
  </si>
  <si>
    <t>предприятия</t>
  </si>
  <si>
    <t xml:space="preserve">деятельности, </t>
  </si>
  <si>
    <t xml:space="preserve"> ведомства,</t>
  </si>
  <si>
    <t>НАИМЕНОВАНИЕ</t>
  </si>
  <si>
    <t xml:space="preserve">код </t>
  </si>
  <si>
    <t>раздела</t>
  </si>
  <si>
    <t>подраздела</t>
  </si>
  <si>
    <t>целевой статьи</t>
  </si>
  <si>
    <t>вида расходов</t>
  </si>
  <si>
    <t>Таблица № 1</t>
  </si>
  <si>
    <t>-</t>
  </si>
  <si>
    <t xml:space="preserve">Сумма </t>
  </si>
  <si>
    <r>
      <t xml:space="preserve">                                            по</t>
    </r>
    <r>
      <rPr>
        <sz val="11"/>
        <rFont val="Times New Roman"/>
        <family val="1"/>
      </rPr>
      <t xml:space="preserve"> ______________________________________</t>
    </r>
    <r>
      <rPr>
        <b/>
        <sz val="10"/>
        <rFont val="Times New Roman"/>
        <family val="1"/>
      </rPr>
      <t xml:space="preserve"> </t>
    </r>
  </si>
  <si>
    <r>
      <t xml:space="preserve">                  (</t>
    </r>
    <r>
      <rPr>
        <sz val="9"/>
        <rFont val="Times New Roman"/>
        <family val="1"/>
      </rPr>
      <t>наименование министерства, коды по функциональной и организационной классификации)</t>
    </r>
  </si>
  <si>
    <t>в том числе:</t>
  </si>
  <si>
    <t>В ЦЕЛОМ ПО  МИНИСТЕРСТВУ  (ВЕДОМСТВУ):</t>
  </si>
  <si>
    <t>Таблица № 3</t>
  </si>
  <si>
    <t xml:space="preserve">                РАСХОДЫ  НА  СОДЕРЖАНИЕ БЮДЖЕТНОЙ ОРГАНИЗАЦИИ</t>
  </si>
  <si>
    <t xml:space="preserve">  един. </t>
  </si>
  <si>
    <t xml:space="preserve"> кол- во</t>
  </si>
  <si>
    <t xml:space="preserve"> тариф</t>
  </si>
  <si>
    <t xml:space="preserve">  сумма</t>
  </si>
  <si>
    <t xml:space="preserve"> измерен.</t>
  </si>
  <si>
    <t xml:space="preserve">    в</t>
  </si>
  <si>
    <t xml:space="preserve">  руб.</t>
  </si>
  <si>
    <t>рублях</t>
  </si>
  <si>
    <t xml:space="preserve">    в год</t>
  </si>
  <si>
    <t xml:space="preserve">                        уголь марки АС</t>
  </si>
  <si>
    <t xml:space="preserve">                        мазут топочный </t>
  </si>
  <si>
    <t xml:space="preserve">                        дрова:</t>
  </si>
  <si>
    <t>1 м.куб.</t>
  </si>
  <si>
    <t xml:space="preserve">в том числе: </t>
  </si>
  <si>
    <t xml:space="preserve">                        количество единиц</t>
  </si>
  <si>
    <t>шт.</t>
  </si>
  <si>
    <t>текущий ремонт легковых автомобилей</t>
  </si>
  <si>
    <t>текущий ремонт грузовых автомобилей</t>
  </si>
  <si>
    <t xml:space="preserve">                        бензин А-95</t>
  </si>
  <si>
    <t xml:space="preserve">                        бензин А-92 - А-93</t>
  </si>
  <si>
    <t xml:space="preserve">                        бензин А-76 - А-80</t>
  </si>
  <si>
    <t xml:space="preserve">                        дизельное топливо</t>
  </si>
  <si>
    <t xml:space="preserve">                       масло дизельное</t>
  </si>
  <si>
    <t xml:space="preserve">            масло автомобильное карбюраторн.</t>
  </si>
  <si>
    <t xml:space="preserve">            масло автомобильное жигулевское</t>
  </si>
  <si>
    <t>сжатый газ для заправки автотранспорта</t>
  </si>
  <si>
    <t>1куб.м.</t>
  </si>
  <si>
    <t xml:space="preserve">   Командировки внутри республики</t>
  </si>
  <si>
    <t xml:space="preserve">   Командировки за пределы республики</t>
  </si>
  <si>
    <t xml:space="preserve">   4. Оплата услуг связи</t>
  </si>
  <si>
    <t xml:space="preserve">              цифровой телефон</t>
  </si>
  <si>
    <t>шт</t>
  </si>
  <si>
    <t xml:space="preserve">              основной телефон</t>
  </si>
  <si>
    <t xml:space="preserve">               телетайп</t>
  </si>
  <si>
    <t xml:space="preserve">               прямая линия</t>
  </si>
  <si>
    <t>за линию в месяц</t>
  </si>
  <si>
    <t xml:space="preserve">     переговоры  поврем.уч.:</t>
  </si>
  <si>
    <t>минуты</t>
  </si>
  <si>
    <t>всего 20 мин. на            1 осн. телефон</t>
  </si>
  <si>
    <t xml:space="preserve">               Украина</t>
  </si>
  <si>
    <t xml:space="preserve">                Россия</t>
  </si>
  <si>
    <t xml:space="preserve">               Белоруссия</t>
  </si>
  <si>
    <t xml:space="preserve">  Плата за разговор по телетайпу</t>
  </si>
  <si>
    <t xml:space="preserve"> в пределах П М Р  и Республики Молдова</t>
  </si>
  <si>
    <t xml:space="preserve">  Установка</t>
  </si>
  <si>
    <t xml:space="preserve">             основного телефона цифровой АТС</t>
  </si>
  <si>
    <t xml:space="preserve">             основного телефона не цифровой АТС</t>
  </si>
  <si>
    <t xml:space="preserve">             паралельного телефона</t>
  </si>
  <si>
    <t xml:space="preserve">             факса</t>
  </si>
  <si>
    <t xml:space="preserve">             телетайпа</t>
  </si>
  <si>
    <t>Плата за услуги интернета пакет Бизнес:</t>
  </si>
  <si>
    <t>разовый платеж при регистрации абонента</t>
  </si>
  <si>
    <t>номер</t>
  </si>
  <si>
    <t>Доступ в сеть Интернет (средняя стоимость)</t>
  </si>
  <si>
    <t>1 час</t>
  </si>
  <si>
    <t xml:space="preserve">  5. Оплата коммунальных услуг</t>
  </si>
  <si>
    <t xml:space="preserve">   Оплата содержания помещений, в т.ч.:</t>
  </si>
  <si>
    <t>услуги по дезинфекции</t>
  </si>
  <si>
    <t>противопожарные мероприятия</t>
  </si>
  <si>
    <t xml:space="preserve">   Оплата тепловой энергии </t>
  </si>
  <si>
    <t>Гкал</t>
  </si>
  <si>
    <t>расчет</t>
  </si>
  <si>
    <t xml:space="preserve">   Оплата освещения помещений </t>
  </si>
  <si>
    <t>кВт</t>
  </si>
  <si>
    <t xml:space="preserve">   Оплата водоснабжения помещений</t>
  </si>
  <si>
    <t>в том числе: вода</t>
  </si>
  <si>
    <t>м.куб.</t>
  </si>
  <si>
    <t xml:space="preserve">                         канализация</t>
  </si>
  <si>
    <t xml:space="preserve">                         ассенизация</t>
  </si>
  <si>
    <t xml:space="preserve">   Вывоз мусора</t>
  </si>
  <si>
    <t xml:space="preserve">   Оплата аренды помещений</t>
  </si>
  <si>
    <t xml:space="preserve">                        газ природный в т.ч.:</t>
  </si>
  <si>
    <t>т.м.куб.</t>
  </si>
  <si>
    <t>закупочная цена природного газа</t>
  </si>
  <si>
    <t>транспортировка газа в т.ч.</t>
  </si>
  <si>
    <t>услуги на поставку газа по распределит. сетям</t>
  </si>
  <si>
    <t xml:space="preserve">                        газ сжиженный</t>
  </si>
  <si>
    <t>бал</t>
  </si>
  <si>
    <t>м.кв.</t>
  </si>
  <si>
    <t>в том числе: теплосчетчик</t>
  </si>
  <si>
    <t xml:space="preserve">                        водомерный счетчик</t>
  </si>
  <si>
    <t xml:space="preserve">                        газовый счетчик</t>
  </si>
  <si>
    <t>(стоимость путевок и др.услуг, единовр.пом)</t>
  </si>
  <si>
    <t>ИТОГО:</t>
  </si>
  <si>
    <t xml:space="preserve">  </t>
  </si>
  <si>
    <t xml:space="preserve">                               - твердой породы</t>
  </si>
  <si>
    <t xml:space="preserve">                               - мягкоой породы</t>
  </si>
  <si>
    <t xml:space="preserve">                  (наименование министерства, коды по функциональной и организационной классификации)</t>
  </si>
  <si>
    <t xml:space="preserve"> 1. Приобретение предметов снабжения  и расходных материалов</t>
  </si>
  <si>
    <t>Медикаменты и перевязочные средства и прочие лечебные расходы</t>
  </si>
  <si>
    <t>Продукты питания</t>
  </si>
  <si>
    <t>Оплата топлива</t>
  </si>
  <si>
    <t>Расходы на содержание автотранспорта</t>
  </si>
  <si>
    <t>1000 л</t>
  </si>
  <si>
    <t>гужевой транспорт    (питание)</t>
  </si>
  <si>
    <t>прочие расходы (расшифровать)</t>
  </si>
  <si>
    <t xml:space="preserve">                        уголь марки ГР (ЖР)</t>
  </si>
  <si>
    <t>3. Транспортные услуги (наем)</t>
  </si>
  <si>
    <t xml:space="preserve">      абонплата:</t>
  </si>
  <si>
    <t>(60 мин. на 1 осн.тел)</t>
  </si>
  <si>
    <t xml:space="preserve">              факсимильная связь</t>
  </si>
  <si>
    <t xml:space="preserve">  Итого междугород. переговоры</t>
  </si>
  <si>
    <t>Прочие услуги связи (расшифровать)</t>
  </si>
  <si>
    <t xml:space="preserve">   Оплата газа</t>
  </si>
  <si>
    <t>услуги по транспор-ке газа по трубопроводам</t>
  </si>
  <si>
    <t>6. Прочие текущие расходы на закупки  товаров и оплату услуг</t>
  </si>
  <si>
    <t>Оплата услуг научно-исслед.организаций</t>
  </si>
  <si>
    <t>Оплата текущего ремонта обруд. и инвентаря                  (5% от ост.баланс.ст-ти)</t>
  </si>
  <si>
    <t>Оплата текущего ремонта зданий и помещен.</t>
  </si>
  <si>
    <t xml:space="preserve">Прочие текущие расходы, </t>
  </si>
  <si>
    <t xml:space="preserve">           Книги и период.издания (в т.ч. подписка)</t>
  </si>
  <si>
    <t xml:space="preserve">           Учебные наглядные пособия</t>
  </si>
  <si>
    <t xml:space="preserve">           Издательские услуги</t>
  </si>
  <si>
    <t xml:space="preserve">           Приобретение и установка счетчиков</t>
  </si>
  <si>
    <t xml:space="preserve">           Вневедомственная охрана </t>
  </si>
  <si>
    <t xml:space="preserve">           Информационно-вычислит. работы</t>
  </si>
  <si>
    <t xml:space="preserve">           Ден.компенсация (взамен прод.пайка)</t>
  </si>
  <si>
    <t xml:space="preserve">           Товары и услуги, не отнес.к др.груп.</t>
  </si>
  <si>
    <t>Трансферты на обучение учащихся за  пределами республики</t>
  </si>
  <si>
    <t>Трансферты  страховым компаниям на на обязательное государственное страхование</t>
  </si>
  <si>
    <t>Денежные компенсации</t>
  </si>
  <si>
    <t>Прочие трансферты населению</t>
  </si>
  <si>
    <t xml:space="preserve">  8. Приобретение оборудования и предметов  длительного пользования, относящ. к ОФ</t>
  </si>
  <si>
    <t>7.Текущие трансферты</t>
  </si>
  <si>
    <t>РУ МЗП</t>
  </si>
  <si>
    <t xml:space="preserve">ФОТ </t>
  </si>
  <si>
    <t>РУМЗП</t>
  </si>
  <si>
    <t>(наименование министерства, коды по функциональной и организационной классификации)</t>
  </si>
  <si>
    <t>Расчет</t>
  </si>
  <si>
    <t xml:space="preserve">                  расходов на содержание автотранспорта</t>
  </si>
  <si>
    <t>№ п/п</t>
  </si>
  <si>
    <t>П О К А З А Т Е Л И</t>
  </si>
  <si>
    <t>Количество транспортных единиц (шт.)</t>
  </si>
  <si>
    <t>Балансовая стоимость автотранспорта  (руб)</t>
  </si>
  <si>
    <t>Расходы на приобретение бензина (в рублях)</t>
  </si>
  <si>
    <t>Всего стоимость масла автомобильного (в рублях)</t>
  </si>
  <si>
    <t>Расходы на текущий ремонт автотранспорта (руб.)</t>
  </si>
  <si>
    <t>Всего расходов на содержание автотранспорта  (руб.)</t>
  </si>
  <si>
    <t>Исполнитель ___________________________________</t>
  </si>
  <si>
    <t xml:space="preserve">                                </t>
  </si>
  <si>
    <t>№</t>
  </si>
  <si>
    <t xml:space="preserve">Марка </t>
  </si>
  <si>
    <t xml:space="preserve">Срок ввода </t>
  </si>
  <si>
    <t xml:space="preserve">Норма </t>
  </si>
  <si>
    <t>Норма</t>
  </si>
  <si>
    <t>К-во расхода</t>
  </si>
  <si>
    <t xml:space="preserve">Всего </t>
  </si>
  <si>
    <t>Цена</t>
  </si>
  <si>
    <t>п/п</t>
  </si>
  <si>
    <t>автомобиля</t>
  </si>
  <si>
    <t>в эксплуата-</t>
  </si>
  <si>
    <t>пробега</t>
  </si>
  <si>
    <t>бензина</t>
  </si>
  <si>
    <t>списания</t>
  </si>
  <si>
    <t>ГСМ в литрах</t>
  </si>
  <si>
    <t>расход</t>
  </si>
  <si>
    <t>за</t>
  </si>
  <si>
    <t xml:space="preserve">в </t>
  </si>
  <si>
    <t>цию</t>
  </si>
  <si>
    <t>(км)</t>
  </si>
  <si>
    <t>ГСМ летняя</t>
  </si>
  <si>
    <t>ГСМ зимняя</t>
  </si>
  <si>
    <t>летом</t>
  </si>
  <si>
    <t>зимой</t>
  </si>
  <si>
    <t>(л/100 км)</t>
  </si>
  <si>
    <t>Таблица № 3.1</t>
  </si>
  <si>
    <t xml:space="preserve">Примечание:  </t>
  </si>
  <si>
    <t>нормы пробега и нормы расхода ГСМ для служебного транспорта утверждены приказом от  ____________ № ____(копия приказа прилагается)</t>
  </si>
  <si>
    <t>Таблица № 3.2</t>
  </si>
  <si>
    <t>ГСМ на год</t>
  </si>
  <si>
    <t>(гр.7+гр.8)</t>
  </si>
  <si>
    <t>1 000 л</t>
  </si>
  <si>
    <t>Всего расход бензина (1 000 л)</t>
  </si>
  <si>
    <t>контактный телефон _________</t>
  </si>
  <si>
    <t>Стоимость 1 000 л масла автомобильного  (руб.)</t>
  </si>
  <si>
    <t xml:space="preserve">                                                                   МУП "Редакция газеты "Днестровская правда"</t>
  </si>
  <si>
    <t xml:space="preserve">Наименование </t>
  </si>
  <si>
    <t>Выплаты</t>
  </si>
  <si>
    <t>п/</t>
  </si>
  <si>
    <t>ФОТ за месяц</t>
  </si>
  <si>
    <t>ВСЕГО:</t>
  </si>
  <si>
    <t>п</t>
  </si>
  <si>
    <t>в руб.</t>
  </si>
  <si>
    <t>доплат</t>
  </si>
  <si>
    <t>Итого</t>
  </si>
  <si>
    <t xml:space="preserve">Примечание: </t>
  </si>
  <si>
    <t xml:space="preserve">                  В доплатах до прож.мин. все отрицательные значения для конечного расчета необходимо будет заменить на цифру "0".</t>
  </si>
  <si>
    <t xml:space="preserve">               П М Р (фиксированная сеть)</t>
  </si>
  <si>
    <t xml:space="preserve">               П М Р (выход на мобильные сети)</t>
  </si>
  <si>
    <t xml:space="preserve">              РМ (выход на мобильные сети)</t>
  </si>
  <si>
    <t xml:space="preserve">                РМ  (фиксированная сеть)</t>
  </si>
  <si>
    <t>в м-ц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</si>
  <si>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</si>
  <si>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</si>
  <si>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</si>
  <si>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</si>
  <si>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</si>
  <si>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</si>
  <si>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</si>
  <si>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</si>
  <si>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</si>
  <si>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</si>
  <si>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</si>
  <si>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</si>
  <si>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Приобретение непроизводственного оборуд.  и предм. длит. пользования для гос.учрежден.(10% от общего фонда оплаты труда за минусом МРОТ и материальной помощи)</t>
  </si>
  <si>
    <t xml:space="preserve">           Переподготовка кадров (1% от общего фонда оплаты труда за минусом МРОТ и материальной помощи)</t>
  </si>
  <si>
    <t>2. Командировки и служебные разъезды (1% от общего фонда оплаты труда за минусом МРОТ и материальной помощи)</t>
  </si>
  <si>
    <t>Прочие расходные материалы и предметы снабжения (5% от общего фонда оплаты труда за минусом МРОТ и материальной помощи)</t>
  </si>
  <si>
    <t>Всего</t>
  </si>
  <si>
    <t>со спец. счета</t>
  </si>
  <si>
    <t>(год)</t>
  </si>
  <si>
    <t>Размер доплат по доведению до уровня минимального размера оплаты труда  в бюджетных учреждениях (ВЫСОКОКВАЛИФИЦИРОВАННЫХ РАБОТНИКОВ)</t>
  </si>
  <si>
    <t>ФОТ за месяц без материальной помощи</t>
  </si>
  <si>
    <t xml:space="preserve"> материальной помощи</t>
  </si>
  <si>
    <t>Всего расход масла  автомобильного (л) (0,83%)</t>
  </si>
  <si>
    <t>(гр.4*гр.5)/100*8)</t>
  </si>
  <si>
    <t>(гр.4*гр.6)/100*4)</t>
  </si>
  <si>
    <t>к проекту республиканского (местного) бюджета на 2016 год</t>
  </si>
  <si>
    <t>Расчет  расхода бензина на содержание автотранспорта на 2016 год</t>
  </si>
  <si>
    <t>Кицканское лесничество</t>
  </si>
  <si>
    <t>Григориопольское лесничество</t>
  </si>
  <si>
    <t>ПОТРЕБНОСТЬ</t>
  </si>
  <si>
    <t>в горюче-смазочных материалах на рубках промежуточного пользования</t>
  </si>
  <si>
    <t>по  ГУП "Приднестровье-лес" на 2016 г. Рыбница</t>
  </si>
  <si>
    <t>Цена бензина =</t>
  </si>
  <si>
    <t>Цена дизтоплива</t>
  </si>
  <si>
    <t>руб</t>
  </si>
  <si>
    <t>Вид работ</t>
  </si>
  <si>
    <t>Общий объем работ</t>
  </si>
  <si>
    <t>Средний объем хлыста</t>
  </si>
  <si>
    <t>Зимние условия работы</t>
  </si>
  <si>
    <t>итого</t>
  </si>
  <si>
    <t>всего</t>
  </si>
  <si>
    <t>Потребн.дизтоплива на трелевку</t>
  </si>
  <si>
    <t>Потребн.бензина на валку и обрубку сучьев</t>
  </si>
  <si>
    <t>Потребн.бензина на раскряж.дров</t>
  </si>
  <si>
    <t>Потребн.бензина на раскряж.делов.</t>
  </si>
  <si>
    <t>бензина   литров</t>
  </si>
  <si>
    <t>бензина   руб.</t>
  </si>
  <si>
    <t>дизтопливо   литров</t>
  </si>
  <si>
    <t>дизтопливо   руб.</t>
  </si>
  <si>
    <t>Объем      м.куб.</t>
  </si>
  <si>
    <t>Норма на 1м.куб.</t>
  </si>
  <si>
    <t>Дизтопливо   к-во</t>
  </si>
  <si>
    <t>Бензин   к-во</t>
  </si>
  <si>
    <t>1.Прореживание</t>
  </si>
  <si>
    <t>2.Проходная</t>
  </si>
  <si>
    <t>3.Выбороч.-санитарн.</t>
  </si>
  <si>
    <t>4.Прочие рубки</t>
  </si>
  <si>
    <t>5.Трелевка</t>
  </si>
  <si>
    <t>Цена масла  =</t>
  </si>
  <si>
    <t xml:space="preserve">Цена диз.масла = </t>
  </si>
  <si>
    <t>Необходимо бензина для заготовки</t>
  </si>
  <si>
    <t>8539,19 * 12,27096              =   104784,06 руб.</t>
  </si>
  <si>
    <t xml:space="preserve">Необходимо масла для составления смеси </t>
  </si>
  <si>
    <t>8539,19 *  2%        =     171 л.</t>
  </si>
  <si>
    <t>мас.авт.</t>
  </si>
  <si>
    <t xml:space="preserve">Необходимо масла для смазки цепей пильного аппарата 50% от расхода бензина </t>
  </si>
  <si>
    <t>8539,19 *  50%        =      4270 л.</t>
  </si>
  <si>
    <t xml:space="preserve">Всего масла необходимо </t>
  </si>
  <si>
    <t>171+4270 = 4441 * 29,06280  = 129067,89 руб.</t>
  </si>
  <si>
    <t>Необходимо дизтоплива на трелевку</t>
  </si>
  <si>
    <t>2586  *  12,37860                   =32011,06 руб.</t>
  </si>
  <si>
    <t>Необходимо дизмасла</t>
  </si>
  <si>
    <t>2586  *  4,5%       =     116 л.</t>
  </si>
  <si>
    <t>диз мас.</t>
  </si>
  <si>
    <t xml:space="preserve">Всего дизмасла необходимо </t>
  </si>
  <si>
    <t>116 л.  * 31,43088                   = 3645,98 руб.</t>
  </si>
  <si>
    <t>ВСЕГО затрат на ГСМ и масло :</t>
  </si>
  <si>
    <t>Расчет  расхода бензина на содержание автотранспорта на 2016 год Рыбница</t>
  </si>
  <si>
    <t>легковые автом.</t>
  </si>
  <si>
    <t>грузовые автом.</t>
  </si>
  <si>
    <t xml:space="preserve">Затраты </t>
  </si>
  <si>
    <t xml:space="preserve">на </t>
  </si>
  <si>
    <t>затрат</t>
  </si>
  <si>
    <t>тыс.(км)</t>
  </si>
  <si>
    <t>тек.рем.</t>
  </si>
  <si>
    <t>(руб.)</t>
  </si>
  <si>
    <t>(гр.4*гр.5)/100*7)</t>
  </si>
  <si>
    <t>(гр.4*гр.6)/100*5)</t>
  </si>
  <si>
    <t>ГАЗ-5312</t>
  </si>
  <si>
    <t>А-93</t>
  </si>
  <si>
    <t>ГАЗ-53 Б</t>
  </si>
  <si>
    <t>ГАЗ-66</t>
  </si>
  <si>
    <t>ГАЗ-5201</t>
  </si>
  <si>
    <t>УАЗ-452Д</t>
  </si>
  <si>
    <t>тек.рем.груз.</t>
  </si>
  <si>
    <t>ЗИЛ-131</t>
  </si>
  <si>
    <t>ГАЗ-3110 (лг)</t>
  </si>
  <si>
    <t>УАЗ_31512 (лг)</t>
  </si>
  <si>
    <t>УАЗ-469 (лг) дуб.</t>
  </si>
  <si>
    <t>ЛУАЗ-969 (лг)</t>
  </si>
  <si>
    <t>тек.рем.лекг.</t>
  </si>
  <si>
    <t>ВАЗ-2121</t>
  </si>
  <si>
    <t>Масло авт.3,4%</t>
  </si>
  <si>
    <t>ИТОГО по автомобилям:</t>
  </si>
  <si>
    <t>час</t>
  </si>
  <si>
    <t>ДТ-75</t>
  </si>
  <si>
    <t>ДТ</t>
  </si>
  <si>
    <t>1мес</t>
  </si>
  <si>
    <t>2мес.</t>
  </si>
  <si>
    <t>МТЗ-82</t>
  </si>
  <si>
    <t>6мес.</t>
  </si>
  <si>
    <t>МТЗ-82,1</t>
  </si>
  <si>
    <t>1год</t>
  </si>
  <si>
    <t>ЭО-2621</t>
  </si>
  <si>
    <t>6мес</t>
  </si>
  <si>
    <t>Т-25</t>
  </si>
  <si>
    <t>Масло диз. 5%</t>
  </si>
  <si>
    <t>ИТОГО по трак.:</t>
  </si>
  <si>
    <t>ВСЕГО по транспорту:</t>
  </si>
  <si>
    <t>Расчет  расхода дизельного топлива на содержание автотранспорта на 2016 год по г.Бендеры</t>
  </si>
  <si>
    <t>Марка трактора</t>
  </si>
  <si>
    <t>Срок ввода в эксп.</t>
  </si>
  <si>
    <t>Норма пробега (час)</t>
  </si>
  <si>
    <t>Марка топлива</t>
  </si>
  <si>
    <t>Норма списания ГСМ (летняя) л/ч</t>
  </si>
  <si>
    <t>Норма списания ГСМ (зимняя) л/ч</t>
  </si>
  <si>
    <t>К-во расхода ГСМ летом</t>
  </si>
  <si>
    <t>К-во расхода ГСМ зимой</t>
  </si>
  <si>
    <t>Всего расход ГСМ на год</t>
  </si>
  <si>
    <t>Цена за 1000 л</t>
  </si>
  <si>
    <t>Сумма в руб.</t>
  </si>
  <si>
    <t>МТЗ -82</t>
  </si>
  <si>
    <t>д/т</t>
  </si>
  <si>
    <t>по г.  Бендеры  на 2016 г.</t>
  </si>
  <si>
    <t>итого бензина</t>
  </si>
  <si>
    <t>итого д/т</t>
  </si>
  <si>
    <t>итого сумма</t>
  </si>
  <si>
    <t>всего сумма</t>
  </si>
  <si>
    <t>м. автом.</t>
  </si>
  <si>
    <t>м. дизел.</t>
  </si>
  <si>
    <t>по г. Бендеры</t>
  </si>
  <si>
    <t>УАЗ -315201</t>
  </si>
  <si>
    <t>АИ -93</t>
  </si>
  <si>
    <t>УАЗ -3962</t>
  </si>
  <si>
    <t>ВАЗ- 2106</t>
  </si>
  <si>
    <t>ВАЗ- 2107</t>
  </si>
  <si>
    <t>ВАЗ-21213</t>
  </si>
  <si>
    <t>АИ-93</t>
  </si>
  <si>
    <t>Автовышка ЗИЛ-131</t>
  </si>
  <si>
    <t>Мазда 626</t>
  </si>
  <si>
    <t>АИ-95</t>
  </si>
  <si>
    <t>Мерседес -240</t>
  </si>
  <si>
    <t>КАМАЗ -5320</t>
  </si>
  <si>
    <t>Урал 4320 (Кран АК-8)</t>
  </si>
  <si>
    <t>МАЗ 5334</t>
  </si>
  <si>
    <t>пог.Григориополь.</t>
  </si>
  <si>
    <t>ВАЗ-21033</t>
  </si>
  <si>
    <t>А-92</t>
  </si>
  <si>
    <t>САЗ-3507</t>
  </si>
  <si>
    <t>ВАЗ-21013</t>
  </si>
  <si>
    <t>ВАЗ-21063</t>
  </si>
  <si>
    <t>Расчет  расхода дизельного топлива на содержание автотранспорта на 2016 год по Григориополю</t>
  </si>
  <si>
    <t>по г. Григориополь</t>
  </si>
  <si>
    <t>трактора</t>
  </si>
  <si>
    <t>топлива</t>
  </si>
  <si>
    <t>(час)</t>
  </si>
  <si>
    <t>(л/ч</t>
  </si>
  <si>
    <t>д/топлива</t>
  </si>
  <si>
    <t>Т-40</t>
  </si>
  <si>
    <t>ЮМЗ -6</t>
  </si>
  <si>
    <t>по  г. Григориополь на 2016 г.</t>
  </si>
  <si>
    <t>Итого бензин</t>
  </si>
  <si>
    <t>Дизельное топливо</t>
  </si>
  <si>
    <t>Итого д/т</t>
  </si>
  <si>
    <t>Всего д/т</t>
  </si>
  <si>
    <t>Всего расход ГСМ на год (100 л)</t>
  </si>
  <si>
    <t>Нормы расхода масел (в литрах) на 100 л общего расхода топлива автомобильного</t>
  </si>
  <si>
    <t>Всего расход масла автомобильного (л) (%)</t>
  </si>
  <si>
    <t>Стоимость 1000 л масла автомобильного (руб)</t>
  </si>
  <si>
    <t>Всего стоимость масла автомобильного (руб)</t>
  </si>
  <si>
    <t>Марка автомобиля</t>
  </si>
  <si>
    <t>Тариф</t>
  </si>
  <si>
    <t>Стоимость</t>
  </si>
  <si>
    <t>ремонта</t>
  </si>
  <si>
    <t>Всего расход дизельного топлива  (1000 л)</t>
  </si>
  <si>
    <t>Расходы на приобретение дизельного топлива (в рублях)</t>
  </si>
  <si>
    <t xml:space="preserve">Всего расход масла дизельного (л) </t>
  </si>
  <si>
    <t>Всего стоимость масла дизельного  (в рублях)</t>
  </si>
  <si>
    <t>Наименование медикаментов</t>
  </si>
  <si>
    <t>ед. изм.</t>
  </si>
  <si>
    <t>количество</t>
  </si>
  <si>
    <t>цена, руб.</t>
  </si>
  <si>
    <t>сумма (руб.)</t>
  </si>
  <si>
    <t>Йод</t>
  </si>
  <si>
    <t>Аспирин</t>
  </si>
  <si>
    <t>Цитрамон</t>
  </si>
  <si>
    <t>Валидол</t>
  </si>
  <si>
    <t>Вата</t>
  </si>
  <si>
    <t>Марганцовка</t>
  </si>
  <si>
    <t>Фурацелин</t>
  </si>
  <si>
    <t>Валериана</t>
  </si>
  <si>
    <t>Но-шпа</t>
  </si>
  <si>
    <t>Аптечка</t>
  </si>
  <si>
    <t>Анальгин</t>
  </si>
  <si>
    <t>Беластезин</t>
  </si>
  <si>
    <t>Уголь активированный</t>
  </si>
  <si>
    <t>фл.</t>
  </si>
  <si>
    <t>уп.</t>
  </si>
  <si>
    <t>кг</t>
  </si>
  <si>
    <t>Парацетамол</t>
  </si>
  <si>
    <t>Бинт  5х10</t>
  </si>
  <si>
    <t xml:space="preserve">Бинт  </t>
  </si>
  <si>
    <t>Раствор аммиака</t>
  </si>
  <si>
    <t>Напальчники</t>
  </si>
  <si>
    <t>Перекись водорода</t>
  </si>
  <si>
    <t>Фурозолидон</t>
  </si>
  <si>
    <t>Амиак раствор</t>
  </si>
  <si>
    <t>Лейкопластырь бактерицидный</t>
  </si>
  <si>
    <t>Лейкопластырь №10</t>
  </si>
  <si>
    <t>Фталазол</t>
  </si>
  <si>
    <t>Брил. Зелень спирт р-р 1%</t>
  </si>
  <si>
    <t>Расходы на приобретение медикаментов и перевязочных средств</t>
  </si>
  <si>
    <t>по ГУП "Приднестровье-лес" на 2016 год</t>
  </si>
  <si>
    <t>Наименование спеодежды</t>
  </si>
  <si>
    <t>Количество</t>
  </si>
  <si>
    <t>Цена, руб.</t>
  </si>
  <si>
    <t xml:space="preserve">Сумма, руб </t>
  </si>
  <si>
    <t>Лесная охрана</t>
  </si>
  <si>
    <t>Комплект летний</t>
  </si>
  <si>
    <t>Комплект зимний</t>
  </si>
  <si>
    <t>комп.</t>
  </si>
  <si>
    <t>ИТР (лесничие, помлесничих, мастера)</t>
  </si>
  <si>
    <t xml:space="preserve">Расходы на приобретение спецодежды на 2016 год </t>
  </si>
  <si>
    <t>по ГУП "Приднестровье-лес"</t>
  </si>
  <si>
    <t>Наименование 
мероприятий</t>
  </si>
  <si>
    <t xml:space="preserve">Ед.
изм.
</t>
  </si>
  <si>
    <t>1. Лесохозяйственные мероприятия</t>
  </si>
  <si>
    <t xml:space="preserve">1. Отвод лесосек под сплошные </t>
  </si>
  <si>
    <t>га</t>
  </si>
  <si>
    <t>2. Отвод лесосек под РУ и САНВ</t>
  </si>
  <si>
    <t>3. РУ и САНВ рубки, всего:</t>
  </si>
  <si>
    <t xml:space="preserve">           количество древесины</t>
  </si>
  <si>
    <t>м3</t>
  </si>
  <si>
    <t>в т.ч. а) осветление</t>
  </si>
  <si>
    <t xml:space="preserve">          б) прочистка</t>
  </si>
  <si>
    <t xml:space="preserve">          количество древесины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</si>
  <si>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</si>
  <si>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</si>
  <si>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</si>
  <si>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 xml:space="preserve">        е) рубка переформирования</t>
  </si>
  <si>
    <t>4. Прочие рубки, всего:</t>
  </si>
  <si>
    <t xml:space="preserve">         б) сплошная санитарная</t>
  </si>
  <si>
    <t xml:space="preserve">         в) рубка опасных деревьев     </t>
  </si>
  <si>
    <t xml:space="preserve">         г)реконструкция     </t>
  </si>
  <si>
    <t xml:space="preserve">         д)рубка обновления</t>
  </si>
  <si>
    <t xml:space="preserve">        е) очистка дамбы</t>
  </si>
  <si>
    <t xml:space="preserve">       ж) уборка горельника</t>
  </si>
  <si>
    <t>5. Расчистка квартальных просек</t>
  </si>
  <si>
    <t>км</t>
  </si>
  <si>
    <t>6. Изго-ние и ремонт м/з.</t>
  </si>
  <si>
    <t>2. Лесокультурные работы</t>
  </si>
  <si>
    <t>1. Посадка л/к в ГЛФ, всего</t>
  </si>
  <si>
    <t>2. Дополнение лесных культур</t>
  </si>
  <si>
    <t>3. Содействие естест. возобновл.</t>
  </si>
  <si>
    <t>4. Уход за л/к в ГЛФ, всего</t>
  </si>
  <si>
    <t>в т.ч. мехспособом</t>
  </si>
  <si>
    <t xml:space="preserve">         ручным способом</t>
  </si>
  <si>
    <t>5. Дополнительная ручная прополка</t>
  </si>
  <si>
    <t>6. Подго-ка почвы в ГЛФ, всего</t>
  </si>
  <si>
    <t>в т.ч. а) под лесопитомник</t>
  </si>
  <si>
    <t xml:space="preserve">         б) под лесные культуры</t>
  </si>
  <si>
    <t>7.Заготовка лесных семян</t>
  </si>
  <si>
    <t>8. Посев питомника</t>
  </si>
  <si>
    <t>9. Выращивание сеянцев</t>
  </si>
  <si>
    <t>т/шт.</t>
  </si>
  <si>
    <t>10. Закладка школ</t>
  </si>
  <si>
    <t>11. Выращивание саженцев</t>
  </si>
  <si>
    <t>13. Перевод л/к в покрыт. л/п</t>
  </si>
  <si>
    <t>14. Перевод площ. ест. заращив-я</t>
  </si>
  <si>
    <t>3. Лесозащитные мероприятия</t>
  </si>
  <si>
    <t>1. Текущее лесопатол. обс.</t>
  </si>
  <si>
    <t>тыс.га</t>
  </si>
  <si>
    <t>3. Биологические меры борьбы (изготовление скворечников)</t>
  </si>
  <si>
    <t>шт/га</t>
  </si>
  <si>
    <t>4. Противопожарные мероприятия</t>
  </si>
  <si>
    <t>1. Ремонт и содержание дорог</t>
  </si>
  <si>
    <t>3. Уход за минполосами</t>
  </si>
  <si>
    <t>4. Наем пожарных сторожей</t>
  </si>
  <si>
    <t>ч/дн</t>
  </si>
  <si>
    <t>5. Установка и обнов-е аншлагов</t>
  </si>
  <si>
    <t>6. Содержание лошадей</t>
  </si>
  <si>
    <t>7. Благоустройство лесов</t>
  </si>
  <si>
    <t>8. Противопожарные мероприят 
и пропоганда</t>
  </si>
  <si>
    <t>9. Работы связанные с тушением пожаров</t>
  </si>
  <si>
    <t>9. Благоустройство мест отдыха</t>
  </si>
  <si>
    <t>5.Биотехнические мероприятия</t>
  </si>
  <si>
    <t>1.Закладка кормовых полей</t>
  </si>
  <si>
    <t>2.Уход за кормовыми полями</t>
  </si>
  <si>
    <t>тн</t>
  </si>
  <si>
    <t>т.шт</t>
  </si>
  <si>
    <t>6. Выкладка веткорма</t>
  </si>
  <si>
    <t xml:space="preserve">             Р  А  С  Ч  Е  Т</t>
  </si>
  <si>
    <t>затрат з/платы, согласно технологических карт</t>
  </si>
  <si>
    <t>по Рыбницкому филиалу ГУП "Приднестровье-лес" на 2017 год.</t>
  </si>
  <si>
    <t>Наименование работ</t>
  </si>
  <si>
    <t>Ед.</t>
  </si>
  <si>
    <t xml:space="preserve">объем </t>
  </si>
  <si>
    <t>н/выраб</t>
  </si>
  <si>
    <t>кол-во</t>
  </si>
  <si>
    <t>разряд</t>
  </si>
  <si>
    <t xml:space="preserve">час.ставка </t>
  </si>
  <si>
    <t>дневн.ст.</t>
  </si>
  <si>
    <t>фонд опл</t>
  </si>
  <si>
    <t>аты труда</t>
  </si>
  <si>
    <t>изм.</t>
  </si>
  <si>
    <t>работ</t>
  </si>
  <si>
    <t>норм</t>
  </si>
  <si>
    <t>по з-нуРУ</t>
  </si>
  <si>
    <t>РУ</t>
  </si>
  <si>
    <t>1.Отвод лесосек под ЛВР и САНС</t>
  </si>
  <si>
    <t>2.Отвод лесосек под РУ и САНВ</t>
  </si>
  <si>
    <t xml:space="preserve">3.РУ и САНВ рубки </t>
  </si>
  <si>
    <t>в т.ч.</t>
  </si>
  <si>
    <t>м³</t>
  </si>
  <si>
    <t>а) Осветление</t>
  </si>
  <si>
    <t>б) Прочистка</t>
  </si>
  <si>
    <t>в) Прореживание</t>
  </si>
  <si>
    <t>г) Проходная</t>
  </si>
  <si>
    <t>д) САНВ</t>
  </si>
  <si>
    <t>4. Прочие рубки</t>
  </si>
  <si>
    <t>а) САНС</t>
  </si>
  <si>
    <t>б) Обрезка сучьев (хвойные)</t>
  </si>
  <si>
    <t>в) Устройство противопож.разрыва</t>
  </si>
  <si>
    <t>г) Лесовосстановит.рубка</t>
  </si>
  <si>
    <t>д) рубка обновления</t>
  </si>
  <si>
    <t>5. Прочистка квартальных просек</t>
  </si>
  <si>
    <t>6. Изгот.и ремонт меж.знаков</t>
  </si>
  <si>
    <t>7. Трелевка</t>
  </si>
  <si>
    <t>8. Реконструкция</t>
  </si>
  <si>
    <t>ВСЕГО по лесохозяйственному разделу:</t>
  </si>
  <si>
    <t>ЛЕСНЫЕ  КУЛЬТУРЫ</t>
  </si>
  <si>
    <t>1. Посадка леса в ГЛФ</t>
  </si>
  <si>
    <t>2. Ввод недостающих пород</t>
  </si>
  <si>
    <t>3. Уход за лесными культурами</t>
  </si>
  <si>
    <t>4. Мех.уход за лесными культурами</t>
  </si>
  <si>
    <t>5. Содействие естественному возобнов.</t>
  </si>
  <si>
    <t>6. Дополнение лесных культур</t>
  </si>
  <si>
    <t>7. Выращивание саженцев</t>
  </si>
  <si>
    <t>8. Заготовка лесных семян</t>
  </si>
  <si>
    <t>9.Законченая подготовка почвы</t>
  </si>
  <si>
    <t>10.Выращивание сеянцев</t>
  </si>
  <si>
    <t>11.Мех.подгот.почвы под питомник</t>
  </si>
  <si>
    <t>12. Закладка школ</t>
  </si>
  <si>
    <t>ВСЕГО по лесокультурному разделу:</t>
  </si>
  <si>
    <t>ЛЕСОЗАЩИТНЫЕ РАБОТЫ</t>
  </si>
  <si>
    <t>1. Текущ.лесопат.обследование</t>
  </si>
  <si>
    <t>2. Почвенные ракопки</t>
  </si>
  <si>
    <t>ям</t>
  </si>
  <si>
    <t>3. Биолог.меры борьбы</t>
  </si>
  <si>
    <t>ВСЕГО по разделу:</t>
  </si>
  <si>
    <t>ПРОТИВОПОЖАРНЫЕ МЕРОПРИЯТИЯ</t>
  </si>
  <si>
    <t>1.Работы, связан.с тушением пожаров</t>
  </si>
  <si>
    <t>2. Уход за мин.полосами</t>
  </si>
  <si>
    <t>4. Ремонт и содержание дорог</t>
  </si>
  <si>
    <t>5. Установление аншлагов</t>
  </si>
  <si>
    <t>6. Биотех.мероприятия</t>
  </si>
  <si>
    <t>т.га</t>
  </si>
  <si>
    <t>7. Наем пожарных сторожей</t>
  </si>
  <si>
    <t>8. Противопожарная пропоганда</t>
  </si>
  <si>
    <t>9. Содержание лошадей</t>
  </si>
  <si>
    <t>гол.</t>
  </si>
  <si>
    <t>10.Благоустройство лесов</t>
  </si>
  <si>
    <t>11.Благоустройство мест отдыха</t>
  </si>
  <si>
    <t>51360 (к-во норм) / 248 (раб.дн.в году) = 207 (чел.) .</t>
  </si>
  <si>
    <t>Премия 10%</t>
  </si>
  <si>
    <t>57456,32(мат.пом.)/207(чел)=277,57 РУ МЗП (мат.пом. в год на 1 чел.)</t>
  </si>
  <si>
    <t>Материальная пом.</t>
  </si>
  <si>
    <t>Всего ФОТ в год в РУ</t>
  </si>
  <si>
    <t>Т.к. сумма материальной помощи на 1 чел. Составляет 277,57 РУ МЗП</t>
  </si>
  <si>
    <t xml:space="preserve">ФОТ в месяц в РУ </t>
  </si>
  <si>
    <t>следовательно:</t>
  </si>
  <si>
    <t>Премия 10% в месяц</t>
  </si>
  <si>
    <t>Матер. Помощь в месяц</t>
  </si>
  <si>
    <t>Всего ФОТ в месяц в РУ</t>
  </si>
  <si>
    <t>277,57РУ*7,65=2123,41-2480= -356,59 руб. На 1 чел. в год</t>
  </si>
  <si>
    <t>(облаг.)</t>
  </si>
  <si>
    <t>норма выработки</t>
  </si>
  <si>
    <t>кол-во норм</t>
  </si>
  <si>
    <t>дневная тарифная ставка  (РУ МЗП)</t>
  </si>
  <si>
    <t>Часовая тарифная ставка   (РУ МЗП)</t>
  </si>
  <si>
    <t>фонд оплаты труда РУ МЗП</t>
  </si>
  <si>
    <t>Фонд оплаты труда, руб.</t>
  </si>
  <si>
    <t>Всего объем</t>
  </si>
  <si>
    <t>б/о</t>
  </si>
  <si>
    <t>7. Трелевка древесины,ручная</t>
  </si>
  <si>
    <t xml:space="preserve">     механизированная</t>
  </si>
  <si>
    <t>Итого по лесохозяйственным мероприятиям</t>
  </si>
  <si>
    <t>ФОТ</t>
  </si>
  <si>
    <t>МП</t>
  </si>
  <si>
    <t>Всего ФОТ в год</t>
  </si>
  <si>
    <t>ФОТ за м-ц</t>
  </si>
  <si>
    <t>Всего ФОТ в м-ц</t>
  </si>
  <si>
    <t>Ремонт автотранспорта на 2016 год</t>
  </si>
  <si>
    <t>Расчет расхода моторного масла на содержание автотранспорта на 2016 год по ГУП "Приднестровье-лес"</t>
  </si>
  <si>
    <t>Итого масло автомоб.</t>
  </si>
  <si>
    <t>итого масло дизельное</t>
  </si>
  <si>
    <t>всего масло дизельное</t>
  </si>
  <si>
    <t xml:space="preserve">ФОТ по сезонным работникам согласно технологических  карт на 2016 год </t>
  </si>
  <si>
    <t>ГУП "Приднестровье-лес"</t>
  </si>
  <si>
    <t>гр.</t>
  </si>
  <si>
    <t>л/а</t>
  </si>
  <si>
    <t>в т.ч л/автом.</t>
  </si>
  <si>
    <t>грузов.автом.</t>
  </si>
  <si>
    <t xml:space="preserve">                                            по ГУП "Приднестровье-лес"</t>
  </si>
  <si>
    <t xml:space="preserve"> М О Б И Л И З А Ц И Я</t>
  </si>
  <si>
    <t>Деловая</t>
  </si>
  <si>
    <t>Дрова</t>
  </si>
  <si>
    <t>Кол-во   м.куб</t>
  </si>
  <si>
    <t>Цена     за ед.</t>
  </si>
  <si>
    <t>Сумма      руб.</t>
  </si>
  <si>
    <t>Сумма     руб.</t>
  </si>
  <si>
    <t>Рыбница</t>
  </si>
  <si>
    <t>Топнорма рабочим и пенсионерам</t>
  </si>
  <si>
    <t>По нарядам Госадминистр.-дрова</t>
  </si>
  <si>
    <t>Хоз.нужды предприятия</t>
  </si>
  <si>
    <t>Хоз.расчету</t>
  </si>
  <si>
    <t>Работникам предприятия</t>
  </si>
  <si>
    <t>ВСЕГО древесины</t>
  </si>
  <si>
    <t>За реализацию посадматериала</t>
  </si>
  <si>
    <t>ВСЕГО ДОХОДОВ :</t>
  </si>
  <si>
    <t>За реализацию побочной продукции</t>
  </si>
  <si>
    <t>Всего по предприятию</t>
  </si>
  <si>
    <t>собственных средств ГУП "Приднестровье-лес" на 2016 г.</t>
  </si>
  <si>
    <t>Подразделение</t>
  </si>
  <si>
    <t>Год выпуска</t>
  </si>
  <si>
    <t>Инвентарный номер</t>
  </si>
  <si>
    <t>Балансовая стоимость, руб.</t>
  </si>
  <si>
    <t>ОБОРУДОВАНИЕ</t>
  </si>
  <si>
    <t>Отопительный аппарат</t>
  </si>
  <si>
    <t>Цех №2</t>
  </si>
  <si>
    <t>октябрь 1998 года</t>
  </si>
  <si>
    <t>Станок заточной</t>
  </si>
  <si>
    <t>Мотопомпа "Honda"</t>
  </si>
  <si>
    <t>Цех №1</t>
  </si>
  <si>
    <t>январь 2009 года</t>
  </si>
  <si>
    <t>Станок заточной "Проби"</t>
  </si>
  <si>
    <t>Кицканское лест.</t>
  </si>
  <si>
    <t>декабрь 2009 года</t>
  </si>
  <si>
    <t>Пилорама ВСГ-1000</t>
  </si>
  <si>
    <t>декабрь 2011 года</t>
  </si>
  <si>
    <t>Прицеп 4м. 785</t>
  </si>
  <si>
    <t>Григориополь</t>
  </si>
  <si>
    <t>Котёл</t>
  </si>
  <si>
    <t>05</t>
  </si>
  <si>
    <t>Прицеп 2 ПТС-4</t>
  </si>
  <si>
    <t>Карманово</t>
  </si>
  <si>
    <t>Прицеп 887</t>
  </si>
  <si>
    <t xml:space="preserve">Рельсы </t>
  </si>
  <si>
    <t>Пилорамма</t>
  </si>
  <si>
    <t>Станок</t>
  </si>
  <si>
    <t>Электроталь</t>
  </si>
  <si>
    <t>Маятник пиловочный</t>
  </si>
  <si>
    <t>Понижающий трансформатор</t>
  </si>
  <si>
    <t>УБДН-6</t>
  </si>
  <si>
    <t>Кузнечный молоток М-127</t>
  </si>
  <si>
    <t>Станок токарный</t>
  </si>
  <si>
    <t>Сеялка СПЧ-6</t>
  </si>
  <si>
    <t>Трансформатор</t>
  </si>
  <si>
    <t xml:space="preserve">Щелевая сеялка </t>
  </si>
  <si>
    <t>Плуг ПРВМ-3</t>
  </si>
  <si>
    <t>Точильно-шлифовочный станок</t>
  </si>
  <si>
    <t>Гидропресс 40 т.</t>
  </si>
  <si>
    <t xml:space="preserve">Борона БДН-3 </t>
  </si>
  <si>
    <t>Ямокопатель ОЩ-100</t>
  </si>
  <si>
    <t>Водоразлатчик ВЦ-3</t>
  </si>
  <si>
    <t>Лесопосадочный агрегат НШ-1</t>
  </si>
  <si>
    <t>Станок ФПСШ-15</t>
  </si>
  <si>
    <t>Лесопосадочная машина</t>
  </si>
  <si>
    <t>Культватор КРТ-3</t>
  </si>
  <si>
    <t>Культиватор КРН-28</t>
  </si>
  <si>
    <t>Культиватор КРТ-3</t>
  </si>
  <si>
    <t>Бензоколонка</t>
  </si>
  <si>
    <t>Рубильная установка</t>
  </si>
  <si>
    <t xml:space="preserve">Ямокопатель </t>
  </si>
  <si>
    <t>Бензопила</t>
  </si>
  <si>
    <t>Грузоподъемник навесной КОН-05</t>
  </si>
  <si>
    <t>Кусторез 343 F</t>
  </si>
  <si>
    <t>Культиватор КН-541</t>
  </si>
  <si>
    <t>Мотобур ВТ-121</t>
  </si>
  <si>
    <t>Бур для земельных работ</t>
  </si>
  <si>
    <t>Бензопила STLHC-361</t>
  </si>
  <si>
    <t>Кусторез FS 450F2/9 л.с.</t>
  </si>
  <si>
    <t>Фреза</t>
  </si>
  <si>
    <t>Лобзик</t>
  </si>
  <si>
    <t>Сварочный аппарат</t>
  </si>
  <si>
    <t xml:space="preserve">Плуг ПНЛ-3-3,5 </t>
  </si>
  <si>
    <t>Дисковой лущилник БДН-22</t>
  </si>
  <si>
    <t>Культиватор</t>
  </si>
  <si>
    <t>Ворота рез.</t>
  </si>
  <si>
    <t>Болгарка</t>
  </si>
  <si>
    <t>Бензокалонка</t>
  </si>
  <si>
    <t>Посадочная машина</t>
  </si>
  <si>
    <t xml:space="preserve">Станок ЛВ-9     </t>
  </si>
  <si>
    <t>Каменка</t>
  </si>
  <si>
    <t xml:space="preserve">Станок ЛВ-6   </t>
  </si>
  <si>
    <t xml:space="preserve">Ямокопатель      </t>
  </si>
  <si>
    <t xml:space="preserve">Плуг ПН-3,5   </t>
  </si>
  <si>
    <t xml:space="preserve">Лесопосадочная машина    </t>
  </si>
  <si>
    <t xml:space="preserve">КСК-04     </t>
  </si>
  <si>
    <t>Котел КЧМ-1</t>
  </si>
  <si>
    <t>Рашково</t>
  </si>
  <si>
    <t xml:space="preserve">Котел КВ-300 </t>
  </si>
  <si>
    <t xml:space="preserve">Трелевочное оборудование </t>
  </si>
  <si>
    <t xml:space="preserve">Кран гаражный </t>
  </si>
  <si>
    <t>Лесопит.</t>
  </si>
  <si>
    <t xml:space="preserve">Кран-балка </t>
  </si>
  <si>
    <t>Станок сверлильный</t>
  </si>
  <si>
    <t>Бетономешалка</t>
  </si>
  <si>
    <t>Борона БДТ-3</t>
  </si>
  <si>
    <t>Бульдозерное устройство</t>
  </si>
  <si>
    <t xml:space="preserve">Плуг ПН </t>
  </si>
  <si>
    <t>Лущильник ЛД-5</t>
  </si>
  <si>
    <t>Культиватор КПН-4</t>
  </si>
  <si>
    <t>Косилка КРН-2,1</t>
  </si>
  <si>
    <t>Плуг ВПН-2</t>
  </si>
  <si>
    <t>Культиватор КРН-2,8</t>
  </si>
  <si>
    <t>Плуг ВПН-2,5</t>
  </si>
  <si>
    <t>Косилка ИКС-3</t>
  </si>
  <si>
    <t>Сеялка СОН -2,8</t>
  </si>
  <si>
    <t>Борона БДТ -3</t>
  </si>
  <si>
    <t>Плуг ПЛН -3,5</t>
  </si>
  <si>
    <t>Террасер</t>
  </si>
  <si>
    <t>Сажальная машина</t>
  </si>
  <si>
    <t>Опрыскиватель</t>
  </si>
  <si>
    <t>Культиватор КГР-3,6</t>
  </si>
  <si>
    <t xml:space="preserve">Сушилка-печь ПАП </t>
  </si>
  <si>
    <t>Плоть</t>
  </si>
  <si>
    <t xml:space="preserve">Электротельфер         </t>
  </si>
  <si>
    <t>Электропечь ПАП</t>
  </si>
  <si>
    <t>Ямокопатель</t>
  </si>
  <si>
    <t>Культиватор ПРВН</t>
  </si>
  <si>
    <t>Культиватор ПН-4-35</t>
  </si>
  <si>
    <t>Лесопосадочная машина 914-15</t>
  </si>
  <si>
    <t>Культиватор КРН-2,1</t>
  </si>
  <si>
    <t>Ямокопатель КЯУ-100</t>
  </si>
  <si>
    <t>Прицеп</t>
  </si>
  <si>
    <t xml:space="preserve">Водораздатчик         </t>
  </si>
  <si>
    <t>Воронково</t>
  </si>
  <si>
    <t xml:space="preserve">Прицеп 2 ПТС -4 </t>
  </si>
  <si>
    <t>Прицеп ПТТ-2</t>
  </si>
  <si>
    <t>Плуг ПН -4-35</t>
  </si>
  <si>
    <t>Культиватор КРН-4,2</t>
  </si>
  <si>
    <t>Сеялка СУПН -8</t>
  </si>
  <si>
    <t>Фреза ФЛУ -0,8</t>
  </si>
  <si>
    <t xml:space="preserve">Террасер                                        </t>
  </si>
  <si>
    <t>Культиватор ПРВН -2,5</t>
  </si>
  <si>
    <t xml:space="preserve">Лопата бульдозерная </t>
  </si>
  <si>
    <t>Газовый шкаф</t>
  </si>
  <si>
    <t xml:space="preserve">Плуг ПЛН -6-45      </t>
  </si>
  <si>
    <t>Дубоссары</t>
  </si>
  <si>
    <t>Плуг ПЛН -4-35</t>
  </si>
  <si>
    <t>Культиватор КРН</t>
  </si>
  <si>
    <t>Сеялка СПЧ -6</t>
  </si>
  <si>
    <t>Плуг-плоскорез ПРВН</t>
  </si>
  <si>
    <t xml:space="preserve">КДУ             </t>
  </si>
  <si>
    <t>Центр.ус-ба</t>
  </si>
  <si>
    <t>Прицеп ММЗ -768Б</t>
  </si>
  <si>
    <t>Станок шлифовально-вертикальный</t>
  </si>
  <si>
    <t>Станок расточной</t>
  </si>
  <si>
    <t>Пресс гидравлический</t>
  </si>
  <si>
    <t>Таль электрическая</t>
  </si>
  <si>
    <t>Компрессор</t>
  </si>
  <si>
    <t>Станок вертикально-сверлильный</t>
  </si>
  <si>
    <t>Станок отделочно-шлифовальный</t>
  </si>
  <si>
    <t>Станок настольно-сверлильный</t>
  </si>
  <si>
    <t>Станок настольно-токарный</t>
  </si>
  <si>
    <t>Станок комбинированный</t>
  </si>
  <si>
    <t>Станок шлифовально-клапальный</t>
  </si>
  <si>
    <t>Станок поперечно-строгальный</t>
  </si>
  <si>
    <t>Молот пневмонический</t>
  </si>
  <si>
    <t>Трансформатор сварочный</t>
  </si>
  <si>
    <t>Станок деревообрабатывающий</t>
  </si>
  <si>
    <t>Притцеп 2ПТС-4</t>
  </si>
  <si>
    <t>Ращково</t>
  </si>
  <si>
    <t>Агрегат диск АГ-2,4-20</t>
  </si>
  <si>
    <t>Плуг ПЛ-Н 3-35-40</t>
  </si>
  <si>
    <t>ХОЗЯЙСТВЕННЫЙ ИНВЕНТАРЬ</t>
  </si>
  <si>
    <t>Бензопила "HUSGVARNA"</t>
  </si>
  <si>
    <t>Бензопила "HUSGVARNA-55"</t>
  </si>
  <si>
    <t>Бензопила "HUSGVARNA-137"</t>
  </si>
  <si>
    <t>Бензопила "HUSGVARNA-357"</t>
  </si>
  <si>
    <t>февраль 2010 года</t>
  </si>
  <si>
    <t>Бур для зем. работ (шнэк) 200 м</t>
  </si>
  <si>
    <t>Кусторез 343 F "HUSGVARNA"</t>
  </si>
  <si>
    <t>август 2010 года</t>
  </si>
  <si>
    <t>Плуг ПН-335</t>
  </si>
  <si>
    <t>Миниэлектростанция</t>
  </si>
  <si>
    <t>Плуг ПНЛ-335</t>
  </si>
  <si>
    <t>Культиватор Т-250 S</t>
  </si>
  <si>
    <t>Культиватор "HONDA"</t>
  </si>
  <si>
    <t>Мотобур "STIV BT"</t>
  </si>
  <si>
    <t>Мотоопрыскиватель EFKO</t>
  </si>
  <si>
    <t>Бензопила STIHL 361-4,6 л.с.</t>
  </si>
  <si>
    <t>июнь 2011 года</t>
  </si>
  <si>
    <t>июль 2011 года</t>
  </si>
  <si>
    <t>Мотобур "STIV BT-121"</t>
  </si>
  <si>
    <t>Бур для зем. работ 200 м</t>
  </si>
  <si>
    <t>Бур для зем. работ 120 м</t>
  </si>
  <si>
    <t>Навес для сушки орех</t>
  </si>
  <si>
    <t>75а</t>
  </si>
  <si>
    <t>Цистерна 50 м.куб.</t>
  </si>
  <si>
    <t>Цистерна 6 м.куб.</t>
  </si>
  <si>
    <t>Система орошения</t>
  </si>
  <si>
    <t xml:space="preserve">Дорога в Обход </t>
  </si>
  <si>
    <t>Забор 200 м.</t>
  </si>
  <si>
    <t>Цистерна ГСМ 5 м.куб.</t>
  </si>
  <si>
    <t>Вагон-дом</t>
  </si>
  <si>
    <t>Забор дерев.</t>
  </si>
  <si>
    <t>Забор мет.</t>
  </si>
  <si>
    <t>Ёмкость для воды</t>
  </si>
  <si>
    <t>Цистерна</t>
  </si>
  <si>
    <t>Забор обх.№2</t>
  </si>
  <si>
    <t>Лошадь (Моисеев)</t>
  </si>
  <si>
    <t>Лошадь (Ребежа)</t>
  </si>
  <si>
    <t>Лошадь (Ктитор)</t>
  </si>
  <si>
    <t>Сейф металический</t>
  </si>
  <si>
    <t>07</t>
  </si>
  <si>
    <t xml:space="preserve">Газовая плита </t>
  </si>
  <si>
    <t>ПЭВМ (Компьютер)</t>
  </si>
  <si>
    <t>Кассовый аппарат "Меркурий"</t>
  </si>
  <si>
    <t>Газовый котел</t>
  </si>
  <si>
    <t>Копир. аппр. "Canon-128"</t>
  </si>
  <si>
    <t>Радиостанция</t>
  </si>
  <si>
    <t>Мотопомпа</t>
  </si>
  <si>
    <t>Мотоопрыскиватель</t>
  </si>
  <si>
    <t>Факс. аппар. "Panasonic"</t>
  </si>
  <si>
    <t>Компьютер "Samsung"</t>
  </si>
  <si>
    <t>Принтер "Canon MF"</t>
  </si>
  <si>
    <t>Эл.таль</t>
  </si>
  <si>
    <t>Телефон мобильный</t>
  </si>
  <si>
    <t>Ружьё охотничье 2 шт.</t>
  </si>
  <si>
    <t>Столы 2 шт.</t>
  </si>
  <si>
    <t>Туалет деревянный</t>
  </si>
  <si>
    <t>Огнетушитель 2 шт.</t>
  </si>
  <si>
    <t>Счетчик однофазный</t>
  </si>
  <si>
    <t>Стол</t>
  </si>
  <si>
    <t>Стол 2-х тумб.</t>
  </si>
  <si>
    <t>Стол руководителя</t>
  </si>
  <si>
    <t>Счетчик газовый</t>
  </si>
  <si>
    <t>Весы</t>
  </si>
  <si>
    <t>Счетчик трехфазный</t>
  </si>
  <si>
    <t>Ковер</t>
  </si>
  <si>
    <t>Счетчик для воды</t>
  </si>
  <si>
    <t>Пылесос</t>
  </si>
  <si>
    <t>Радиатор</t>
  </si>
  <si>
    <t>Эл.дрель</t>
  </si>
  <si>
    <t>Дисковые пилы</t>
  </si>
  <si>
    <t>Огнетушитель</t>
  </si>
  <si>
    <t>Ленточная шлиф. машина</t>
  </si>
  <si>
    <t>ЛКБ шуруповерт</t>
  </si>
  <si>
    <t>Наружный водопровод</t>
  </si>
  <si>
    <t>03</t>
  </si>
  <si>
    <t>Наружное освещение</t>
  </si>
  <si>
    <t>04</t>
  </si>
  <si>
    <t>Освещение ЛЭП</t>
  </si>
  <si>
    <t>Компьютер в комплекте</t>
  </si>
  <si>
    <t>Компьютер  XEROX</t>
  </si>
  <si>
    <t>Компьютер  SAMSUHG</t>
  </si>
  <si>
    <t>Компьютер  DELUX</t>
  </si>
  <si>
    <t xml:space="preserve">Кассовый аппарат  МИНИ-500,02 МЕ </t>
  </si>
  <si>
    <t xml:space="preserve">Цистерна 2-х м³               </t>
  </si>
  <si>
    <t xml:space="preserve">Цистерна 3-х м³  </t>
  </si>
  <si>
    <t xml:space="preserve">Цистерна 3-х м³              </t>
  </si>
  <si>
    <t xml:space="preserve">Цистерна 3-х м³         </t>
  </si>
  <si>
    <t xml:space="preserve">Цистерна 3-х м³             </t>
  </si>
  <si>
    <t xml:space="preserve">Цистерна 4-х м³ </t>
  </si>
  <si>
    <t xml:space="preserve">Цистерна 4-х м³         </t>
  </si>
  <si>
    <t xml:space="preserve">Цистерна 4-х м³               </t>
  </si>
  <si>
    <t xml:space="preserve">Цистерна 5-х м³ </t>
  </si>
  <si>
    <t xml:space="preserve">Цистерна 5-х м³     </t>
  </si>
  <si>
    <t xml:space="preserve">Цистерна 5-х м³   </t>
  </si>
  <si>
    <t xml:space="preserve">Цистерна 5-х м³    </t>
  </si>
  <si>
    <t xml:space="preserve">Зона отдыха "Пчелка"    </t>
  </si>
  <si>
    <t xml:space="preserve">Забор с металлической сеткой   </t>
  </si>
  <si>
    <t xml:space="preserve">Забор с воротами </t>
  </si>
  <si>
    <t>Внешний водопровод</t>
  </si>
  <si>
    <t>Ксерокс</t>
  </si>
  <si>
    <t>Факс</t>
  </si>
  <si>
    <t>Телевизор LG</t>
  </si>
  <si>
    <t>Кассетный магнитофон</t>
  </si>
  <si>
    <t>Сканер-принтер</t>
  </si>
  <si>
    <t xml:space="preserve">Подвода    </t>
  </si>
  <si>
    <t xml:space="preserve">Весы однотонные           </t>
  </si>
  <si>
    <t xml:space="preserve">Ворота   </t>
  </si>
  <si>
    <t xml:space="preserve">Кузов съемный          </t>
  </si>
  <si>
    <t xml:space="preserve">Бензоколонка </t>
  </si>
  <si>
    <t xml:space="preserve">Бензоколонка             </t>
  </si>
  <si>
    <t xml:space="preserve">Комплект наладчика             </t>
  </si>
  <si>
    <t xml:space="preserve">Секор                 </t>
  </si>
  <si>
    <t xml:space="preserve">Резервуар                   </t>
  </si>
  <si>
    <t xml:space="preserve">Лошадь           </t>
  </si>
  <si>
    <t xml:space="preserve">Лошадь          </t>
  </si>
  <si>
    <t xml:space="preserve">Лошадь    </t>
  </si>
  <si>
    <t>Беседка ур.Ситишки</t>
  </si>
  <si>
    <t>Беседка Ур.М.Кут</t>
  </si>
  <si>
    <t>Стоимость инвентаря и оборудования  по ГУП "Приднестровье-лес"  на 2016 г.</t>
  </si>
  <si>
    <t>Стоимость зданий и сооружений на балансе ГУП "Приднестровье-лес" на 2016 г.</t>
  </si>
  <si>
    <t>Наименование объекта</t>
  </si>
  <si>
    <t>Юридический адрес</t>
  </si>
  <si>
    <t>Год ввода в экспл.</t>
  </si>
  <si>
    <t>Этажность</t>
  </si>
  <si>
    <t>Инженерное обеспечение</t>
  </si>
  <si>
    <t>Водозаборная скважина №507</t>
  </si>
  <si>
    <t>с.Меренешты</t>
  </si>
  <si>
    <t>декабрь 2008 год</t>
  </si>
  <si>
    <t>вода</t>
  </si>
  <si>
    <t>Контора лесничества</t>
  </si>
  <si>
    <t>г.Тирасполь, Одесское шоссе дом 5</t>
  </si>
  <si>
    <t>октябрь 1998 год</t>
  </si>
  <si>
    <t>вода, газ (неподключен), электоэнергия</t>
  </si>
  <si>
    <t>Гараж</t>
  </si>
  <si>
    <t>электоэнергия</t>
  </si>
  <si>
    <t>Кордон с сараем</t>
  </si>
  <si>
    <t>Обход №1</t>
  </si>
  <si>
    <t>октябрь 1994 год</t>
  </si>
  <si>
    <t>Обход №3</t>
  </si>
  <si>
    <t>Кордон с сараем и подвалом</t>
  </si>
  <si>
    <t>Обход №4</t>
  </si>
  <si>
    <t xml:space="preserve">Кордон 2-х комнат.  с сараем </t>
  </si>
  <si>
    <t>Обход №6</t>
  </si>
  <si>
    <t xml:space="preserve">Кордон </t>
  </si>
  <si>
    <t>Обход №8 (сейчас №7)</t>
  </si>
  <si>
    <t>Водонапорная скважина</t>
  </si>
  <si>
    <t>Кицканское лесн.</t>
  </si>
  <si>
    <t>Цех корзиноплетения</t>
  </si>
  <si>
    <t>г.Тирасполь, Одесское шоссе дом 64</t>
  </si>
  <si>
    <t>Контора цеха</t>
  </si>
  <si>
    <t>Кордон Карманово</t>
  </si>
  <si>
    <t>Сарай обх. Карманово</t>
  </si>
  <si>
    <t>Навес для тракторов</t>
  </si>
  <si>
    <t>Кузница</t>
  </si>
  <si>
    <t>Склад ГСМ</t>
  </si>
  <si>
    <t>Кордон №13</t>
  </si>
  <si>
    <t>Кордон №2</t>
  </si>
  <si>
    <t>Григориополь ул. Деменчак</t>
  </si>
  <si>
    <t>Кордон №4</t>
  </si>
  <si>
    <t>Григориополь ул.Попова</t>
  </si>
  <si>
    <t>Кордон №5</t>
  </si>
  <si>
    <t>Григориополь ул.Джемонат</t>
  </si>
  <si>
    <t>Кордон №6</t>
  </si>
  <si>
    <t>Григориополь ул.Придорожная</t>
  </si>
  <si>
    <t>Кордон №10</t>
  </si>
  <si>
    <t>Григориополь ул.Тимуш</t>
  </si>
  <si>
    <t>Цех деревообработки</t>
  </si>
  <si>
    <t>Кордон Малаешты</t>
  </si>
  <si>
    <t>Григориополь с.Малаешты</t>
  </si>
  <si>
    <t>Здание лесничества</t>
  </si>
  <si>
    <t>Григориополь ул.Энгельса</t>
  </si>
  <si>
    <t>Кордон  Гыртоп</t>
  </si>
  <si>
    <t>Карманово с.Мокряки</t>
  </si>
  <si>
    <t>Овощеводческая бригада</t>
  </si>
  <si>
    <t>Сарай обх. №6</t>
  </si>
  <si>
    <t>Контора лесхоза</t>
  </si>
  <si>
    <t xml:space="preserve">г.Рыбница                           ул. Гвардейская,92  </t>
  </si>
  <si>
    <t>одноэтаж.</t>
  </si>
  <si>
    <t>отопление газ.                            электроэнергия</t>
  </si>
  <si>
    <t>Квартира подвал .</t>
  </si>
  <si>
    <t xml:space="preserve">г.Рыбница                        ул.Бородинская 8/4 </t>
  </si>
  <si>
    <t>полуподвал</t>
  </si>
  <si>
    <t>вода,                         эл.энергния</t>
  </si>
  <si>
    <t>Рем.мастерская</t>
  </si>
  <si>
    <t xml:space="preserve"> г.Рыбница                   ул.Гвардеиская 92</t>
  </si>
  <si>
    <t>эл.энергия</t>
  </si>
  <si>
    <t>Склад  хозяйственный</t>
  </si>
  <si>
    <t>г.Рыбница        ул.Гвардейская  92</t>
  </si>
  <si>
    <t>Склад цемента</t>
  </si>
  <si>
    <t>г.Рыбница       ул.Гвардейская 92</t>
  </si>
  <si>
    <t>Склад лек.сырья</t>
  </si>
  <si>
    <t>г.Рыбница          ул.Гвардейская 92</t>
  </si>
  <si>
    <t>Кордон обх.№3</t>
  </si>
  <si>
    <t>с.Окница</t>
  </si>
  <si>
    <t>печка,эл.энергия</t>
  </si>
  <si>
    <t>Кордон обх.№ 5</t>
  </si>
  <si>
    <t>ур.Малый кут</t>
  </si>
  <si>
    <t>Кордон обх.№9</t>
  </si>
  <si>
    <t>с.Баданы</t>
  </si>
  <si>
    <t>печка.эл.энергия</t>
  </si>
  <si>
    <t>Кордон обх.№2</t>
  </si>
  <si>
    <t>с.Кузьмин</t>
  </si>
  <si>
    <t>Жилой дом 2-х квартир.</t>
  </si>
  <si>
    <t>с.Кошары</t>
  </si>
  <si>
    <t>печка</t>
  </si>
  <si>
    <t>г.Каменка   ул. Первомаиская 1</t>
  </si>
  <si>
    <t>печка,эн.энергия</t>
  </si>
  <si>
    <t>г.Каменка  ул.Первомайская   1</t>
  </si>
  <si>
    <t>Навес гаражный с/х маш.</t>
  </si>
  <si>
    <t>г.Каменка   ул.Первомайская 1</t>
  </si>
  <si>
    <t>Цех корзиноплетелия</t>
  </si>
  <si>
    <t>Сарай обх.№ 5</t>
  </si>
  <si>
    <t>Сарай обх.№3</t>
  </si>
  <si>
    <t>Контора лесничества(1/2)</t>
  </si>
  <si>
    <t>с.Рашково</t>
  </si>
  <si>
    <t>двухэтаж.</t>
  </si>
  <si>
    <t>Кордон обх.№ 1</t>
  </si>
  <si>
    <t>Сарай обх.№1</t>
  </si>
  <si>
    <t>с.Константиновка</t>
  </si>
  <si>
    <t>Кордон обх.№4</t>
  </si>
  <si>
    <t>с.Катериновка</t>
  </si>
  <si>
    <t>Сарай обх.№4</t>
  </si>
  <si>
    <t>печка, эл.энергия</t>
  </si>
  <si>
    <t>Сарай при доме</t>
  </si>
  <si>
    <t>эл.эненргия</t>
  </si>
  <si>
    <t>Навес для с/х машин</t>
  </si>
  <si>
    <t>эл.энергия,печка</t>
  </si>
  <si>
    <t>Склад ядохимикатов</t>
  </si>
  <si>
    <t>Склад лесных семян</t>
  </si>
  <si>
    <t>Дом лесничества</t>
  </si>
  <si>
    <t>с.Плоть</t>
  </si>
  <si>
    <t>Склад с/х машин</t>
  </si>
  <si>
    <t>Тех.служба</t>
  </si>
  <si>
    <t>с.Ержово</t>
  </si>
  <si>
    <t>Кордон обх.№5</t>
  </si>
  <si>
    <t>с.Б.Молокиш</t>
  </si>
  <si>
    <t>Служба при корд.обх.№5</t>
  </si>
  <si>
    <t xml:space="preserve"> с.Б.Молокиш</t>
  </si>
  <si>
    <t>эл.энгергия</t>
  </si>
  <si>
    <t>с.М.Молокиш</t>
  </si>
  <si>
    <t>с.Белочи</t>
  </si>
  <si>
    <t>Сарай обх.№2</t>
  </si>
  <si>
    <t>Летн.кухня при обх.№3</t>
  </si>
  <si>
    <t>с.Ульма</t>
  </si>
  <si>
    <t>Кордон обх.№7</t>
  </si>
  <si>
    <t>с.Ленино</t>
  </si>
  <si>
    <t>г.Рыбница ул.Степная 196</t>
  </si>
  <si>
    <t>с.Воронково</t>
  </si>
  <si>
    <t>Жилой дом</t>
  </si>
  <si>
    <t>с.Шмалена</t>
  </si>
  <si>
    <t>Служба Извораш</t>
  </si>
  <si>
    <t>Сарай обхода №3</t>
  </si>
  <si>
    <t>Жилой дом 2-х кварт.</t>
  </si>
  <si>
    <t>г.Дубоссары              ур.Марьина Роща</t>
  </si>
  <si>
    <t>Кордон обх.№6</t>
  </si>
  <si>
    <t>г.Дубоссары         ур.Марьина Роща</t>
  </si>
  <si>
    <t>печка эл.энергия</t>
  </si>
  <si>
    <t>Служба бригадная</t>
  </si>
  <si>
    <t>г.Дубоссары        ур.Марьина Роща</t>
  </si>
  <si>
    <t>Служба при кордоне №6</t>
  </si>
  <si>
    <t>Животноводческая служба</t>
  </si>
  <si>
    <t>г.Дубоссары     ур.Марьина Роща</t>
  </si>
  <si>
    <t>01</t>
  </si>
  <si>
    <t>73</t>
  </si>
  <si>
    <t>75</t>
  </si>
  <si>
    <t>09</t>
  </si>
  <si>
    <t>10</t>
  </si>
  <si>
    <t>14</t>
  </si>
  <si>
    <t>86</t>
  </si>
  <si>
    <t>87</t>
  </si>
  <si>
    <t>88</t>
  </si>
  <si>
    <t>90</t>
  </si>
  <si>
    <t>89</t>
  </si>
  <si>
    <t>149</t>
  </si>
  <si>
    <t>02</t>
  </si>
  <si>
    <t>103</t>
  </si>
  <si>
    <t>127</t>
  </si>
  <si>
    <t>128</t>
  </si>
  <si>
    <t>150</t>
  </si>
  <si>
    <t>181</t>
  </si>
  <si>
    <t>Исполнитель________________________________</t>
  </si>
  <si>
    <t>Исполнитель______________________________</t>
  </si>
  <si>
    <t>Исполнитель__________________________</t>
  </si>
  <si>
    <t>Исполнитель_________________________</t>
  </si>
  <si>
    <t>Исполнитель___________________________</t>
  </si>
  <si>
    <t>50204 (к-во норм)/248 (раб. дней в году)=202  чел.</t>
  </si>
  <si>
    <t>Доходов</t>
  </si>
  <si>
    <t>Трансферты- всего</t>
  </si>
  <si>
    <t>Доходы</t>
  </si>
  <si>
    <t>Дотация</t>
  </si>
  <si>
    <t>Трансферты</t>
  </si>
  <si>
    <t>55552,19 (ру мп)/202 = 275  (румп в год на 1 чел.)</t>
  </si>
  <si>
    <t>1. Заготовка сена</t>
  </si>
  <si>
    <t>2. Заготовка веткорма</t>
  </si>
  <si>
    <t>3. Выкладка сена</t>
  </si>
  <si>
    <t>4. Строит-во и ремонт кормушек</t>
  </si>
  <si>
    <t>5. Изго-е и ремонт аншлагов</t>
  </si>
  <si>
    <t>6.Выкладка зерноотходов и зерна</t>
  </si>
  <si>
    <t>275 РУ *7,8 = 2145 руб.</t>
  </si>
  <si>
    <t>Таблица № 2.3</t>
  </si>
  <si>
    <t xml:space="preserve">Расчет доплаты по доведению заработной платы до уровня минимального размера оплаты труда </t>
  </si>
  <si>
    <t>к проекту республиканского (местного) бюджета на 2020 год</t>
  </si>
  <si>
    <t>(наименование министерства, коды по функциональной и организационной классификации, целевых статей, видов расходов)</t>
  </si>
  <si>
    <t>,</t>
  </si>
  <si>
    <t>по ГУП "Приднесровье-лес"</t>
  </si>
  <si>
    <t>Взносы в бюджет</t>
  </si>
  <si>
    <t>Приобретение  непроизводственного  оборудования</t>
  </si>
  <si>
    <t>Оплата за выполнение работы  по договорам</t>
  </si>
  <si>
    <t>Наименование мероприятий</t>
  </si>
  <si>
    <t xml:space="preserve">Сумма,                 руб. </t>
  </si>
  <si>
    <t>"О республиканском бюджете на 2024 год"</t>
  </si>
  <si>
    <t>1.1.</t>
  </si>
  <si>
    <t>1.2.</t>
  </si>
  <si>
    <t>1.3.</t>
  </si>
  <si>
    <t>1.4.</t>
  </si>
  <si>
    <t>2.1.</t>
  </si>
  <si>
    <t>3.3.</t>
  </si>
  <si>
    <t>4.2.</t>
  </si>
  <si>
    <t>2.2.</t>
  </si>
  <si>
    <t>2.3.</t>
  </si>
  <si>
    <t>2.4.</t>
  </si>
  <si>
    <t>Мониторинг животного мира Приднестровья</t>
  </si>
  <si>
    <t>Уплата налогов и сборов в бюджеты</t>
  </si>
  <si>
    <t>Исследование современного состояния и сохранение флористического и фитоценотического разнообразия в условиях изменения климата Приднестровья</t>
  </si>
  <si>
    <t>3.1.</t>
  </si>
  <si>
    <t>3.2.</t>
  </si>
  <si>
    <t>3.4.</t>
  </si>
  <si>
    <t>4.1.</t>
  </si>
  <si>
    <t>5.1.</t>
  </si>
  <si>
    <t>5.2.</t>
  </si>
  <si>
    <t xml:space="preserve">Улучшение и сохранение качества окружающей среды Приднестровской Молдавской Республики </t>
  </si>
  <si>
    <t>Приложение № 2.28</t>
  </si>
  <si>
    <t xml:space="preserve"> Смета расходов на финансирование государственного  заказа по проведению  экологического мониторинга и моделирования состояния окружающей среды государственным унитарным предприятием  "Республиканский научно-исследовательский институт экологии" на  2024 год</t>
  </si>
  <si>
    <t>Методы сохранения, размножения и использования фиторазнообразия лесных экосистем Приднестровья и создание особо ценных популяций насаждений различного целевого назначения</t>
  </si>
  <si>
    <t>к  Закону Приднестровской Молдавской Республики</t>
  </si>
  <si>
    <t xml:space="preserve">Административно-хозяйственные расходы </t>
  </si>
  <si>
    <t>Гидробиологический мониторинг экосистемы реки Днестр на 2023-2025 гг., в т.ч. мониторинг качественных характеристик популяций безпозвоночных гидробионтов и ихтиофауны реки Днестр</t>
  </si>
  <si>
    <t>Оплата за выполнение работы  по договорам гражданско-правового характера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</si>
</sst>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_р_._-;_-@_-"/>
    <numFmt numFmtId="176" formatCode="0.0"/>
    <numFmt numFmtId="177" formatCode="#,##0.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#,##0.00000"/>
    <numFmt numFmtId="187" formatCode="#,##0.0000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#,##0.000000"/>
    <numFmt numFmtId="195" formatCode="#,##0.0000000"/>
    <numFmt numFmtId="196" formatCode="[$-FC19]d\ mmmm\ yyyy\ &quot;г.&quot;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" fontId="15" fillId="0" borderId="33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8" fillId="0" borderId="33" xfId="0" applyNumberFormat="1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8" fillId="0" borderId="3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8" fillId="0" borderId="33" xfId="0" applyNumberFormat="1" applyFont="1" applyBorder="1" applyAlignment="1">
      <alignment horizontal="right"/>
    </xf>
    <xf numFmtId="0" fontId="13" fillId="0" borderId="3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3" fillId="0" borderId="3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8" fillId="0" borderId="34" xfId="56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4" fillId="0" borderId="16" xfId="56" applyFont="1" applyBorder="1" applyAlignment="1">
      <alignment vertical="center" wrapText="1"/>
      <protection/>
    </xf>
    <xf numFmtId="0" fontId="15" fillId="0" borderId="16" xfId="0" applyFont="1" applyBorder="1" applyAlignment="1">
      <alignment/>
    </xf>
    <xf numFmtId="0" fontId="8" fillId="0" borderId="16" xfId="0" applyFont="1" applyBorder="1" applyAlignment="1">
      <alignment horizontal="justify"/>
    </xf>
    <xf numFmtId="0" fontId="4" fillId="0" borderId="35" xfId="56" applyFont="1" applyBorder="1" applyAlignment="1">
      <alignment vertical="center" wrapText="1"/>
      <protection/>
    </xf>
    <xf numFmtId="0" fontId="8" fillId="0" borderId="12" xfId="0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34" xfId="56" applyFont="1" applyBorder="1" applyAlignment="1">
      <alignment horizontal="center" vertical="center"/>
      <protection/>
    </xf>
    <xf numFmtId="0" fontId="8" fillId="0" borderId="38" xfId="56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26" xfId="0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0" fillId="0" borderId="4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4" fontId="4" fillId="0" borderId="44" xfId="0" applyNumberFormat="1" applyFont="1" applyFill="1" applyBorder="1" applyAlignment="1" applyProtection="1">
      <alignment vertical="justify"/>
      <protection/>
    </xf>
    <xf numFmtId="4" fontId="4" fillId="0" borderId="27" xfId="0" applyNumberFormat="1" applyFont="1" applyFill="1" applyBorder="1" applyAlignment="1" applyProtection="1">
      <alignment vertical="justify"/>
      <protection/>
    </xf>
    <xf numFmtId="4" fontId="7" fillId="0" borderId="0" xfId="0" applyNumberFormat="1" applyFont="1" applyAlignment="1">
      <alignment/>
    </xf>
    <xf numFmtId="3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2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48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7" fillId="34" borderId="46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0" fontId="4" fillId="0" borderId="49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2" fontId="4" fillId="0" borderId="41" xfId="0" applyNumberFormat="1" applyFont="1" applyBorder="1" applyAlignment="1">
      <alignment/>
    </xf>
    <xf numFmtId="0" fontId="20" fillId="0" borderId="39" xfId="0" applyFont="1" applyBorder="1" applyAlignment="1">
      <alignment/>
    </xf>
    <xf numFmtId="2" fontId="7" fillId="0" borderId="41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68" fillId="0" borderId="0" xfId="0" applyFont="1" applyAlignment="1">
      <alignment/>
    </xf>
    <xf numFmtId="0" fontId="23" fillId="0" borderId="0" xfId="0" applyFont="1" applyAlignment="1">
      <alignment/>
    </xf>
    <xf numFmtId="184" fontId="23" fillId="0" borderId="26" xfId="0" applyNumberFormat="1" applyFont="1" applyBorder="1" applyAlignment="1">
      <alignment/>
    </xf>
    <xf numFmtId="184" fontId="22" fillId="0" borderId="21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68" fillId="0" borderId="43" xfId="0" applyFont="1" applyBorder="1" applyAlignment="1">
      <alignment wrapText="1"/>
    </xf>
    <xf numFmtId="0" fontId="68" fillId="0" borderId="50" xfId="0" applyFont="1" applyBorder="1" applyAlignment="1">
      <alignment wrapText="1"/>
    </xf>
    <xf numFmtId="0" fontId="68" fillId="0" borderId="51" xfId="0" applyFont="1" applyBorder="1" applyAlignment="1">
      <alignment wrapText="1"/>
    </xf>
    <xf numFmtId="0" fontId="68" fillId="0" borderId="52" xfId="0" applyFont="1" applyBorder="1" applyAlignment="1">
      <alignment wrapText="1"/>
    </xf>
    <xf numFmtId="0" fontId="68" fillId="0" borderId="53" xfId="0" applyFont="1" applyBorder="1" applyAlignment="1">
      <alignment wrapText="1"/>
    </xf>
    <xf numFmtId="0" fontId="68" fillId="0" borderId="54" xfId="0" applyFont="1" applyBorder="1" applyAlignment="1">
      <alignment wrapText="1"/>
    </xf>
    <xf numFmtId="0" fontId="68" fillId="0" borderId="48" xfId="0" applyFont="1" applyBorder="1" applyAlignment="1">
      <alignment wrapText="1"/>
    </xf>
    <xf numFmtId="0" fontId="68" fillId="0" borderId="55" xfId="0" applyFont="1" applyBorder="1" applyAlignment="1">
      <alignment wrapText="1"/>
    </xf>
    <xf numFmtId="0" fontId="68" fillId="0" borderId="45" xfId="0" applyFont="1" applyBorder="1" applyAlignment="1">
      <alignment/>
    </xf>
    <xf numFmtId="0" fontId="68" fillId="0" borderId="46" xfId="0" applyFont="1" applyBorder="1" applyAlignment="1">
      <alignment/>
    </xf>
    <xf numFmtId="0" fontId="68" fillId="0" borderId="56" xfId="0" applyFont="1" applyBorder="1" applyAlignment="1">
      <alignment/>
    </xf>
    <xf numFmtId="0" fontId="68" fillId="0" borderId="57" xfId="0" applyFont="1" applyBorder="1" applyAlignment="1">
      <alignment/>
    </xf>
    <xf numFmtId="0" fontId="68" fillId="0" borderId="58" xfId="0" applyFont="1" applyBorder="1" applyAlignment="1">
      <alignment/>
    </xf>
    <xf numFmtId="0" fontId="68" fillId="0" borderId="59" xfId="0" applyFont="1" applyBorder="1" applyAlignment="1">
      <alignment/>
    </xf>
    <xf numFmtId="0" fontId="68" fillId="0" borderId="60" xfId="0" applyFont="1" applyBorder="1" applyAlignment="1">
      <alignment/>
    </xf>
    <xf numFmtId="0" fontId="68" fillId="0" borderId="47" xfId="0" applyFont="1" applyBorder="1" applyAlignment="1">
      <alignment/>
    </xf>
    <xf numFmtId="0" fontId="68" fillId="0" borderId="61" xfId="0" applyFont="1" applyBorder="1" applyAlignment="1">
      <alignment/>
    </xf>
    <xf numFmtId="0" fontId="68" fillId="0" borderId="62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42" xfId="0" applyFont="1" applyBorder="1" applyAlignment="1">
      <alignment/>
    </xf>
    <xf numFmtId="0" fontId="68" fillId="0" borderId="41" xfId="0" applyFont="1" applyBorder="1" applyAlignment="1">
      <alignment/>
    </xf>
    <xf numFmtId="0" fontId="68" fillId="0" borderId="49" xfId="0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63" xfId="0" applyFont="1" applyBorder="1" applyAlignment="1">
      <alignment/>
    </xf>
    <xf numFmtId="1" fontId="68" fillId="0" borderId="49" xfId="0" applyNumberFormat="1" applyFont="1" applyBorder="1" applyAlignment="1">
      <alignment/>
    </xf>
    <xf numFmtId="1" fontId="68" fillId="0" borderId="33" xfId="0" applyNumberFormat="1" applyFont="1" applyBorder="1" applyAlignment="1">
      <alignment/>
    </xf>
    <xf numFmtId="176" fontId="68" fillId="0" borderId="33" xfId="0" applyNumberFormat="1" applyFont="1" applyBorder="1" applyAlignment="1">
      <alignment/>
    </xf>
    <xf numFmtId="2" fontId="68" fillId="0" borderId="49" xfId="0" applyNumberFormat="1" applyFont="1" applyBorder="1" applyAlignment="1">
      <alignment/>
    </xf>
    <xf numFmtId="2" fontId="68" fillId="0" borderId="21" xfId="0" applyNumberFormat="1" applyFont="1" applyBorder="1" applyAlignment="1">
      <alignment/>
    </xf>
    <xf numFmtId="2" fontId="68" fillId="0" borderId="41" xfId="0" applyNumberFormat="1" applyFont="1" applyBorder="1" applyAlignment="1">
      <alignment/>
    </xf>
    <xf numFmtId="176" fontId="68" fillId="0" borderId="63" xfId="0" applyNumberFormat="1" applyFont="1" applyBorder="1" applyAlignment="1">
      <alignment/>
    </xf>
    <xf numFmtId="0" fontId="68" fillId="0" borderId="48" xfId="0" applyFont="1" applyBorder="1" applyAlignment="1">
      <alignment/>
    </xf>
    <xf numFmtId="0" fontId="68" fillId="0" borderId="53" xfId="0" applyFont="1" applyBorder="1" applyAlignment="1">
      <alignment/>
    </xf>
    <xf numFmtId="0" fontId="68" fillId="0" borderId="54" xfId="0" applyFont="1" applyBorder="1" applyAlignment="1">
      <alignment/>
    </xf>
    <xf numFmtId="1" fontId="68" fillId="0" borderId="55" xfId="0" applyNumberFormat="1" applyFont="1" applyBorder="1" applyAlignment="1">
      <alignment/>
    </xf>
    <xf numFmtId="0" fontId="68" fillId="0" borderId="52" xfId="0" applyFont="1" applyBorder="1" applyAlignment="1">
      <alignment/>
    </xf>
    <xf numFmtId="2" fontId="68" fillId="0" borderId="53" xfId="0" applyNumberFormat="1" applyFont="1" applyBorder="1" applyAlignment="1">
      <alignment/>
    </xf>
    <xf numFmtId="0" fontId="68" fillId="0" borderId="55" xfId="0" applyFont="1" applyBorder="1" applyAlignment="1">
      <alignment/>
    </xf>
    <xf numFmtId="1" fontId="68" fillId="0" borderId="42" xfId="0" applyNumberFormat="1" applyFont="1" applyBorder="1" applyAlignment="1">
      <alignment/>
    </xf>
    <xf numFmtId="0" fontId="68" fillId="0" borderId="64" xfId="0" applyFont="1" applyBorder="1" applyAlignment="1">
      <alignment/>
    </xf>
    <xf numFmtId="0" fontId="68" fillId="0" borderId="65" xfId="0" applyFont="1" applyBorder="1" applyAlignment="1">
      <alignment/>
    </xf>
    <xf numFmtId="0" fontId="68" fillId="0" borderId="66" xfId="0" applyFont="1" applyBorder="1" applyAlignment="1">
      <alignment/>
    </xf>
    <xf numFmtId="0" fontId="68" fillId="0" borderId="21" xfId="0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50" xfId="0" applyFont="1" applyBorder="1" applyAlignment="1">
      <alignment/>
    </xf>
    <xf numFmtId="2" fontId="23" fillId="0" borderId="50" xfId="0" applyNumberFormat="1" applyFont="1" applyBorder="1" applyAlignment="1">
      <alignment/>
    </xf>
    <xf numFmtId="2" fontId="23" fillId="0" borderId="67" xfId="0" applyNumberFormat="1" applyFont="1" applyBorder="1" applyAlignment="1">
      <alignment/>
    </xf>
    <xf numFmtId="1" fontId="23" fillId="0" borderId="67" xfId="0" applyNumberFormat="1" applyFont="1" applyBorder="1" applyAlignment="1">
      <alignment/>
    </xf>
    <xf numFmtId="2" fontId="23" fillId="0" borderId="51" xfId="0" applyNumberFormat="1" applyFont="1" applyBorder="1" applyAlignment="1">
      <alignment/>
    </xf>
    <xf numFmtId="184" fontId="23" fillId="0" borderId="26" xfId="0" applyNumberFormat="1" applyFont="1" applyBorder="1" applyAlignment="1">
      <alignment horizontal="center"/>
    </xf>
    <xf numFmtId="2" fontId="68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4" fillId="35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176" fontId="0" fillId="35" borderId="41" xfId="0" applyNumberFormat="1" applyFill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85" fontId="4" fillId="0" borderId="3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0" fontId="0" fillId="35" borderId="41" xfId="0" applyFill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176" fontId="0" fillId="0" borderId="41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35" borderId="39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185" fontId="4" fillId="35" borderId="39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2" fontId="4" fillId="35" borderId="21" xfId="0" applyNumberFormat="1" applyFont="1" applyFill="1" applyBorder="1" applyAlignment="1">
      <alignment/>
    </xf>
    <xf numFmtId="2" fontId="4" fillId="35" borderId="22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53" xfId="0" applyFill="1" applyBorder="1" applyAlignment="1">
      <alignment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0" fontId="4" fillId="0" borderId="13" xfId="0" applyFont="1" applyFill="1" applyBorder="1" applyAlignment="1">
      <alignment/>
    </xf>
    <xf numFmtId="185" fontId="0" fillId="0" borderId="40" xfId="0" applyNumberFormat="1" applyFill="1" applyBorder="1" applyAlignment="1">
      <alignment/>
    </xf>
    <xf numFmtId="185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3" xfId="0" applyNumberFormat="1" applyFont="1" applyBorder="1" applyAlignment="1">
      <alignment/>
    </xf>
    <xf numFmtId="0" fontId="24" fillId="0" borderId="26" xfId="0" applyFont="1" applyBorder="1" applyAlignment="1">
      <alignment/>
    </xf>
    <xf numFmtId="185" fontId="24" fillId="0" borderId="23" xfId="0" applyNumberFormat="1" applyFont="1" applyBorder="1" applyAlignment="1">
      <alignment/>
    </xf>
    <xf numFmtId="185" fontId="24" fillId="0" borderId="26" xfId="0" applyNumberFormat="1" applyFont="1" applyBorder="1" applyAlignment="1">
      <alignment/>
    </xf>
    <xf numFmtId="2" fontId="24" fillId="0" borderId="44" xfId="0" applyNumberFormat="1" applyFont="1" applyBorder="1" applyAlignment="1">
      <alignment/>
    </xf>
    <xf numFmtId="2" fontId="24" fillId="0" borderId="50" xfId="0" applyNumberFormat="1" applyFont="1" applyBorder="1" applyAlignment="1">
      <alignment/>
    </xf>
    <xf numFmtId="2" fontId="24" fillId="0" borderId="51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25" fillId="35" borderId="68" xfId="0" applyFont="1" applyFill="1" applyBorder="1" applyAlignment="1">
      <alignment/>
    </xf>
    <xf numFmtId="0" fontId="23" fillId="0" borderId="14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0" borderId="69" xfId="0" applyFont="1" applyBorder="1" applyAlignment="1">
      <alignment/>
    </xf>
    <xf numFmtId="2" fontId="24" fillId="0" borderId="14" xfId="0" applyNumberFormat="1" applyFont="1" applyFill="1" applyBorder="1" applyAlignment="1">
      <alignment/>
    </xf>
    <xf numFmtId="0" fontId="25" fillId="35" borderId="7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2" fontId="24" fillId="0" borderId="71" xfId="0" applyNumberFormat="1" applyFont="1" applyBorder="1" applyAlignment="1">
      <alignment/>
    </xf>
    <xf numFmtId="0" fontId="0" fillId="0" borderId="49" xfId="0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22" xfId="0" applyNumberFormat="1" applyFont="1" applyBorder="1" applyAlignment="1">
      <alignment/>
    </xf>
    <xf numFmtId="0" fontId="0" fillId="0" borderId="70" xfId="0" applyFill="1" applyBorder="1" applyAlignment="1">
      <alignment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/>
    </xf>
    <xf numFmtId="176" fontId="4" fillId="0" borderId="14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71" xfId="0" applyNumberFormat="1" applyFont="1" applyBorder="1" applyAlignment="1">
      <alignment/>
    </xf>
    <xf numFmtId="0" fontId="24" fillId="0" borderId="23" xfId="0" applyFont="1" applyBorder="1" applyAlignment="1">
      <alignment horizontal="center"/>
    </xf>
    <xf numFmtId="0" fontId="26" fillId="0" borderId="50" xfId="0" applyFont="1" applyBorder="1" applyAlignment="1">
      <alignment/>
    </xf>
    <xf numFmtId="176" fontId="24" fillId="0" borderId="26" xfId="0" applyNumberFormat="1" applyFont="1" applyBorder="1" applyAlignment="1">
      <alignment/>
    </xf>
    <xf numFmtId="2" fontId="24" fillId="0" borderId="72" xfId="0" applyNumberFormat="1" applyFont="1" applyBorder="1" applyAlignment="1">
      <alignment/>
    </xf>
    <xf numFmtId="2" fontId="24" fillId="0" borderId="67" xfId="0" applyNumberFormat="1" applyFont="1" applyBorder="1" applyAlignment="1">
      <alignment/>
    </xf>
    <xf numFmtId="2" fontId="24" fillId="0" borderId="26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6" fontId="7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0" fillId="0" borderId="58" xfId="0" applyBorder="1" applyAlignment="1">
      <alignment/>
    </xf>
    <xf numFmtId="2" fontId="0" fillId="0" borderId="41" xfId="0" applyNumberFormat="1" applyBorder="1" applyAlignment="1">
      <alignment/>
    </xf>
    <xf numFmtId="176" fontId="0" fillId="0" borderId="41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186" fontId="68" fillId="0" borderId="0" xfId="0" applyNumberFormat="1" applyFont="1" applyAlignment="1">
      <alignment/>
    </xf>
    <xf numFmtId="176" fontId="68" fillId="0" borderId="49" xfId="0" applyNumberFormat="1" applyFont="1" applyBorder="1" applyAlignment="1">
      <alignment/>
    </xf>
    <xf numFmtId="176" fontId="68" fillId="0" borderId="21" xfId="0" applyNumberFormat="1" applyFont="1" applyBorder="1" applyAlignment="1">
      <alignment/>
    </xf>
    <xf numFmtId="2" fontId="68" fillId="0" borderId="33" xfId="0" applyNumberFormat="1" applyFont="1" applyBorder="1" applyAlignment="1">
      <alignment/>
    </xf>
    <xf numFmtId="0" fontId="68" fillId="0" borderId="28" xfId="0" applyFont="1" applyBorder="1" applyAlignment="1">
      <alignment/>
    </xf>
    <xf numFmtId="2" fontId="68" fillId="0" borderId="55" xfId="0" applyNumberFormat="1" applyFont="1" applyBorder="1" applyAlignment="1">
      <alignment/>
    </xf>
    <xf numFmtId="2" fontId="68" fillId="0" borderId="28" xfId="0" applyNumberFormat="1" applyFont="1" applyBorder="1" applyAlignment="1">
      <alignment/>
    </xf>
    <xf numFmtId="0" fontId="68" fillId="0" borderId="26" xfId="0" applyFont="1" applyBorder="1" applyAlignment="1">
      <alignment/>
    </xf>
    <xf numFmtId="0" fontId="68" fillId="0" borderId="43" xfId="0" applyFont="1" applyBorder="1" applyAlignment="1">
      <alignment/>
    </xf>
    <xf numFmtId="0" fontId="68" fillId="0" borderId="50" xfId="0" applyFont="1" applyBorder="1" applyAlignment="1">
      <alignment/>
    </xf>
    <xf numFmtId="0" fontId="68" fillId="0" borderId="51" xfId="0" applyFont="1" applyBorder="1" applyAlignment="1">
      <alignment/>
    </xf>
    <xf numFmtId="0" fontId="68" fillId="0" borderId="72" xfId="0" applyFont="1" applyBorder="1" applyAlignment="1">
      <alignment/>
    </xf>
    <xf numFmtId="176" fontId="68" fillId="0" borderId="67" xfId="0" applyNumberFormat="1" applyFont="1" applyBorder="1" applyAlignment="1">
      <alignment/>
    </xf>
    <xf numFmtId="2" fontId="68" fillId="0" borderId="51" xfId="0" applyNumberFormat="1" applyFont="1" applyBorder="1" applyAlignment="1">
      <alignment/>
    </xf>
    <xf numFmtId="176" fontId="68" fillId="0" borderId="26" xfId="0" applyNumberFormat="1" applyFont="1" applyBorder="1" applyAlignment="1">
      <alignment/>
    </xf>
    <xf numFmtId="2" fontId="68" fillId="0" borderId="26" xfId="0" applyNumberFormat="1" applyFont="1" applyBorder="1" applyAlignment="1">
      <alignment/>
    </xf>
    <xf numFmtId="176" fontId="68" fillId="0" borderId="41" xfId="0" applyNumberFormat="1" applyFont="1" applyBorder="1" applyAlignment="1">
      <alignment/>
    </xf>
    <xf numFmtId="9" fontId="68" fillId="0" borderId="0" xfId="0" applyNumberFormat="1" applyFont="1" applyAlignment="1">
      <alignment/>
    </xf>
    <xf numFmtId="9" fontId="68" fillId="0" borderId="41" xfId="0" applyNumberFormat="1" applyFont="1" applyBorder="1" applyAlignment="1">
      <alignment/>
    </xf>
    <xf numFmtId="10" fontId="68" fillId="0" borderId="0" xfId="0" applyNumberFormat="1" applyFont="1" applyAlignment="1">
      <alignment/>
    </xf>
    <xf numFmtId="10" fontId="68" fillId="0" borderId="41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4" fillId="0" borderId="21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187" fontId="68" fillId="0" borderId="0" xfId="0" applyNumberFormat="1" applyFont="1" applyAlignment="1">
      <alignment/>
    </xf>
    <xf numFmtId="0" fontId="68" fillId="0" borderId="65" xfId="0" applyFont="1" applyBorder="1" applyAlignment="1">
      <alignment wrapText="1"/>
    </xf>
    <xf numFmtId="0" fontId="68" fillId="0" borderId="66" xfId="0" applyFont="1" applyBorder="1" applyAlignment="1">
      <alignment wrapText="1"/>
    </xf>
    <xf numFmtId="0" fontId="68" fillId="0" borderId="66" xfId="0" applyFont="1" applyBorder="1" applyAlignment="1">
      <alignment vertical="top"/>
    </xf>
    <xf numFmtId="0" fontId="68" fillId="0" borderId="64" xfId="0" applyFont="1" applyBorder="1" applyAlignment="1">
      <alignment wrapText="1"/>
    </xf>
    <xf numFmtId="0" fontId="68" fillId="0" borderId="15" xfId="0" applyFont="1" applyBorder="1" applyAlignment="1">
      <alignment/>
    </xf>
    <xf numFmtId="176" fontId="68" fillId="0" borderId="42" xfId="0" applyNumberFormat="1" applyFont="1" applyBorder="1" applyAlignment="1">
      <alignment/>
    </xf>
    <xf numFmtId="0" fontId="68" fillId="0" borderId="20" xfId="0" applyFont="1" applyBorder="1" applyAlignment="1">
      <alignment/>
    </xf>
    <xf numFmtId="1" fontId="68" fillId="0" borderId="64" xfId="0" applyNumberFormat="1" applyFont="1" applyBorder="1" applyAlignment="1">
      <alignment/>
    </xf>
    <xf numFmtId="176" fontId="68" fillId="0" borderId="66" xfId="0" applyNumberFormat="1" applyFont="1" applyBorder="1" applyAlignment="1">
      <alignment/>
    </xf>
    <xf numFmtId="176" fontId="68" fillId="0" borderId="64" xfId="0" applyNumberFormat="1" applyFont="1" applyBorder="1" applyAlignment="1">
      <alignment/>
    </xf>
    <xf numFmtId="2" fontId="68" fillId="0" borderId="66" xfId="0" applyNumberFormat="1" applyFont="1" applyBorder="1" applyAlignment="1">
      <alignment/>
    </xf>
    <xf numFmtId="0" fontId="68" fillId="0" borderId="74" xfId="0" applyFont="1" applyBorder="1" applyAlignment="1">
      <alignment/>
    </xf>
    <xf numFmtId="185" fontId="68" fillId="0" borderId="0" xfId="0" applyNumberFormat="1" applyFont="1" applyAlignment="1">
      <alignment/>
    </xf>
    <xf numFmtId="185" fontId="68" fillId="0" borderId="41" xfId="0" applyNumberFormat="1" applyFont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wrapText="1"/>
    </xf>
    <xf numFmtId="0" fontId="0" fillId="0" borderId="66" xfId="0" applyBorder="1" applyAlignment="1">
      <alignment/>
    </xf>
    <xf numFmtId="0" fontId="0" fillId="0" borderId="66" xfId="0" applyBorder="1" applyAlignment="1">
      <alignment vertical="top"/>
    </xf>
    <xf numFmtId="0" fontId="0" fillId="0" borderId="65" xfId="0" applyBorder="1" applyAlignment="1">
      <alignment/>
    </xf>
    <xf numFmtId="0" fontId="0" fillId="0" borderId="66" xfId="0" applyBorder="1" applyAlignment="1">
      <alignment wrapText="1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1" fontId="0" fillId="0" borderId="4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4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63" xfId="0" applyBorder="1" applyAlignment="1">
      <alignment/>
    </xf>
    <xf numFmtId="1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64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64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74" xfId="0" applyBorder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4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41" xfId="0" applyNumberFormat="1" applyBorder="1" applyAlignment="1">
      <alignment/>
    </xf>
    <xf numFmtId="185" fontId="0" fillId="0" borderId="41" xfId="0" applyNumberFormat="1" applyBorder="1" applyAlignment="1">
      <alignment/>
    </xf>
    <xf numFmtId="0" fontId="4" fillId="0" borderId="41" xfId="0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/>
    </xf>
    <xf numFmtId="2" fontId="4" fillId="0" borderId="70" xfId="0" applyNumberFormat="1" applyFont="1" applyFill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63" xfId="0" applyFont="1" applyBorder="1" applyAlignment="1">
      <alignment/>
    </xf>
    <xf numFmtId="176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4" fillId="0" borderId="49" xfId="0" applyFont="1" applyFill="1" applyBorder="1" applyAlignment="1">
      <alignment/>
    </xf>
    <xf numFmtId="1" fontId="4" fillId="35" borderId="63" xfId="0" applyNumberFormat="1" applyFont="1" applyFill="1" applyBorder="1" applyAlignment="1">
      <alignment/>
    </xf>
    <xf numFmtId="1" fontId="4" fillId="0" borderId="63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176" fontId="7" fillId="0" borderId="2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vertical="top" wrapText="1"/>
    </xf>
    <xf numFmtId="2" fontId="4" fillId="0" borderId="41" xfId="0" applyNumberFormat="1" applyFont="1" applyFill="1" applyBorder="1" applyAlignment="1">
      <alignment horizontal="center" vertical="center" wrapText="1"/>
    </xf>
    <xf numFmtId="178" fontId="4" fillId="0" borderId="41" xfId="0" applyNumberFormat="1" applyFont="1" applyFill="1" applyBorder="1" applyAlignment="1">
      <alignment horizontal="center" vertical="center" wrapText="1"/>
    </xf>
    <xf numFmtId="178" fontId="7" fillId="0" borderId="41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7" fillId="0" borderId="63" xfId="0" applyNumberFormat="1" applyFont="1" applyBorder="1" applyAlignment="1">
      <alignment/>
    </xf>
    <xf numFmtId="0" fontId="20" fillId="0" borderId="28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1" fontId="20" fillId="0" borderId="17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37" xfId="0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3" fontId="8" fillId="0" borderId="0" xfId="0" applyNumberFormat="1" applyFont="1" applyAlignment="1">
      <alignment/>
    </xf>
    <xf numFmtId="1" fontId="68" fillId="0" borderId="63" xfId="0" applyNumberFormat="1" applyFont="1" applyBorder="1" applyAlignment="1">
      <alignment/>
    </xf>
    <xf numFmtId="1" fontId="68" fillId="0" borderId="52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0" fontId="4" fillId="0" borderId="41" xfId="0" applyFont="1" applyBorder="1" applyAlignment="1">
      <alignment vertical="top"/>
    </xf>
    <xf numFmtId="176" fontId="7" fillId="0" borderId="41" xfId="0" applyNumberFormat="1" applyFont="1" applyBorder="1" applyAlignment="1">
      <alignment/>
    </xf>
    <xf numFmtId="0" fontId="7" fillId="0" borderId="41" xfId="0" applyFont="1" applyBorder="1" applyAlignment="1">
      <alignment horizontal="right"/>
    </xf>
    <xf numFmtId="0" fontId="4" fillId="0" borderId="41" xfId="0" applyNumberFormat="1" applyFont="1" applyBorder="1" applyAlignment="1">
      <alignment/>
    </xf>
    <xf numFmtId="0" fontId="7" fillId="0" borderId="41" xfId="0" applyFont="1" applyBorder="1" applyAlignment="1">
      <alignment horizontal="right" wrapText="1"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20" fillId="0" borderId="17" xfId="0" applyNumberFormat="1" applyFont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7" fillId="0" borderId="41" xfId="0" applyFont="1" applyBorder="1" applyAlignment="1">
      <alignment horizontal="left"/>
    </xf>
    <xf numFmtId="1" fontId="7" fillId="0" borderId="17" xfId="0" applyNumberFormat="1" applyFont="1" applyBorder="1" applyAlignment="1">
      <alignment/>
    </xf>
    <xf numFmtId="1" fontId="7" fillId="0" borderId="41" xfId="0" applyNumberFormat="1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/>
    </xf>
    <xf numFmtId="0" fontId="69" fillId="0" borderId="41" xfId="0" applyFont="1" applyBorder="1" applyAlignment="1">
      <alignment/>
    </xf>
    <xf numFmtId="0" fontId="70" fillId="0" borderId="41" xfId="0" applyFont="1" applyBorder="1" applyAlignment="1">
      <alignment/>
    </xf>
    <xf numFmtId="49" fontId="70" fillId="0" borderId="41" xfId="0" applyNumberFormat="1" applyFont="1" applyBorder="1" applyAlignment="1">
      <alignment horizontal="right"/>
    </xf>
    <xf numFmtId="0" fontId="4" fillId="0" borderId="41" xfId="55" applyFont="1" applyFill="1" applyBorder="1" applyAlignment="1">
      <alignment/>
      <protection/>
    </xf>
    <xf numFmtId="0" fontId="4" fillId="0" borderId="41" xfId="55" applyFont="1" applyFill="1" applyBorder="1" applyAlignment="1">
      <alignment vertical="center"/>
      <protection/>
    </xf>
    <xf numFmtId="0" fontId="4" fillId="35" borderId="41" xfId="0" applyFont="1" applyFill="1" applyBorder="1" applyAlignment="1">
      <alignment vertical="center" wrapText="1"/>
    </xf>
    <xf numFmtId="0" fontId="4" fillId="35" borderId="41" xfId="0" applyFont="1" applyFill="1" applyBorder="1" applyAlignment="1">
      <alignment/>
    </xf>
    <xf numFmtId="2" fontId="4" fillId="35" borderId="41" xfId="0" applyNumberFormat="1" applyFont="1" applyFill="1" applyBorder="1" applyAlignment="1">
      <alignment/>
    </xf>
    <xf numFmtId="188" fontId="4" fillId="35" borderId="41" xfId="0" applyNumberFormat="1" applyFont="1" applyFill="1" applyBorder="1" applyAlignment="1">
      <alignment horizontal="right"/>
    </xf>
    <xf numFmtId="0" fontId="71" fillId="0" borderId="41" xfId="0" applyFont="1" applyBorder="1" applyAlignment="1">
      <alignment/>
    </xf>
    <xf numFmtId="0" fontId="70" fillId="0" borderId="41" xfId="0" applyFont="1" applyBorder="1" applyAlignment="1">
      <alignment/>
    </xf>
    <xf numFmtId="0" fontId="70" fillId="0" borderId="41" xfId="0" applyFont="1" applyFill="1" applyBorder="1" applyAlignment="1">
      <alignment/>
    </xf>
    <xf numFmtId="0" fontId="70" fillId="0" borderId="41" xfId="0" applyFont="1" applyBorder="1" applyAlignment="1">
      <alignment horizontal="right"/>
    </xf>
    <xf numFmtId="0" fontId="4" fillId="35" borderId="41" xfId="0" applyFont="1" applyFill="1" applyBorder="1" applyAlignment="1">
      <alignment horizontal="left" vertical="center" wrapText="1"/>
    </xf>
    <xf numFmtId="0" fontId="4" fillId="35" borderId="41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right" vertical="center" wrapText="1"/>
    </xf>
    <xf numFmtId="2" fontId="4" fillId="35" borderId="41" xfId="0" applyNumberFormat="1" applyFont="1" applyFill="1" applyBorder="1" applyAlignment="1">
      <alignment/>
    </xf>
    <xf numFmtId="0" fontId="4" fillId="35" borderId="41" xfId="0" applyFont="1" applyFill="1" applyBorder="1" applyAlignment="1">
      <alignment horizontal="right"/>
    </xf>
    <xf numFmtId="2" fontId="4" fillId="35" borderId="41" xfId="0" applyNumberFormat="1" applyFont="1" applyFill="1" applyBorder="1" applyAlignment="1">
      <alignment horizontal="right"/>
    </xf>
    <xf numFmtId="0" fontId="70" fillId="0" borderId="43" xfId="0" applyFont="1" applyBorder="1" applyAlignment="1">
      <alignment vertical="center" wrapText="1"/>
    </xf>
    <xf numFmtId="0" fontId="70" fillId="0" borderId="50" xfId="0" applyFont="1" applyBorder="1" applyAlignment="1">
      <alignment vertical="center" wrapText="1"/>
    </xf>
    <xf numFmtId="0" fontId="70" fillId="0" borderId="51" xfId="0" applyFont="1" applyBorder="1" applyAlignment="1">
      <alignment vertical="center" wrapText="1"/>
    </xf>
    <xf numFmtId="0" fontId="70" fillId="0" borderId="43" xfId="0" applyFont="1" applyBorder="1" applyAlignment="1">
      <alignment vertical="center"/>
    </xf>
    <xf numFmtId="0" fontId="70" fillId="0" borderId="50" xfId="0" applyFont="1" applyBorder="1" applyAlignment="1">
      <alignment vertical="center"/>
    </xf>
    <xf numFmtId="0" fontId="70" fillId="0" borderId="51" xfId="0" applyFont="1" applyBorder="1" applyAlignment="1">
      <alignment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43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58" xfId="0" applyFont="1" applyBorder="1" applyAlignment="1">
      <alignment horizontal="center"/>
    </xf>
    <xf numFmtId="0" fontId="70" fillId="0" borderId="58" xfId="0" applyFont="1" applyBorder="1" applyAlignment="1">
      <alignment horizontal="left"/>
    </xf>
    <xf numFmtId="0" fontId="70" fillId="0" borderId="58" xfId="0" applyFont="1" applyBorder="1" applyAlignment="1">
      <alignment horizontal="right"/>
    </xf>
    <xf numFmtId="0" fontId="70" fillId="0" borderId="41" xfId="0" applyFont="1" applyBorder="1" applyAlignment="1">
      <alignment horizontal="center"/>
    </xf>
    <xf numFmtId="0" fontId="70" fillId="0" borderId="41" xfId="0" applyFont="1" applyBorder="1" applyAlignment="1">
      <alignment horizontal="left" vertical="center"/>
    </xf>
    <xf numFmtId="0" fontId="70" fillId="0" borderId="41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right" vertical="center"/>
    </xf>
    <xf numFmtId="0" fontId="70" fillId="0" borderId="41" xfId="0" applyFont="1" applyBorder="1" applyAlignment="1">
      <alignment/>
    </xf>
    <xf numFmtId="49" fontId="70" fillId="0" borderId="41" xfId="0" applyNumberFormat="1" applyFont="1" applyBorder="1" applyAlignment="1">
      <alignment horizontal="right"/>
    </xf>
    <xf numFmtId="49" fontId="70" fillId="0" borderId="41" xfId="0" applyNumberFormat="1" applyFont="1" applyBorder="1" applyAlignment="1">
      <alignment horizontal="right" vertical="center"/>
    </xf>
    <xf numFmtId="0" fontId="70" fillId="0" borderId="41" xfId="0" applyFont="1" applyBorder="1" applyAlignment="1">
      <alignment horizontal="center" vertical="center"/>
    </xf>
    <xf numFmtId="0" fontId="70" fillId="0" borderId="41" xfId="0" applyFont="1" applyBorder="1" applyAlignment="1">
      <alignment wrapText="1"/>
    </xf>
    <xf numFmtId="0" fontId="70" fillId="0" borderId="41" xfId="0" applyFont="1" applyBorder="1" applyAlignment="1">
      <alignment horizontal="right"/>
    </xf>
    <xf numFmtId="0" fontId="71" fillId="0" borderId="41" xfId="0" applyFont="1" applyBorder="1" applyAlignment="1">
      <alignment/>
    </xf>
    <xf numFmtId="0" fontId="71" fillId="0" borderId="41" xfId="0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23" xfId="0" applyFont="1" applyBorder="1" applyAlignment="1">
      <alignment vertical="top" wrapText="1"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1" xfId="0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75" xfId="0" applyFont="1" applyBorder="1" applyAlignment="1">
      <alignment/>
    </xf>
    <xf numFmtId="0" fontId="7" fillId="0" borderId="41" xfId="0" applyFont="1" applyFill="1" applyBorder="1" applyAlignment="1">
      <alignment/>
    </xf>
    <xf numFmtId="0" fontId="4" fillId="0" borderId="41" xfId="0" applyFont="1" applyBorder="1" applyAlignment="1">
      <alignment horizontal="center" wrapText="1"/>
    </xf>
    <xf numFmtId="2" fontId="4" fillId="0" borderId="41" xfId="0" applyNumberFormat="1" applyFont="1" applyBorder="1" applyAlignment="1">
      <alignment horizontal="center"/>
    </xf>
    <xf numFmtId="2" fontId="69" fillId="0" borderId="4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72" fillId="0" borderId="0" xfId="54" applyFont="1" applyFill="1">
      <alignment/>
      <protection/>
    </xf>
    <xf numFmtId="0" fontId="73" fillId="0" borderId="0" xfId="54" applyFont="1" applyFill="1" applyAlignment="1">
      <alignment vertical="center" wrapText="1"/>
      <protection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0" fillId="0" borderId="41" xfId="54" applyFont="1" applyFill="1" applyBorder="1">
      <alignment/>
      <protection/>
    </xf>
    <xf numFmtId="0" fontId="71" fillId="0" borderId="41" xfId="54" applyFont="1" applyFill="1" applyBorder="1" applyAlignment="1">
      <alignment wrapText="1"/>
      <protection/>
    </xf>
    <xf numFmtId="0" fontId="70" fillId="0" borderId="41" xfId="54" applyFont="1" applyFill="1" applyBorder="1" applyAlignment="1">
      <alignment wrapText="1"/>
      <protection/>
    </xf>
    <xf numFmtId="0" fontId="71" fillId="0" borderId="41" xfId="54" applyFont="1" applyFill="1" applyBorder="1">
      <alignment/>
      <protection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70" fillId="0" borderId="41" xfId="54" applyNumberFormat="1" applyFont="1" applyFill="1" applyBorder="1" applyAlignment="1">
      <alignment horizontal="center"/>
      <protection/>
    </xf>
    <xf numFmtId="3" fontId="71" fillId="0" borderId="41" xfId="54" applyNumberFormat="1" applyFont="1" applyFill="1" applyBorder="1" applyAlignment="1">
      <alignment horizontal="center"/>
      <protection/>
    </xf>
    <xf numFmtId="0" fontId="12" fillId="0" borderId="4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0" xfId="0" applyFont="1" applyAlignment="1">
      <alignment horizontal="justify" wrapText="1"/>
    </xf>
    <xf numFmtId="2" fontId="7" fillId="0" borderId="35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0" fillId="0" borderId="0" xfId="0" applyFont="1" applyAlignment="1">
      <alignment/>
    </xf>
    <xf numFmtId="0" fontId="68" fillId="0" borderId="45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79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68" fillId="0" borderId="81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3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48" xfId="0" applyFont="1" applyBorder="1" applyAlignment="1">
      <alignment horizontal="center" wrapText="1"/>
    </xf>
    <xf numFmtId="0" fontId="68" fillId="0" borderId="68" xfId="0" applyFont="1" applyBorder="1" applyAlignment="1">
      <alignment horizontal="center" wrapText="1"/>
    </xf>
    <xf numFmtId="0" fontId="68" fillId="0" borderId="53" xfId="0" applyFont="1" applyBorder="1" applyAlignment="1">
      <alignment horizontal="center" vertical="top" wrapText="1"/>
    </xf>
    <xf numFmtId="0" fontId="68" fillId="0" borderId="83" xfId="0" applyFont="1" applyBorder="1" applyAlignment="1">
      <alignment horizontal="center" vertical="top" wrapText="1"/>
    </xf>
    <xf numFmtId="0" fontId="68" fillId="0" borderId="55" xfId="0" applyFont="1" applyBorder="1" applyAlignment="1">
      <alignment horizontal="center" vertical="top" wrapText="1"/>
    </xf>
    <xf numFmtId="0" fontId="68" fillId="0" borderId="84" xfId="0" applyFont="1" applyBorder="1" applyAlignment="1">
      <alignment horizontal="center" vertical="top" wrapText="1"/>
    </xf>
    <xf numFmtId="0" fontId="68" fillId="0" borderId="48" xfId="0" applyFont="1" applyBorder="1" applyAlignment="1">
      <alignment horizontal="center" vertical="top" wrapText="1"/>
    </xf>
    <xf numFmtId="0" fontId="68" fillId="0" borderId="68" xfId="0" applyFont="1" applyBorder="1" applyAlignment="1">
      <alignment horizontal="center" vertical="top" wrapText="1"/>
    </xf>
    <xf numFmtId="0" fontId="68" fillId="0" borderId="53" xfId="0" applyFont="1" applyBorder="1" applyAlignment="1">
      <alignment horizontal="center" wrapText="1"/>
    </xf>
    <xf numFmtId="0" fontId="68" fillId="0" borderId="83" xfId="0" applyFont="1" applyBorder="1" applyAlignment="1">
      <alignment horizontal="center" wrapText="1"/>
    </xf>
    <xf numFmtId="0" fontId="68" fillId="0" borderId="55" xfId="0" applyFont="1" applyBorder="1" applyAlignment="1">
      <alignment horizontal="center" wrapText="1"/>
    </xf>
    <xf numFmtId="0" fontId="68" fillId="0" borderId="84" xfId="0" applyFont="1" applyBorder="1" applyAlignment="1">
      <alignment horizontal="center" wrapText="1"/>
    </xf>
    <xf numFmtId="0" fontId="68" fillId="0" borderId="11" xfId="0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8" fillId="0" borderId="54" xfId="0" applyFont="1" applyBorder="1" applyAlignment="1">
      <alignment horizontal="center" wrapText="1"/>
    </xf>
    <xf numFmtId="0" fontId="68" fillId="0" borderId="69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0" fontId="68" fillId="0" borderId="30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0" borderId="39" xfId="0" applyFont="1" applyBorder="1" applyAlignment="1">
      <alignment horizontal="center" wrapText="1"/>
    </xf>
    <xf numFmtId="0" fontId="68" fillId="0" borderId="37" xfId="0" applyFont="1" applyBorder="1" applyAlignment="1">
      <alignment horizontal="center" wrapText="1"/>
    </xf>
    <xf numFmtId="0" fontId="68" fillId="0" borderId="79" xfId="0" applyFont="1" applyBorder="1" applyAlignment="1">
      <alignment horizontal="center" vertical="top" wrapText="1"/>
    </xf>
    <xf numFmtId="0" fontId="68" fillId="0" borderId="85" xfId="0" applyFont="1" applyBorder="1" applyAlignment="1">
      <alignment horizontal="center" vertical="top" wrapText="1"/>
    </xf>
    <xf numFmtId="0" fontId="68" fillId="0" borderId="81" xfId="0" applyFont="1" applyBorder="1" applyAlignment="1">
      <alignment horizontal="center" vertical="top"/>
    </xf>
    <xf numFmtId="0" fontId="68" fillId="0" borderId="86" xfId="0" applyFont="1" applyBorder="1" applyAlignment="1">
      <alignment horizontal="center" vertical="top"/>
    </xf>
    <xf numFmtId="0" fontId="68" fillId="0" borderId="84" xfId="0" applyFont="1" applyBorder="1" applyAlignment="1">
      <alignment horizontal="center" vertical="top"/>
    </xf>
    <xf numFmtId="0" fontId="68" fillId="0" borderId="87" xfId="0" applyFont="1" applyBorder="1" applyAlignment="1">
      <alignment horizontal="center" vertical="top"/>
    </xf>
    <xf numFmtId="0" fontId="68" fillId="0" borderId="71" xfId="0" applyFont="1" applyBorder="1" applyAlignment="1">
      <alignment horizontal="center" vertical="top"/>
    </xf>
    <xf numFmtId="0" fontId="68" fillId="0" borderId="88" xfId="0" applyFont="1" applyBorder="1" applyAlignment="1">
      <alignment horizontal="center" vertical="top"/>
    </xf>
    <xf numFmtId="0" fontId="68" fillId="0" borderId="80" xfId="0" applyFont="1" applyBorder="1" applyAlignment="1">
      <alignment horizontal="center" vertical="top" wrapText="1"/>
    </xf>
    <xf numFmtId="0" fontId="68" fillId="0" borderId="70" xfId="0" applyFont="1" applyBorder="1" applyAlignment="1">
      <alignment horizontal="center" vertical="top" wrapText="1"/>
    </xf>
    <xf numFmtId="0" fontId="68" fillId="0" borderId="81" xfId="0" applyFont="1" applyBorder="1" applyAlignment="1">
      <alignment horizontal="center" vertical="top" wrapText="1"/>
    </xf>
    <xf numFmtId="0" fontId="68" fillId="0" borderId="86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0" xfId="0" applyFont="1" applyBorder="1" applyAlignment="1">
      <alignment horizontal="center" vertical="top"/>
    </xf>
    <xf numFmtId="0" fontId="68" fillId="0" borderId="29" xfId="0" applyFont="1" applyBorder="1" applyAlignment="1">
      <alignment horizontal="center" vertical="top"/>
    </xf>
    <xf numFmtId="0" fontId="68" fillId="0" borderId="30" xfId="0" applyFont="1" applyBorder="1" applyAlignment="1">
      <alignment horizontal="center" vertical="top"/>
    </xf>
    <xf numFmtId="0" fontId="68" fillId="0" borderId="18" xfId="0" applyFont="1" applyBorder="1" applyAlignment="1">
      <alignment horizontal="center" vertical="top"/>
    </xf>
    <xf numFmtId="0" fontId="68" fillId="0" borderId="39" xfId="0" applyFont="1" applyBorder="1" applyAlignment="1">
      <alignment horizontal="center" vertical="top"/>
    </xf>
    <xf numFmtId="0" fontId="68" fillId="0" borderId="37" xfId="0" applyFont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79" xfId="0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81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0" fillId="0" borderId="80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58" xfId="0" applyFont="1" applyBorder="1" applyAlignment="1">
      <alignment horizontal="center"/>
    </xf>
    <xf numFmtId="0" fontId="71" fillId="0" borderId="49" xfId="0" applyFont="1" applyBorder="1" applyAlignment="1">
      <alignment horizontal="right"/>
    </xf>
    <xf numFmtId="0" fontId="71" fillId="0" borderId="63" xfId="0" applyFont="1" applyBorder="1" applyAlignment="1">
      <alignment horizontal="right"/>
    </xf>
    <xf numFmtId="0" fontId="70" fillId="0" borderId="41" xfId="0" applyFont="1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0" fontId="71" fillId="0" borderId="49" xfId="0" applyFont="1" applyBorder="1" applyAlignment="1">
      <alignment horizontal="right"/>
    </xf>
    <xf numFmtId="0" fontId="71" fillId="0" borderId="63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71" fillId="0" borderId="0" xfId="54" applyFont="1" applyFill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4" xfId="55"/>
    <cellStyle name="Обычный_Проект РБ на 200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&#1041;&#1077;&#1085;&#1076;&#1077;&#1088;&#1099;%202\&#1041;&#1102;&#1076;&#1078;&#1077;&#1090;%202015%20%20&#1073;&#1077;&#1085;&#1076;&#1077;&#1088;&#1099;\&#1058;&#1072;&#1073;&#1083;&#1080;&#1094;&#1099;%20&#1082;%20&#1087;&#1088;&#1077;&#1082;&#1090;&#1091;%20&#1073;&#1102;&#1076;&#1078;&#1077;&#1090;&#1072;%20&#1085;&#1072;%202016%20&#1075;.%20&#1041;&#1077;&#1085;&#1076;&#1077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&#1041;&#1077;&#1085;&#1076;&#1077;&#1088;&#1099;%202\&#1041;&#1102;&#1076;&#1078;&#1077;&#1090;%202015%20%20&#1073;&#1077;&#1085;&#1076;&#1077;&#1088;&#1099;\&#1054;&#1058;%20%20&#1089;&#1077;&#1079;&#1086;&#1085;&#1085;&#1080;&#1082;&#1086;&#1074;\&#1058;&#1077;&#1093;%20&#1082;&#1072;&#1088;&#1090;&#1072;%20&#1041;&#1077;&#1085;&#1076;&#1077;&#1088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15%20&#1043;&#1088;&#1080;&#1075;%202\&#1073;&#1102;&#1076;&#1078;&#1077;&#1090;%202015%20&#1075;&#1088;&#1080;&#1075;\&#1058;&#1072;&#1073;&#1083;&#1080;&#1094;&#1099;%20&#1082;%20&#1073;&#1102;&#1076;&#1078;.%20&#1085;&#1072;%2016%20&#1043;&#1088;&#1080;&#1075;&#1086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74;&#1086;&#1089;&#1089;&#1090;&#1072;&#1085;&#1086;&#1074;\&#1055;&#1088;&#1080;&#1083;&#1086;&#1078;&#1077;&#1085;&#1080;&#1077;%20&#8470;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74;&#1086;&#1089;&#1089;&#1090;&#1072;&#1085;&#1086;&#1074;\&#1088;&#1072;&#1089;&#1095;&#1105;&#1090;&#1099;%20&#1043;&#1057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"/>
      <sheetName val="ОТ и СС"/>
      <sheetName val="Расчёт ФОТ"/>
      <sheetName val="допл.доМРОТ выс.кв.раб."/>
      <sheetName val="допл.до МРОТнекв.раб."/>
      <sheetName val="стаж"/>
      <sheetName val="Хоз. и др.расх."/>
      <sheetName val="110350"/>
      <sheetName val="бензин"/>
      <sheetName val="дт трак,"/>
      <sheetName val="дт пилы"/>
    </sheetNames>
    <sheetDataSet>
      <sheetData sheetId="6">
        <row r="31">
          <cell r="F31">
            <v>414.31</v>
          </cell>
        </row>
        <row r="32">
          <cell r="F32">
            <v>12270.96</v>
          </cell>
        </row>
        <row r="33">
          <cell r="F33">
            <v>13347.36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378</v>
          </cell>
        </row>
        <row r="22">
          <cell r="C22">
            <v>540</v>
          </cell>
        </row>
        <row r="24">
          <cell r="C24">
            <v>6830</v>
          </cell>
        </row>
        <row r="26">
          <cell r="C26">
            <v>6830</v>
          </cell>
        </row>
        <row r="37">
          <cell r="C37">
            <v>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"/>
      <sheetName val="ОТ и СС"/>
      <sheetName val="Расчёт ФОТ"/>
      <sheetName val="допл.доМРОТ выс.кв.раб."/>
      <sheetName val="допл.до МРОТнекв.раб."/>
      <sheetName val="стаж"/>
      <sheetName val="Хоз. и др.расх."/>
      <sheetName val="110350"/>
      <sheetName val="бензин"/>
      <sheetName val="дт трактора"/>
      <sheetName val="бензин на пилах "/>
    </sheetNames>
    <sheetDataSet>
      <sheetData sheetId="6">
        <row r="31">
          <cell r="F31">
            <v>414.31</v>
          </cell>
        </row>
        <row r="32">
          <cell r="F32">
            <v>12270.96</v>
          </cell>
        </row>
        <row r="35">
          <cell r="F35">
            <v>12378.6</v>
          </cell>
        </row>
        <row r="36">
          <cell r="F36">
            <v>31430.88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азания на 2016-2018 годы"/>
    </sheetNames>
    <sheetDataSet>
      <sheetData sheetId="0">
        <row r="66">
          <cell r="D66">
            <v>0.57</v>
          </cell>
        </row>
        <row r="166">
          <cell r="D166">
            <v>1980.36</v>
          </cell>
        </row>
        <row r="193">
          <cell r="D193">
            <v>578.59</v>
          </cell>
        </row>
        <row r="464">
          <cell r="D464">
            <v>4.52</v>
          </cell>
        </row>
        <row r="470">
          <cell r="D470">
            <v>3.89</v>
          </cell>
        </row>
        <row r="511">
          <cell r="D511">
            <v>22.57</v>
          </cell>
        </row>
        <row r="512">
          <cell r="D512">
            <v>6.2</v>
          </cell>
        </row>
        <row r="515">
          <cell r="D515">
            <v>0.21</v>
          </cell>
        </row>
        <row r="517">
          <cell r="D517">
            <v>0.38</v>
          </cell>
        </row>
        <row r="519">
          <cell r="D519">
            <v>2.12</v>
          </cell>
        </row>
        <row r="537">
          <cell r="D537">
            <v>168</v>
          </cell>
        </row>
        <row r="555">
          <cell r="D555">
            <v>9792</v>
          </cell>
        </row>
        <row r="556">
          <cell r="D556">
            <v>10251</v>
          </cell>
        </row>
        <row r="557">
          <cell r="D557">
            <v>9180</v>
          </cell>
        </row>
        <row r="558">
          <cell r="D558">
            <v>12084.55</v>
          </cell>
        </row>
        <row r="559">
          <cell r="D559">
            <v>12084.55</v>
          </cell>
        </row>
        <row r="562">
          <cell r="D562">
            <v>424.01</v>
          </cell>
        </row>
        <row r="588">
          <cell r="D588">
            <v>1436.36</v>
          </cell>
        </row>
        <row r="790">
          <cell r="D790">
            <v>5.25</v>
          </cell>
        </row>
        <row r="801">
          <cell r="D801">
            <v>242.76</v>
          </cell>
        </row>
        <row r="885">
          <cell r="D885">
            <v>25.18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0350"/>
      <sheetName val="ремонт"/>
      <sheetName val="масло"/>
      <sheetName val="бензин"/>
    </sheetNames>
    <sheetDataSet>
      <sheetData sheetId="3">
        <row r="22">
          <cell r="B22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6" sqref="G26"/>
    </sheetView>
  </sheetViews>
  <sheetFormatPr defaultColWidth="9.125" defaultRowHeight="12.75"/>
  <cols>
    <col min="1" max="1" width="16.875" style="1" customWidth="1"/>
    <col min="2" max="2" width="8.625" style="1" customWidth="1"/>
    <col min="3" max="3" width="11.125" style="1" customWidth="1"/>
    <col min="4" max="4" width="14.125" style="1" customWidth="1"/>
    <col min="5" max="6" width="14.50390625" style="1" customWidth="1"/>
    <col min="7" max="7" width="14.625" style="1" customWidth="1"/>
    <col min="8" max="8" width="11.00390625" style="1" customWidth="1"/>
    <col min="9" max="9" width="10.00390625" style="1" bestFit="1" customWidth="1"/>
    <col min="10" max="10" width="11.625" style="5" customWidth="1"/>
    <col min="11" max="11" width="9.50390625" style="1" customWidth="1"/>
    <col min="12" max="12" width="6.625" style="1" customWidth="1"/>
    <col min="13" max="13" width="8.375" style="1" customWidth="1"/>
    <col min="14" max="16384" width="9.125" style="1" customWidth="1"/>
  </cols>
  <sheetData>
    <row r="1" ht="12.75">
      <c r="G1" s="1" t="s">
        <v>35</v>
      </c>
    </row>
    <row r="2" spans="2:3" ht="18">
      <c r="B2" s="25" t="s">
        <v>25</v>
      </c>
      <c r="C2" s="4"/>
    </row>
    <row r="3" ht="12.75">
      <c r="B3" s="1" t="s">
        <v>261</v>
      </c>
    </row>
    <row r="4" spans="1:10" ht="13.5">
      <c r="A4" s="1" t="s">
        <v>38</v>
      </c>
      <c r="C4" s="1" t="s">
        <v>644</v>
      </c>
      <c r="J4" s="1"/>
    </row>
    <row r="5" spans="1:10" ht="12.75">
      <c r="A5" s="1" t="s">
        <v>39</v>
      </c>
      <c r="J5" s="1"/>
    </row>
    <row r="7" ht="13.5" thickBot="1">
      <c r="H7" s="3"/>
    </row>
    <row r="8" spans="1:10" ht="13.5" thickBot="1">
      <c r="A8" s="7" t="s">
        <v>29</v>
      </c>
      <c r="B8" s="653" t="s">
        <v>0</v>
      </c>
      <c r="C8" s="654"/>
      <c r="D8" s="654"/>
      <c r="E8" s="654"/>
      <c r="F8" s="655"/>
      <c r="G8" s="12"/>
      <c r="H8" s="3"/>
      <c r="I8" s="26"/>
      <c r="J8" s="1"/>
    </row>
    <row r="9" spans="1:10" ht="13.5" thickBot="1">
      <c r="A9" s="11" t="s">
        <v>27</v>
      </c>
      <c r="B9" s="653" t="s">
        <v>1</v>
      </c>
      <c r="C9" s="654"/>
      <c r="D9" s="654"/>
      <c r="E9" s="655"/>
      <c r="F9" s="27" t="s">
        <v>2</v>
      </c>
      <c r="G9" s="28"/>
      <c r="H9" s="3"/>
      <c r="I9" s="26"/>
      <c r="J9" s="1"/>
    </row>
    <row r="10" spans="1:10" ht="12.75">
      <c r="A10" s="9" t="s">
        <v>28</v>
      </c>
      <c r="B10" s="11" t="s">
        <v>30</v>
      </c>
      <c r="C10" s="7" t="s">
        <v>30</v>
      </c>
      <c r="D10" s="29" t="s">
        <v>3</v>
      </c>
      <c r="E10" s="30" t="s">
        <v>3</v>
      </c>
      <c r="F10" s="29"/>
      <c r="G10" s="31" t="s">
        <v>22</v>
      </c>
      <c r="J10" s="1"/>
    </row>
    <row r="11" spans="1:10" ht="13.5" thickBot="1">
      <c r="A11" s="10" t="s">
        <v>26</v>
      </c>
      <c r="B11" s="32" t="s">
        <v>31</v>
      </c>
      <c r="C11" s="33" t="s">
        <v>32</v>
      </c>
      <c r="D11" s="34" t="s">
        <v>33</v>
      </c>
      <c r="E11" s="10" t="s">
        <v>34</v>
      </c>
      <c r="F11" s="35" t="s">
        <v>5</v>
      </c>
      <c r="G11" s="36"/>
      <c r="J11" s="1"/>
    </row>
    <row r="12" spans="1:10" ht="17.25" customHeight="1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4">
        <v>6</v>
      </c>
      <c r="G12" s="45">
        <v>7</v>
      </c>
      <c r="J12" s="1"/>
    </row>
    <row r="13" spans="1:10" ht="17.25" customHeight="1" thickBot="1">
      <c r="A13" s="656" t="s">
        <v>41</v>
      </c>
      <c r="B13" s="657"/>
      <c r="C13" s="657"/>
      <c r="D13" s="657"/>
      <c r="E13" s="657"/>
      <c r="F13" s="657"/>
      <c r="G13" s="658"/>
      <c r="J13" s="1"/>
    </row>
    <row r="14" spans="1:10" ht="12.75">
      <c r="A14" s="402"/>
      <c r="B14" s="14"/>
      <c r="C14" s="14"/>
      <c r="D14" s="14"/>
      <c r="E14" s="14"/>
      <c r="F14" s="14">
        <v>110100</v>
      </c>
      <c r="G14" s="631" t="e">
        <f>#REF!</f>
        <v>#REF!</v>
      </c>
      <c r="H14" s="3"/>
      <c r="I14" s="26" t="e">
        <f>G14+G15</f>
        <v>#REF!</v>
      </c>
      <c r="J14" s="3"/>
    </row>
    <row r="15" spans="1:10" ht="12.75">
      <c r="A15" s="54"/>
      <c r="B15" s="37"/>
      <c r="C15" s="37"/>
      <c r="D15" s="37"/>
      <c r="E15" s="37"/>
      <c r="F15" s="37">
        <v>110200</v>
      </c>
      <c r="G15" s="632" t="e">
        <f>#REF!</f>
        <v>#REF!</v>
      </c>
      <c r="H15" s="3"/>
      <c r="I15" s="3"/>
      <c r="J15" s="3"/>
    </row>
    <row r="16" spans="1:10" ht="12.75">
      <c r="A16" s="54"/>
      <c r="B16" s="37"/>
      <c r="C16" s="37"/>
      <c r="D16" s="37"/>
      <c r="E16" s="37"/>
      <c r="F16" s="23">
        <v>110300</v>
      </c>
      <c r="G16" s="632" t="e">
        <f>'Хоз. и др.расх.'!G11</f>
        <v>#REF!</v>
      </c>
      <c r="H16" s="3"/>
      <c r="I16" s="3"/>
      <c r="J16" s="3"/>
    </row>
    <row r="17" spans="1:10" ht="12.75">
      <c r="A17" s="54"/>
      <c r="B17" s="37"/>
      <c r="C17" s="37"/>
      <c r="D17" s="37"/>
      <c r="E17" s="37"/>
      <c r="F17" s="23">
        <v>110400</v>
      </c>
      <c r="G17" s="632" t="e">
        <f>'Хоз. и др.расх.'!G41</f>
        <v>#REF!</v>
      </c>
      <c r="H17" s="3"/>
      <c r="I17" s="3"/>
      <c r="J17" s="3"/>
    </row>
    <row r="18" spans="1:10" ht="12.75">
      <c r="A18" s="54"/>
      <c r="B18" s="37"/>
      <c r="C18" s="37"/>
      <c r="D18" s="37"/>
      <c r="E18" s="37"/>
      <c r="F18" s="23">
        <v>110500</v>
      </c>
      <c r="G18" s="632">
        <f>'Хоз. и др.расх.'!G46</f>
        <v>0</v>
      </c>
      <c r="H18" s="3"/>
      <c r="I18" s="3"/>
      <c r="J18" s="3"/>
    </row>
    <row r="19" spans="1:10" ht="12.75">
      <c r="A19" s="54"/>
      <c r="B19" s="37"/>
      <c r="C19" s="37"/>
      <c r="D19" s="37"/>
      <c r="E19" s="37"/>
      <c r="F19" s="23">
        <v>110600</v>
      </c>
      <c r="G19" s="632">
        <f>'Хоз. и др.расх.'!G48</f>
        <v>45920</v>
      </c>
      <c r="H19" s="3"/>
      <c r="I19" s="3"/>
      <c r="J19" s="3"/>
    </row>
    <row r="20" spans="1:10" ht="12.75">
      <c r="A20" s="54"/>
      <c r="B20" s="37"/>
      <c r="C20" s="37"/>
      <c r="D20" s="37"/>
      <c r="E20" s="37"/>
      <c r="F20" s="23">
        <v>110700</v>
      </c>
      <c r="G20" s="632">
        <f>'Хоз. и др.расх.'!G79</f>
        <v>95804</v>
      </c>
      <c r="H20" s="3"/>
      <c r="I20" s="3"/>
      <c r="J20" s="3"/>
    </row>
    <row r="21" spans="1:10" ht="12.75">
      <c r="A21" s="54"/>
      <c r="B21" s="37"/>
      <c r="C21" s="37"/>
      <c r="D21" s="37"/>
      <c r="E21" s="37"/>
      <c r="F21" s="23">
        <v>111000</v>
      </c>
      <c r="G21" s="632" t="e">
        <f>'Хоз. и др.расх.'!G102</f>
        <v>#REF!</v>
      </c>
      <c r="H21" s="3"/>
      <c r="I21" s="3"/>
      <c r="J21" s="3"/>
    </row>
    <row r="22" spans="1:10" ht="12.75">
      <c r="A22" s="54"/>
      <c r="B22" s="37"/>
      <c r="C22" s="37"/>
      <c r="D22" s="37"/>
      <c r="E22" s="37"/>
      <c r="F22" s="23">
        <v>130000</v>
      </c>
      <c r="G22" s="632">
        <f>'Хоз. и др.расх.'!G126</f>
        <v>0</v>
      </c>
      <c r="H22" s="3"/>
      <c r="I22" s="3"/>
      <c r="J22" s="3"/>
    </row>
    <row r="23" spans="1:10" ht="12.75">
      <c r="A23" s="54"/>
      <c r="B23" s="37"/>
      <c r="C23" s="37"/>
      <c r="D23" s="37"/>
      <c r="E23" s="37"/>
      <c r="F23" s="23">
        <v>240100</v>
      </c>
      <c r="G23" s="632" t="e">
        <f>'Хоз. и др.расх.'!G144</f>
        <v>#REF!</v>
      </c>
      <c r="H23" s="3"/>
      <c r="I23" s="3"/>
      <c r="J23" s="3"/>
    </row>
    <row r="24" spans="1:10" ht="12.75">
      <c r="A24" s="50" t="s">
        <v>6</v>
      </c>
      <c r="B24" s="18"/>
      <c r="C24" s="18"/>
      <c r="D24" s="18"/>
      <c r="E24" s="18"/>
      <c r="F24" s="18"/>
      <c r="G24" s="630" t="e">
        <f>SUM(G14:G23)</f>
        <v>#REF!</v>
      </c>
      <c r="H24" s="3"/>
      <c r="I24" s="292"/>
      <c r="J24" s="3"/>
    </row>
    <row r="25" spans="1:7" ht="13.5">
      <c r="A25" s="37"/>
      <c r="B25" s="37"/>
      <c r="C25" s="37"/>
      <c r="D25" s="37"/>
      <c r="E25" s="37"/>
      <c r="F25" s="553" t="s">
        <v>1111</v>
      </c>
      <c r="G25" s="633">
        <f>мобилизация!I45</f>
        <v>1931663</v>
      </c>
    </row>
    <row r="26" spans="1:7" ht="13.5">
      <c r="A26" s="37"/>
      <c r="B26" s="37"/>
      <c r="C26" s="37"/>
      <c r="D26" s="37"/>
      <c r="E26" s="37"/>
      <c r="F26" s="553" t="s">
        <v>1112</v>
      </c>
      <c r="G26" s="634" t="e">
        <f>G24-G25</f>
        <v>#REF!</v>
      </c>
    </row>
    <row r="27" spans="1:7" ht="14.25" thickBot="1">
      <c r="A27" s="20"/>
      <c r="B27" s="20"/>
      <c r="C27" s="20"/>
      <c r="D27" s="20"/>
      <c r="E27" s="20"/>
      <c r="F27" s="617" t="s">
        <v>1113</v>
      </c>
      <c r="G27" s="635" t="e">
        <f>'Хоз. и др.расх.'!G152</f>
        <v>#REF!</v>
      </c>
    </row>
    <row r="31" ht="12.75">
      <c r="A31" s="1" t="s">
        <v>8</v>
      </c>
    </row>
    <row r="33" ht="12.75">
      <c r="A33" s="1" t="s">
        <v>24</v>
      </c>
    </row>
  </sheetData>
  <sheetProtection/>
  <mergeCells count="3">
    <mergeCell ref="B9:E9"/>
    <mergeCell ref="B8:F8"/>
    <mergeCell ref="A13:G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B19" sqref="B19:G21"/>
    </sheetView>
  </sheetViews>
  <sheetFormatPr defaultColWidth="9.00390625" defaultRowHeight="12.75"/>
  <cols>
    <col min="1" max="1" width="6.50390625" style="0" customWidth="1"/>
    <col min="2" max="2" width="13.125" style="0" customWidth="1"/>
    <col min="11" max="11" width="10.875" style="0" customWidth="1"/>
  </cols>
  <sheetData>
    <row r="2" spans="1:12" ht="12.75">
      <c r="A2" s="58"/>
      <c r="B2" s="3"/>
      <c r="C2" s="142" t="s">
        <v>262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8"/>
      <c r="B3" s="58" t="s">
        <v>183</v>
      </c>
      <c r="C3" s="3" t="s">
        <v>376</v>
      </c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</row>
    <row r="6" spans="1:12" ht="12.75">
      <c r="A6" s="9" t="s">
        <v>192</v>
      </c>
      <c r="B6" s="29" t="s">
        <v>193</v>
      </c>
      <c r="C6" s="9" t="s">
        <v>194</v>
      </c>
      <c r="D6" s="29" t="s">
        <v>195</v>
      </c>
      <c r="E6" s="9" t="s">
        <v>196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</row>
    <row r="7" spans="1:12" ht="12.75">
      <c r="A7" s="9"/>
      <c r="B7" s="29"/>
      <c r="C7" s="9" t="s">
        <v>202</v>
      </c>
      <c r="D7" s="29" t="s">
        <v>203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</row>
    <row r="8" spans="1:12" ht="13.5" thickBot="1">
      <c r="A8" s="10"/>
      <c r="B8" s="40"/>
      <c r="C8" s="13"/>
      <c r="D8" s="34" t="s">
        <v>235</v>
      </c>
      <c r="E8" s="13"/>
      <c r="F8" s="34" t="s">
        <v>208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196</v>
      </c>
      <c r="L8" s="13"/>
    </row>
    <row r="9" spans="1:12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</row>
    <row r="10" spans="1:12" ht="12.75">
      <c r="A10" s="402"/>
      <c r="B10" s="403"/>
      <c r="C10" s="402"/>
      <c r="D10" s="403"/>
      <c r="E10" s="402"/>
      <c r="F10" s="403"/>
      <c r="G10" s="402"/>
      <c r="H10" s="403"/>
      <c r="I10" s="402"/>
      <c r="J10" s="403"/>
      <c r="K10" s="402"/>
      <c r="L10" s="402"/>
    </row>
    <row r="11" spans="1:12" ht="12.75">
      <c r="A11" s="404">
        <v>1</v>
      </c>
      <c r="B11" s="145" t="s">
        <v>377</v>
      </c>
      <c r="C11" s="16">
        <v>1995</v>
      </c>
      <c r="D11" s="145">
        <v>882</v>
      </c>
      <c r="E11" s="16" t="s">
        <v>378</v>
      </c>
      <c r="F11" s="145">
        <v>20</v>
      </c>
      <c r="G11" s="16">
        <v>22</v>
      </c>
      <c r="H11" s="145">
        <f aca="true" t="shared" si="0" ref="H11:H21">(D11*F11)/100*7</f>
        <v>1234.8</v>
      </c>
      <c r="I11" s="16">
        <f aca="true" t="shared" si="1" ref="I11:I21">D11*G11/100*5</f>
        <v>970.2</v>
      </c>
      <c r="J11" s="145">
        <f aca="true" t="shared" si="2" ref="J11:J21">(H11+I11)</f>
        <v>2205</v>
      </c>
      <c r="K11" s="405">
        <f>'[1]Хоз. и др.расх.'!F31</f>
        <v>414.31</v>
      </c>
      <c r="L11" s="302">
        <f>J11*K11/1000</f>
        <v>913.55</v>
      </c>
    </row>
    <row r="12" spans="1:12" ht="12.75">
      <c r="A12" s="54">
        <v>2</v>
      </c>
      <c r="B12" s="406" t="s">
        <v>379</v>
      </c>
      <c r="C12" s="37">
        <v>1990</v>
      </c>
      <c r="D12" s="38">
        <v>1163</v>
      </c>
      <c r="E12" s="16" t="s">
        <v>378</v>
      </c>
      <c r="F12" s="38">
        <v>21</v>
      </c>
      <c r="G12" s="37">
        <v>22</v>
      </c>
      <c r="H12" s="38">
        <f t="shared" si="0"/>
        <v>1709.61</v>
      </c>
      <c r="I12" s="37">
        <f t="shared" si="1"/>
        <v>1279.3</v>
      </c>
      <c r="J12" s="38">
        <f t="shared" si="2"/>
        <v>2988.91</v>
      </c>
      <c r="K12" s="407">
        <f>'[1]Хоз. и др.расх.'!F31</f>
        <v>414.31</v>
      </c>
      <c r="L12" s="302">
        <f aca="true" t="shared" si="3" ref="L12:L21">J12*K12/1000</f>
        <v>1238.34</v>
      </c>
    </row>
    <row r="13" spans="1:12" ht="12.75">
      <c r="A13" s="54">
        <v>3</v>
      </c>
      <c r="B13" s="406" t="s">
        <v>380</v>
      </c>
      <c r="C13" s="37">
        <v>2010</v>
      </c>
      <c r="D13" s="38">
        <v>1468</v>
      </c>
      <c r="E13" s="16" t="s">
        <v>378</v>
      </c>
      <c r="F13" s="38">
        <v>11</v>
      </c>
      <c r="G13" s="37">
        <v>12</v>
      </c>
      <c r="H13" s="38">
        <f t="shared" si="0"/>
        <v>1130.36</v>
      </c>
      <c r="I13" s="37">
        <f t="shared" si="1"/>
        <v>880.8</v>
      </c>
      <c r="J13" s="38">
        <f t="shared" si="2"/>
        <v>2011.16</v>
      </c>
      <c r="K13" s="407">
        <f>'[1]Хоз. и др.расх.'!F31</f>
        <v>414.31</v>
      </c>
      <c r="L13" s="302">
        <f t="shared" si="3"/>
        <v>833.24</v>
      </c>
    </row>
    <row r="14" spans="1:12" ht="12.75">
      <c r="A14" s="54">
        <v>4</v>
      </c>
      <c r="B14" s="406" t="s">
        <v>381</v>
      </c>
      <c r="C14" s="37">
        <v>1989</v>
      </c>
      <c r="D14" s="38">
        <v>1398</v>
      </c>
      <c r="E14" s="16" t="s">
        <v>378</v>
      </c>
      <c r="F14" s="38">
        <v>10</v>
      </c>
      <c r="G14" s="37">
        <v>11</v>
      </c>
      <c r="H14" s="38">
        <f t="shared" si="0"/>
        <v>978.6</v>
      </c>
      <c r="I14" s="37">
        <f t="shared" si="1"/>
        <v>768.9</v>
      </c>
      <c r="J14" s="38">
        <f t="shared" si="2"/>
        <v>1747.5</v>
      </c>
      <c r="K14" s="407">
        <f>'[1]Хоз. и др.расх.'!F31</f>
        <v>414.31</v>
      </c>
      <c r="L14" s="302">
        <f t="shared" si="3"/>
        <v>724.01</v>
      </c>
    </row>
    <row r="15" spans="1:12" ht="12.75">
      <c r="A15" s="54">
        <v>5</v>
      </c>
      <c r="B15" s="406" t="s">
        <v>382</v>
      </c>
      <c r="C15" s="37">
        <v>2005</v>
      </c>
      <c r="D15" s="38">
        <v>1245</v>
      </c>
      <c r="E15" s="37" t="s">
        <v>383</v>
      </c>
      <c r="F15" s="38">
        <v>14</v>
      </c>
      <c r="G15" s="37">
        <v>15</v>
      </c>
      <c r="H15" s="38">
        <f t="shared" si="0"/>
        <v>1220.1</v>
      </c>
      <c r="I15" s="37">
        <f t="shared" si="1"/>
        <v>933.75</v>
      </c>
      <c r="J15" s="38">
        <f t="shared" si="2"/>
        <v>2153.85</v>
      </c>
      <c r="K15" s="407">
        <f>'[1]Хоз. и др.расх.'!F31</f>
        <v>414.31</v>
      </c>
      <c r="L15" s="302">
        <f t="shared" si="3"/>
        <v>892.36</v>
      </c>
    </row>
    <row r="16" spans="1:12" ht="12.75">
      <c r="A16" s="54">
        <v>6</v>
      </c>
      <c r="B16" s="38" t="s">
        <v>384</v>
      </c>
      <c r="C16" s="37">
        <v>1983</v>
      </c>
      <c r="D16" s="38">
        <v>670</v>
      </c>
      <c r="E16" s="37" t="s">
        <v>383</v>
      </c>
      <c r="F16" s="38">
        <v>49</v>
      </c>
      <c r="G16" s="37">
        <v>53</v>
      </c>
      <c r="H16" s="38">
        <f t="shared" si="0"/>
        <v>2298.1</v>
      </c>
      <c r="I16" s="37">
        <f t="shared" si="1"/>
        <v>1775.5</v>
      </c>
      <c r="J16" s="38">
        <f t="shared" si="2"/>
        <v>4073.6</v>
      </c>
      <c r="K16" s="407">
        <f>'[1]Хоз. и др.расх.'!F31</f>
        <v>414.31</v>
      </c>
      <c r="L16" s="302">
        <f t="shared" si="3"/>
        <v>1687.73</v>
      </c>
    </row>
    <row r="17" spans="1:12" ht="12.75">
      <c r="A17" s="54">
        <v>7</v>
      </c>
      <c r="B17" s="406" t="s">
        <v>385</v>
      </c>
      <c r="C17" s="37">
        <v>2007</v>
      </c>
      <c r="D17" s="38">
        <v>1171</v>
      </c>
      <c r="E17" s="37" t="s">
        <v>386</v>
      </c>
      <c r="F17" s="38">
        <v>10</v>
      </c>
      <c r="G17" s="37">
        <v>11</v>
      </c>
      <c r="H17" s="38">
        <f t="shared" si="0"/>
        <v>819.7</v>
      </c>
      <c r="I17" s="37">
        <f t="shared" si="1"/>
        <v>644.05</v>
      </c>
      <c r="J17" s="38">
        <f t="shared" si="2"/>
        <v>1463.75</v>
      </c>
      <c r="K17" s="407">
        <f>'[1]Хоз. и др.расх.'!F32</f>
        <v>12270.96</v>
      </c>
      <c r="L17" s="302">
        <f t="shared" si="3"/>
        <v>17961.62</v>
      </c>
    </row>
    <row r="18" spans="1:12" ht="12.75">
      <c r="A18" s="54">
        <v>8</v>
      </c>
      <c r="B18" s="406" t="s">
        <v>387</v>
      </c>
      <c r="C18" s="37">
        <v>1998</v>
      </c>
      <c r="D18" s="38">
        <v>1483</v>
      </c>
      <c r="E18" s="37" t="s">
        <v>386</v>
      </c>
      <c r="F18" s="38">
        <v>13</v>
      </c>
      <c r="G18" s="37">
        <v>14</v>
      </c>
      <c r="H18" s="38">
        <f t="shared" si="0"/>
        <v>1349.53</v>
      </c>
      <c r="I18" s="37">
        <f t="shared" si="1"/>
        <v>1038.1</v>
      </c>
      <c r="J18" s="38">
        <f t="shared" si="2"/>
        <v>2387.63</v>
      </c>
      <c r="K18" s="407">
        <f>'[1]Хоз. и др.расх.'!F32</f>
        <v>12270.96</v>
      </c>
      <c r="L18" s="302">
        <f t="shared" si="3"/>
        <v>29298.51</v>
      </c>
    </row>
    <row r="19" spans="1:12" ht="12.75">
      <c r="A19" s="54">
        <v>9</v>
      </c>
      <c r="B19" s="406" t="s">
        <v>388</v>
      </c>
      <c r="C19" s="37">
        <v>2005</v>
      </c>
      <c r="D19" s="38">
        <v>661</v>
      </c>
      <c r="E19" s="37" t="s">
        <v>368</v>
      </c>
      <c r="F19" s="38">
        <v>41</v>
      </c>
      <c r="G19" s="37">
        <v>44</v>
      </c>
      <c r="H19" s="38">
        <f t="shared" si="0"/>
        <v>1897.07</v>
      </c>
      <c r="I19" s="37">
        <f t="shared" si="1"/>
        <v>1454.2</v>
      </c>
      <c r="J19" s="38">
        <f t="shared" si="2"/>
        <v>3351.27</v>
      </c>
      <c r="K19" s="407">
        <f>'[1]Хоз. и др.расх.'!F34</f>
        <v>0</v>
      </c>
      <c r="L19" s="302">
        <f t="shared" si="3"/>
        <v>0</v>
      </c>
    </row>
    <row r="20" spans="1:12" ht="12.75">
      <c r="A20" s="54">
        <v>10</v>
      </c>
      <c r="B20" s="38" t="s">
        <v>389</v>
      </c>
      <c r="C20" s="37">
        <v>1989</v>
      </c>
      <c r="D20" s="38">
        <v>683</v>
      </c>
      <c r="E20" s="37" t="s">
        <v>368</v>
      </c>
      <c r="F20" s="38">
        <v>38</v>
      </c>
      <c r="G20" s="37">
        <v>41</v>
      </c>
      <c r="H20" s="38">
        <f t="shared" si="0"/>
        <v>1816.78</v>
      </c>
      <c r="I20" s="37">
        <f t="shared" si="1"/>
        <v>1400.15</v>
      </c>
      <c r="J20" s="38">
        <f t="shared" si="2"/>
        <v>3216.93</v>
      </c>
      <c r="K20" s="407">
        <f>'[1]Хоз. и др.расх.'!F34</f>
        <v>0</v>
      </c>
      <c r="L20" s="302">
        <f t="shared" si="3"/>
        <v>0</v>
      </c>
    </row>
    <row r="21" spans="1:12" ht="12.75">
      <c r="A21" s="54">
        <v>11</v>
      </c>
      <c r="B21" s="38" t="s">
        <v>390</v>
      </c>
      <c r="C21" s="37">
        <v>1991</v>
      </c>
      <c r="D21" s="38">
        <v>700</v>
      </c>
      <c r="E21" s="37" t="s">
        <v>368</v>
      </c>
      <c r="F21" s="38">
        <v>39</v>
      </c>
      <c r="G21" s="37">
        <v>41</v>
      </c>
      <c r="H21" s="38">
        <f t="shared" si="0"/>
        <v>1911</v>
      </c>
      <c r="I21" s="37">
        <f t="shared" si="1"/>
        <v>1435</v>
      </c>
      <c r="J21" s="38">
        <f t="shared" si="2"/>
        <v>3346</v>
      </c>
      <c r="K21" s="407">
        <f>'[1]Хоз. и др.расх.'!F34</f>
        <v>0</v>
      </c>
      <c r="L21" s="302">
        <f t="shared" si="3"/>
        <v>0</v>
      </c>
    </row>
    <row r="22" spans="1:12" ht="13.5" thickBot="1">
      <c r="A22" s="55"/>
      <c r="B22" s="148"/>
      <c r="C22" s="149"/>
      <c r="D22" s="150"/>
      <c r="E22" s="149"/>
      <c r="F22" s="150"/>
      <c r="G22" s="149"/>
      <c r="H22" s="150"/>
      <c r="I22" s="149"/>
      <c r="J22" s="150"/>
      <c r="K22" s="149"/>
      <c r="L22" s="408"/>
    </row>
    <row r="23" spans="1:12" ht="13.5" thickBot="1">
      <c r="A23" s="151"/>
      <c r="B23" s="129" t="s">
        <v>19</v>
      </c>
      <c r="C23" s="130"/>
      <c r="D23" s="152"/>
      <c r="E23" s="130"/>
      <c r="F23" s="152"/>
      <c r="G23" s="130"/>
      <c r="H23" s="152">
        <f>SUM(H11:H22)</f>
        <v>16365.65</v>
      </c>
      <c r="I23" s="130">
        <f>SUM(I11:I22)</f>
        <v>12579.95</v>
      </c>
      <c r="J23" s="152">
        <f>SUM(J11:J22)</f>
        <v>28945.6</v>
      </c>
      <c r="K23" s="130"/>
      <c r="L23" s="409">
        <f>SUM(L11:L22)</f>
        <v>53549.36</v>
      </c>
    </row>
    <row r="24" spans="1:12" ht="12.75">
      <c r="A24" s="15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29"/>
      <c r="B25" s="3" t="s">
        <v>210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2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F11" sqref="F11:G15"/>
    </sheetView>
  </sheetViews>
  <sheetFormatPr defaultColWidth="9.00390625" defaultRowHeight="12.75"/>
  <cols>
    <col min="2" max="2" width="11.125" style="0" customWidth="1"/>
  </cols>
  <sheetData>
    <row r="2" spans="1:12" ht="12.75">
      <c r="A2" s="58"/>
      <c r="B2" s="3"/>
      <c r="C2" s="142" t="s">
        <v>262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8"/>
      <c r="B3" s="58" t="s">
        <v>183</v>
      </c>
      <c r="C3" s="3" t="s">
        <v>391</v>
      </c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</row>
    <row r="6" spans="1:12" ht="12.75">
      <c r="A6" s="9" t="s">
        <v>192</v>
      </c>
      <c r="B6" s="29" t="s">
        <v>193</v>
      </c>
      <c r="C6" s="9" t="s">
        <v>194</v>
      </c>
      <c r="D6" s="29" t="s">
        <v>195</v>
      </c>
      <c r="E6" s="9" t="s">
        <v>196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</row>
    <row r="7" spans="1:12" ht="12.75">
      <c r="A7" s="9"/>
      <c r="B7" s="29"/>
      <c r="C7" s="9" t="s">
        <v>202</v>
      </c>
      <c r="D7" s="29" t="s">
        <v>203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</row>
    <row r="8" spans="1:12" ht="13.5" thickBot="1">
      <c r="A8" s="10"/>
      <c r="B8" s="40"/>
      <c r="C8" s="13"/>
      <c r="D8" s="34" t="s">
        <v>235</v>
      </c>
      <c r="E8" s="13"/>
      <c r="F8" s="34" t="s">
        <v>208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196</v>
      </c>
      <c r="L8" s="13"/>
    </row>
    <row r="9" spans="1:12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</row>
    <row r="10" spans="1:12" ht="12.75">
      <c r="A10" s="143"/>
      <c r="B10" s="144"/>
      <c r="C10" s="16"/>
      <c r="D10" s="145"/>
      <c r="E10" s="16"/>
      <c r="F10" s="145"/>
      <c r="G10" s="16"/>
      <c r="H10" s="145">
        <f aca="true" t="shared" si="0" ref="H10:H15">(D10*F10)/100*7</f>
        <v>0</v>
      </c>
      <c r="I10" s="16">
        <f aca="true" t="shared" si="1" ref="I10:I15">D10*G10/100*5</f>
        <v>0</v>
      </c>
      <c r="J10" s="145">
        <f aca="true" t="shared" si="2" ref="J10:J15">(H10+I10)</f>
        <v>0</v>
      </c>
      <c r="K10" s="16"/>
      <c r="L10" s="16">
        <f>J10*K10</f>
        <v>0</v>
      </c>
    </row>
    <row r="11" spans="1:12" ht="12.75">
      <c r="A11" s="53"/>
      <c r="B11" s="146" t="s">
        <v>392</v>
      </c>
      <c r="C11" s="23">
        <v>1983</v>
      </c>
      <c r="D11" s="406">
        <v>2000</v>
      </c>
      <c r="E11" s="23" t="s">
        <v>393</v>
      </c>
      <c r="F11" s="406">
        <v>10.8</v>
      </c>
      <c r="G11" s="23">
        <v>11.56</v>
      </c>
      <c r="H11" s="145">
        <f t="shared" si="0"/>
        <v>1512</v>
      </c>
      <c r="I11" s="16">
        <f t="shared" si="1"/>
        <v>1156</v>
      </c>
      <c r="J11" s="145">
        <f t="shared" si="2"/>
        <v>2668</v>
      </c>
      <c r="K11" s="405">
        <f>'[3]Хоз. и др.расх.'!F31</f>
        <v>414.31</v>
      </c>
      <c r="L11" s="302">
        <f>J11*K11/1000</f>
        <v>1105.38</v>
      </c>
    </row>
    <row r="12" spans="1:12" ht="12.75">
      <c r="A12" s="53"/>
      <c r="B12" s="146" t="s">
        <v>382</v>
      </c>
      <c r="C12" s="23">
        <v>1997</v>
      </c>
      <c r="D12" s="406">
        <v>2000</v>
      </c>
      <c r="E12" s="23" t="s">
        <v>393</v>
      </c>
      <c r="F12" s="406">
        <v>13.8</v>
      </c>
      <c r="G12" s="23">
        <v>14.77</v>
      </c>
      <c r="H12" s="38">
        <f t="shared" si="0"/>
        <v>1932</v>
      </c>
      <c r="I12" s="37">
        <f t="shared" si="1"/>
        <v>1477</v>
      </c>
      <c r="J12" s="38">
        <f t="shared" si="2"/>
        <v>3409</v>
      </c>
      <c r="K12" s="305">
        <f>K11</f>
        <v>414.31</v>
      </c>
      <c r="L12" s="302">
        <f>J12*K12/1000</f>
        <v>1412.38</v>
      </c>
    </row>
    <row r="13" spans="1:12" ht="12.75">
      <c r="A13" s="54"/>
      <c r="B13" s="146" t="s">
        <v>394</v>
      </c>
      <c r="C13" s="23">
        <v>1988</v>
      </c>
      <c r="D13" s="406">
        <v>2000</v>
      </c>
      <c r="E13" s="23" t="s">
        <v>393</v>
      </c>
      <c r="F13" s="406">
        <v>37.9</v>
      </c>
      <c r="G13" s="23">
        <v>40.55</v>
      </c>
      <c r="H13" s="38">
        <f t="shared" si="0"/>
        <v>5306</v>
      </c>
      <c r="I13" s="37">
        <f t="shared" si="1"/>
        <v>4055</v>
      </c>
      <c r="J13" s="38">
        <f t="shared" si="2"/>
        <v>9361</v>
      </c>
      <c r="K13" s="405">
        <f>K12</f>
        <v>414.31</v>
      </c>
      <c r="L13" s="302">
        <f>J13*K13/1000</f>
        <v>3878.36</v>
      </c>
    </row>
    <row r="14" spans="1:12" ht="12.75">
      <c r="A14" s="54"/>
      <c r="B14" s="146" t="s">
        <v>395</v>
      </c>
      <c r="C14" s="23">
        <v>1983</v>
      </c>
      <c r="D14" s="406">
        <v>2000</v>
      </c>
      <c r="E14" s="23" t="s">
        <v>393</v>
      </c>
      <c r="F14" s="406">
        <v>10.8</v>
      </c>
      <c r="G14" s="23">
        <v>11.56</v>
      </c>
      <c r="H14" s="38">
        <f t="shared" si="0"/>
        <v>1512</v>
      </c>
      <c r="I14" s="37">
        <f t="shared" si="1"/>
        <v>1156</v>
      </c>
      <c r="J14" s="38">
        <f t="shared" si="2"/>
        <v>2668</v>
      </c>
      <c r="K14" s="305">
        <f>K13</f>
        <v>414.31</v>
      </c>
      <c r="L14" s="302">
        <f>J14*K14/1000</f>
        <v>1105.38</v>
      </c>
    </row>
    <row r="15" spans="1:12" ht="13.5" thickBot="1">
      <c r="A15" s="55"/>
      <c r="B15" s="146" t="s">
        <v>396</v>
      </c>
      <c r="C15" s="410">
        <v>1988</v>
      </c>
      <c r="D15" s="406">
        <v>2000</v>
      </c>
      <c r="E15" s="23" t="s">
        <v>393</v>
      </c>
      <c r="F15" s="411">
        <v>10.3</v>
      </c>
      <c r="G15" s="410">
        <v>11.56</v>
      </c>
      <c r="H15" s="38">
        <f t="shared" si="0"/>
        <v>1442</v>
      </c>
      <c r="I15" s="37">
        <f t="shared" si="1"/>
        <v>1156</v>
      </c>
      <c r="J15" s="38">
        <f t="shared" si="2"/>
        <v>2598</v>
      </c>
      <c r="K15" s="305">
        <f>K14</f>
        <v>414.31</v>
      </c>
      <c r="L15" s="302">
        <f>J15*K15/1000</f>
        <v>1076.38</v>
      </c>
    </row>
    <row r="16" spans="1:12" ht="13.5" thickBot="1">
      <c r="A16" s="412"/>
      <c r="B16" s="56" t="s">
        <v>19</v>
      </c>
      <c r="C16" s="413"/>
      <c r="D16" s="414"/>
      <c r="E16" s="413"/>
      <c r="F16" s="150"/>
      <c r="G16" s="149"/>
      <c r="H16" s="150"/>
      <c r="I16" s="149"/>
      <c r="J16" s="150"/>
      <c r="K16" s="149"/>
      <c r="L16" s="149"/>
    </row>
    <row r="17" spans="1:12" ht="13.5" thickBot="1">
      <c r="A17" s="415"/>
      <c r="B17" s="130"/>
      <c r="C17" s="152"/>
      <c r="D17" s="130">
        <f>SUM(D11:D16)</f>
        <v>10000</v>
      </c>
      <c r="E17" s="130"/>
      <c r="F17" s="416"/>
      <c r="G17" s="416"/>
      <c r="H17" s="152">
        <f>SUM(H11:H16)</f>
        <v>11704</v>
      </c>
      <c r="I17" s="130">
        <f>SUM(I11:I16)</f>
        <v>9000</v>
      </c>
      <c r="J17" s="152">
        <f>SUM(J11:J16)</f>
        <v>20704</v>
      </c>
      <c r="K17" s="130"/>
      <c r="L17" s="130">
        <f>SUM(L11:L16)</f>
        <v>8577.88</v>
      </c>
    </row>
    <row r="18" spans="1:12" ht="12.75">
      <c r="A18" s="29"/>
      <c r="B18" s="3" t="s">
        <v>210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11" sqref="B11:G14"/>
    </sheetView>
  </sheetViews>
  <sheetFormatPr defaultColWidth="9.00390625" defaultRowHeight="12.75"/>
  <cols>
    <col min="11" max="11" width="11.375" style="0" customWidth="1"/>
  </cols>
  <sheetData>
    <row r="2" spans="1:13" ht="12.75">
      <c r="A2" s="58"/>
      <c r="B2" s="3"/>
      <c r="C2" s="142" t="s">
        <v>397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58"/>
      <c r="B3" s="58" t="s">
        <v>183</v>
      </c>
      <c r="C3" s="3"/>
      <c r="D3" s="3" t="s">
        <v>398</v>
      </c>
      <c r="E3" s="3"/>
      <c r="F3" s="3"/>
      <c r="G3" s="3"/>
      <c r="H3" s="3"/>
      <c r="I3" s="3"/>
      <c r="J3" s="3"/>
      <c r="K3" s="3"/>
      <c r="L3" s="3"/>
      <c r="M3" s="3"/>
    </row>
    <row r="4" spans="1:13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  <c r="M5" s="29"/>
    </row>
    <row r="6" spans="1:13" ht="12.75">
      <c r="A6" s="9" t="s">
        <v>192</v>
      </c>
      <c r="B6" s="29" t="s">
        <v>399</v>
      </c>
      <c r="C6" s="9" t="s">
        <v>194</v>
      </c>
      <c r="D6" s="29" t="s">
        <v>195</v>
      </c>
      <c r="E6" s="9" t="s">
        <v>400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  <c r="M6" s="29"/>
    </row>
    <row r="7" spans="1:13" ht="12.75">
      <c r="A7" s="9"/>
      <c r="B7" s="29"/>
      <c r="C7" s="9" t="s">
        <v>202</v>
      </c>
      <c r="D7" s="29" t="s">
        <v>401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  <c r="M7" s="29"/>
    </row>
    <row r="8" spans="1:13" ht="13.5" thickBot="1">
      <c r="A8" s="10"/>
      <c r="B8" s="40"/>
      <c r="C8" s="13"/>
      <c r="D8" s="34" t="s">
        <v>235</v>
      </c>
      <c r="E8" s="13"/>
      <c r="F8" s="34" t="s">
        <v>402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403</v>
      </c>
      <c r="L8" s="13"/>
      <c r="M8" s="3"/>
    </row>
    <row r="9" spans="1:13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  <c r="M9" s="29"/>
    </row>
    <row r="10" spans="1:13" ht="12.75">
      <c r="A10" s="143"/>
      <c r="B10" s="144"/>
      <c r="C10" s="16"/>
      <c r="D10" s="145"/>
      <c r="E10" s="16"/>
      <c r="F10" s="145"/>
      <c r="G10" s="16"/>
      <c r="H10" s="145">
        <f>(D10*F10)/100*7</f>
        <v>0</v>
      </c>
      <c r="I10" s="16">
        <f>D10*G10/100*5</f>
        <v>0</v>
      </c>
      <c r="J10" s="145">
        <f>(H10+I10)</f>
        <v>0</v>
      </c>
      <c r="K10" s="16"/>
      <c r="L10" s="16">
        <f>J10*K10</f>
        <v>0</v>
      </c>
      <c r="M10" s="3"/>
    </row>
    <row r="11" spans="1:13" ht="12.75">
      <c r="A11" s="53"/>
      <c r="B11" s="146" t="s">
        <v>404</v>
      </c>
      <c r="C11" s="23"/>
      <c r="D11" s="406">
        <v>96</v>
      </c>
      <c r="E11" s="417" t="s">
        <v>368</v>
      </c>
      <c r="F11" s="406">
        <v>7.2</v>
      </c>
      <c r="G11" s="418">
        <f>F11*1.07</f>
        <v>7.7</v>
      </c>
      <c r="H11" s="301">
        <f>(D11*F11)*7</f>
        <v>4838.4</v>
      </c>
      <c r="I11" s="302">
        <f>D11*G11*5</f>
        <v>3696</v>
      </c>
      <c r="J11" s="301">
        <f>(H11+I11)</f>
        <v>8534.4</v>
      </c>
      <c r="K11" s="405">
        <f>'[3]Хоз. и др.расх.'!F33</f>
        <v>0</v>
      </c>
      <c r="L11" s="302">
        <f>J11*K11/1000</f>
        <v>0</v>
      </c>
      <c r="M11" s="3"/>
    </row>
    <row r="12" spans="1:13" ht="12.75">
      <c r="A12" s="53"/>
      <c r="B12" s="146" t="s">
        <v>405</v>
      </c>
      <c r="C12" s="23"/>
      <c r="D12" s="406">
        <v>80</v>
      </c>
      <c r="E12" s="417" t="s">
        <v>368</v>
      </c>
      <c r="F12" s="406">
        <v>9.4</v>
      </c>
      <c r="G12" s="418">
        <f>F12*1.07</f>
        <v>10.06</v>
      </c>
      <c r="H12" s="301">
        <f>(D12*F12)*7</f>
        <v>5264</v>
      </c>
      <c r="I12" s="302">
        <f>D12*G12*5</f>
        <v>4024</v>
      </c>
      <c r="J12" s="301">
        <f>(H12+I12)</f>
        <v>9288</v>
      </c>
      <c r="K12" s="405">
        <f>K11</f>
        <v>0</v>
      </c>
      <c r="L12" s="302">
        <f>J12*K12/1000</f>
        <v>0</v>
      </c>
      <c r="M12" s="3"/>
    </row>
    <row r="13" spans="1:13" ht="12.75">
      <c r="A13" s="54"/>
      <c r="B13" s="146" t="s">
        <v>345</v>
      </c>
      <c r="C13" s="23"/>
      <c r="D13" s="406">
        <v>96</v>
      </c>
      <c r="E13" s="417" t="s">
        <v>368</v>
      </c>
      <c r="F13" s="406">
        <v>12.6</v>
      </c>
      <c r="G13" s="418">
        <f>F13*1.07</f>
        <v>13.48</v>
      </c>
      <c r="H13" s="301">
        <f>(D13*F13)*7</f>
        <v>8467.2</v>
      </c>
      <c r="I13" s="302">
        <f>D13*G13*5</f>
        <v>6470.4</v>
      </c>
      <c r="J13" s="301">
        <f>(H13+I13)</f>
        <v>14937.6</v>
      </c>
      <c r="K13" s="405">
        <f>K12</f>
        <v>0</v>
      </c>
      <c r="L13" s="302">
        <f>J13*K13/1000</f>
        <v>0</v>
      </c>
      <c r="M13" s="3"/>
    </row>
    <row r="14" spans="1:13" ht="12.75">
      <c r="A14" s="54"/>
      <c r="B14" s="146" t="s">
        <v>341</v>
      </c>
      <c r="C14" s="23"/>
      <c r="D14" s="406">
        <v>80</v>
      </c>
      <c r="E14" s="417" t="s">
        <v>368</v>
      </c>
      <c r="F14" s="406">
        <v>12.17</v>
      </c>
      <c r="G14" s="418">
        <f>F14*1.07</f>
        <v>13.02</v>
      </c>
      <c r="H14" s="301">
        <f>(D14*F14)*7</f>
        <v>6815.2</v>
      </c>
      <c r="I14" s="302">
        <f>D14*G14*5</f>
        <v>5208</v>
      </c>
      <c r="J14" s="301">
        <f>(H14+I14)</f>
        <v>12023.2</v>
      </c>
      <c r="K14" s="405">
        <f>K13</f>
        <v>0</v>
      </c>
      <c r="L14" s="302">
        <f>J14*K14/1000</f>
        <v>0</v>
      </c>
      <c r="M14" s="3"/>
    </row>
    <row r="15" spans="1:13" ht="13.5" thickBot="1">
      <c r="A15" s="55"/>
      <c r="B15" s="146"/>
      <c r="C15" s="410"/>
      <c r="D15" s="406"/>
      <c r="E15" s="23"/>
      <c r="F15" s="411"/>
      <c r="G15" s="410"/>
      <c r="H15" s="38"/>
      <c r="I15" s="37"/>
      <c r="J15" s="38"/>
      <c r="K15" s="305"/>
      <c r="L15" s="302"/>
      <c r="M15" s="3"/>
    </row>
    <row r="16" spans="1:13" ht="13.5" thickBot="1">
      <c r="A16" s="412"/>
      <c r="B16" s="56"/>
      <c r="C16" s="413"/>
      <c r="D16" s="414"/>
      <c r="E16" s="413"/>
      <c r="F16" s="150"/>
      <c r="G16" s="149"/>
      <c r="H16" s="150"/>
      <c r="I16" s="149"/>
      <c r="J16" s="419">
        <f>SUM(J11:J15)</f>
        <v>44783.2</v>
      </c>
      <c r="K16" s="149"/>
      <c r="L16" s="408">
        <f>SUM(L11:L15)</f>
        <v>0</v>
      </c>
      <c r="M16" s="142"/>
    </row>
    <row r="17" spans="1:13" ht="13.5" thickBot="1">
      <c r="A17" s="415"/>
      <c r="B17" s="130"/>
      <c r="C17" s="152"/>
      <c r="D17" s="130"/>
      <c r="E17" s="130"/>
      <c r="F17" s="416"/>
      <c r="G17" s="416"/>
      <c r="H17" s="152"/>
      <c r="I17" s="130"/>
      <c r="J17" s="152"/>
      <c r="K17" s="130"/>
      <c r="L17" s="130"/>
      <c r="M17" s="3"/>
    </row>
    <row r="18" spans="1:13" ht="12.75">
      <c r="A18" s="29"/>
      <c r="B18" s="3" t="s">
        <v>210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58"/>
      <c r="B19" s="3" t="s">
        <v>211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5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O21" sqref="O21"/>
    </sheetView>
  </sheetViews>
  <sheetFormatPr defaultColWidth="9.00390625" defaultRowHeight="12.75"/>
  <sheetData>
    <row r="2" spans="1:21" ht="12.75">
      <c r="A2" s="232" t="s">
        <v>265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2.75">
      <c r="A3" s="232" t="s">
        <v>266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>
      <c r="A4" s="232" t="s">
        <v>406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3.5" thickBot="1">
      <c r="A6" s="232" t="s">
        <v>268</v>
      </c>
      <c r="B6" s="381">
        <v>12.27096</v>
      </c>
      <c r="C6" s="232" t="s">
        <v>11</v>
      </c>
      <c r="D6" s="232"/>
      <c r="E6" s="232" t="s">
        <v>269</v>
      </c>
      <c r="F6" s="232"/>
      <c r="G6" s="232"/>
      <c r="H6" s="420">
        <v>12.3786</v>
      </c>
      <c r="I6" s="232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2.75">
      <c r="A7" s="759" t="s">
        <v>271</v>
      </c>
      <c r="B7" s="736" t="s">
        <v>272</v>
      </c>
      <c r="C7" s="736" t="s">
        <v>273</v>
      </c>
      <c r="D7" s="762" t="s">
        <v>277</v>
      </c>
      <c r="E7" s="763"/>
      <c r="F7" s="764"/>
      <c r="G7" s="741" t="s">
        <v>278</v>
      </c>
      <c r="H7" s="742"/>
      <c r="I7" s="743"/>
      <c r="J7" s="762" t="s">
        <v>279</v>
      </c>
      <c r="K7" s="763"/>
      <c r="L7" s="764"/>
      <c r="M7" s="741" t="s">
        <v>280</v>
      </c>
      <c r="N7" s="742"/>
      <c r="O7" s="743"/>
      <c r="P7" s="747" t="s">
        <v>370</v>
      </c>
      <c r="Q7" s="749" t="s">
        <v>37</v>
      </c>
      <c r="R7" s="752" t="s">
        <v>371</v>
      </c>
      <c r="S7" s="755" t="s">
        <v>372</v>
      </c>
      <c r="T7" s="757" t="s">
        <v>373</v>
      </c>
      <c r="U7" s="232"/>
    </row>
    <row r="8" spans="1:21" ht="12.75">
      <c r="A8" s="760"/>
      <c r="B8" s="737"/>
      <c r="C8" s="737"/>
      <c r="D8" s="765"/>
      <c r="E8" s="766"/>
      <c r="F8" s="767"/>
      <c r="G8" s="744"/>
      <c r="H8" s="745"/>
      <c r="I8" s="746"/>
      <c r="J8" s="765"/>
      <c r="K8" s="766"/>
      <c r="L8" s="767"/>
      <c r="M8" s="744"/>
      <c r="N8" s="745"/>
      <c r="O8" s="746"/>
      <c r="P8" s="748"/>
      <c r="Q8" s="750"/>
      <c r="R8" s="753"/>
      <c r="S8" s="756"/>
      <c r="T8" s="758"/>
      <c r="U8" s="232"/>
    </row>
    <row r="9" spans="1:21" ht="24" thickBot="1">
      <c r="A9" s="761"/>
      <c r="B9" s="738"/>
      <c r="C9" s="738"/>
      <c r="D9" s="278" t="s">
        <v>285</v>
      </c>
      <c r="E9" s="421" t="s">
        <v>286</v>
      </c>
      <c r="F9" s="422" t="s">
        <v>287</v>
      </c>
      <c r="G9" s="278" t="s">
        <v>285</v>
      </c>
      <c r="H9" s="421" t="s">
        <v>286</v>
      </c>
      <c r="I9" s="423" t="s">
        <v>288</v>
      </c>
      <c r="J9" s="278" t="s">
        <v>285</v>
      </c>
      <c r="K9" s="421" t="s">
        <v>286</v>
      </c>
      <c r="L9" s="422" t="s">
        <v>288</v>
      </c>
      <c r="M9" s="424" t="s">
        <v>285</v>
      </c>
      <c r="N9" s="421" t="s">
        <v>286</v>
      </c>
      <c r="O9" s="422" t="s">
        <v>288</v>
      </c>
      <c r="P9" s="728"/>
      <c r="Q9" s="751"/>
      <c r="R9" s="754"/>
      <c r="S9" s="724"/>
      <c r="T9" s="726"/>
      <c r="U9" s="232"/>
    </row>
    <row r="10" spans="1:21" ht="12.75">
      <c r="A10" s="425"/>
      <c r="B10" s="425"/>
      <c r="C10" s="425"/>
      <c r="D10" s="247"/>
      <c r="E10" s="248"/>
      <c r="F10" s="254"/>
      <c r="G10" s="247"/>
      <c r="H10" s="248"/>
      <c r="I10" s="254"/>
      <c r="J10" s="247"/>
      <c r="K10" s="248"/>
      <c r="L10" s="254"/>
      <c r="M10" s="247"/>
      <c r="N10" s="248"/>
      <c r="O10" s="254"/>
      <c r="P10" s="247"/>
      <c r="Q10" s="254"/>
      <c r="R10" s="253"/>
      <c r="S10" s="248"/>
      <c r="T10" s="254"/>
      <c r="U10" s="232"/>
    </row>
    <row r="11" spans="1:21" ht="12.75">
      <c r="A11" s="281" t="s">
        <v>289</v>
      </c>
      <c r="B11" s="281">
        <v>210</v>
      </c>
      <c r="C11" s="281">
        <v>0.05</v>
      </c>
      <c r="D11" s="258"/>
      <c r="E11" s="259"/>
      <c r="F11" s="261"/>
      <c r="G11" s="258">
        <v>210</v>
      </c>
      <c r="H11" s="259">
        <v>0.43</v>
      </c>
      <c r="I11" s="261">
        <f>G11*H11</f>
        <v>90.3</v>
      </c>
      <c r="J11" s="277">
        <f>G11*0.13</f>
        <v>27</v>
      </c>
      <c r="K11" s="259">
        <v>0.26</v>
      </c>
      <c r="L11" s="265">
        <f>J11*K11</f>
        <v>7</v>
      </c>
      <c r="M11" s="258"/>
      <c r="N11" s="259"/>
      <c r="O11" s="261"/>
      <c r="P11" s="426">
        <f>I11+L11+O11</f>
        <v>97.3</v>
      </c>
      <c r="Q11" s="384">
        <f>P11*B6</f>
        <v>1193.96</v>
      </c>
      <c r="R11" s="262"/>
      <c r="S11" s="259"/>
      <c r="T11" s="384">
        <f>Q11+S11</f>
        <v>1193.96</v>
      </c>
      <c r="U11" s="232"/>
    </row>
    <row r="12" spans="1:21" ht="12.75">
      <c r="A12" s="281" t="s">
        <v>290</v>
      </c>
      <c r="B12" s="281">
        <v>365</v>
      </c>
      <c r="C12" s="281">
        <v>0.19</v>
      </c>
      <c r="D12" s="258"/>
      <c r="E12" s="259"/>
      <c r="F12" s="261"/>
      <c r="G12" s="258">
        <v>365</v>
      </c>
      <c r="H12" s="259">
        <v>0.35</v>
      </c>
      <c r="I12" s="261">
        <f>G12*H12</f>
        <v>127.75</v>
      </c>
      <c r="J12" s="277">
        <f>G12*0.7</f>
        <v>256</v>
      </c>
      <c r="K12" s="259">
        <v>0.23</v>
      </c>
      <c r="L12" s="265">
        <f>J12*K12</f>
        <v>58.9</v>
      </c>
      <c r="M12" s="277">
        <f>G12*0.095</f>
        <v>35</v>
      </c>
      <c r="N12" s="259">
        <v>0.12</v>
      </c>
      <c r="O12" s="265">
        <f>M12*N12</f>
        <v>4.2</v>
      </c>
      <c r="P12" s="426">
        <f aca="true" t="shared" si="0" ref="P12:P17">I12+L12+O12</f>
        <v>190.9</v>
      </c>
      <c r="Q12" s="384">
        <f>P12*B6</f>
        <v>2342.53</v>
      </c>
      <c r="R12" s="262"/>
      <c r="S12" s="259"/>
      <c r="T12" s="384">
        <f aca="true" t="shared" si="1" ref="T12:T17">Q12+S12</f>
        <v>2342.53</v>
      </c>
      <c r="U12" s="232"/>
    </row>
    <row r="13" spans="1:21" ht="12.75">
      <c r="A13" s="281" t="s">
        <v>291</v>
      </c>
      <c r="B13" s="281">
        <v>1170</v>
      </c>
      <c r="C13" s="281">
        <v>0.15</v>
      </c>
      <c r="D13" s="258"/>
      <c r="E13" s="259"/>
      <c r="F13" s="261"/>
      <c r="G13" s="258">
        <v>1170</v>
      </c>
      <c r="H13" s="259">
        <v>0.35</v>
      </c>
      <c r="I13" s="261">
        <f>G13*H13</f>
        <v>409.5</v>
      </c>
      <c r="J13" s="277">
        <f>G13*0.79</f>
        <v>924</v>
      </c>
      <c r="K13" s="259">
        <v>0.23</v>
      </c>
      <c r="L13" s="265">
        <f>J13*K13</f>
        <v>212.5</v>
      </c>
      <c r="M13" s="277">
        <f>G13*0.006</f>
        <v>7</v>
      </c>
      <c r="N13" s="259">
        <v>0.12</v>
      </c>
      <c r="O13" s="265">
        <f>M13*N13</f>
        <v>0.8</v>
      </c>
      <c r="P13" s="426">
        <f t="shared" si="0"/>
        <v>622.8</v>
      </c>
      <c r="Q13" s="384">
        <f>P13*B6</f>
        <v>7642.35</v>
      </c>
      <c r="R13" s="262"/>
      <c r="S13" s="259"/>
      <c r="T13" s="384">
        <f t="shared" si="1"/>
        <v>7642.35</v>
      </c>
      <c r="U13" s="232"/>
    </row>
    <row r="14" spans="1:21" ht="12.75">
      <c r="A14" s="281" t="s">
        <v>292</v>
      </c>
      <c r="B14" s="281">
        <v>5300</v>
      </c>
      <c r="C14" s="281">
        <v>0.11</v>
      </c>
      <c r="D14" s="258"/>
      <c r="E14" s="259"/>
      <c r="F14" s="261"/>
      <c r="G14" s="258">
        <v>5300</v>
      </c>
      <c r="H14" s="259">
        <v>0.43</v>
      </c>
      <c r="I14" s="264">
        <f>G14*H14</f>
        <v>2279</v>
      </c>
      <c r="J14" s="277">
        <f>G14*0.73</f>
        <v>3869</v>
      </c>
      <c r="K14" s="259">
        <v>0.26</v>
      </c>
      <c r="L14" s="265">
        <f>J14*K14</f>
        <v>1005.9</v>
      </c>
      <c r="M14" s="277">
        <f>G14*0.07</f>
        <v>371</v>
      </c>
      <c r="N14" s="259">
        <v>0.15</v>
      </c>
      <c r="O14" s="265">
        <f>M14*N14</f>
        <v>55.7</v>
      </c>
      <c r="P14" s="426">
        <f t="shared" si="0"/>
        <v>3340.6</v>
      </c>
      <c r="Q14" s="384">
        <f>P14*B6</f>
        <v>40992.37</v>
      </c>
      <c r="R14" s="262"/>
      <c r="S14" s="259"/>
      <c r="T14" s="384">
        <f t="shared" si="1"/>
        <v>40992.37</v>
      </c>
      <c r="U14" s="232"/>
    </row>
    <row r="15" spans="1:21" ht="12.75">
      <c r="A15" s="281" t="s">
        <v>293</v>
      </c>
      <c r="B15" s="281">
        <v>1150</v>
      </c>
      <c r="C15" s="281">
        <v>0.16</v>
      </c>
      <c r="D15" s="258">
        <v>1150</v>
      </c>
      <c r="E15" s="259">
        <v>3.12</v>
      </c>
      <c r="F15" s="261">
        <f>D15*E15</f>
        <v>3588</v>
      </c>
      <c r="G15" s="258"/>
      <c r="H15" s="259"/>
      <c r="I15" s="261"/>
      <c r="J15" s="258"/>
      <c r="K15" s="259"/>
      <c r="L15" s="265"/>
      <c r="M15" s="258"/>
      <c r="N15" s="259"/>
      <c r="O15" s="265"/>
      <c r="P15" s="426"/>
      <c r="Q15" s="384"/>
      <c r="R15" s="262">
        <f>F15</f>
        <v>3588</v>
      </c>
      <c r="S15" s="259">
        <f>R15*H6</f>
        <v>44414.4168</v>
      </c>
      <c r="T15" s="384">
        <f t="shared" si="1"/>
        <v>44414.42</v>
      </c>
      <c r="U15" s="232"/>
    </row>
    <row r="16" spans="1:21" ht="12.75">
      <c r="A16" s="281"/>
      <c r="B16" s="281"/>
      <c r="C16" s="281"/>
      <c r="D16" s="258"/>
      <c r="E16" s="259"/>
      <c r="F16" s="261"/>
      <c r="G16" s="258"/>
      <c r="H16" s="259"/>
      <c r="I16" s="261"/>
      <c r="J16" s="258"/>
      <c r="K16" s="259"/>
      <c r="L16" s="261"/>
      <c r="M16" s="258"/>
      <c r="N16" s="259"/>
      <c r="O16" s="261"/>
      <c r="P16" s="426"/>
      <c r="Q16" s="384"/>
      <c r="R16" s="262"/>
      <c r="S16" s="259"/>
      <c r="T16" s="384"/>
      <c r="U16" s="232"/>
    </row>
    <row r="17" spans="1:21" ht="13.5" thickBot="1">
      <c r="A17" s="427" t="s">
        <v>7</v>
      </c>
      <c r="B17" s="427">
        <f>SUM(B11:B16)</f>
        <v>8195</v>
      </c>
      <c r="C17" s="427"/>
      <c r="D17" s="278"/>
      <c r="E17" s="279"/>
      <c r="F17" s="280"/>
      <c r="G17" s="278">
        <f>SUM(G11:G16)</f>
        <v>7045</v>
      </c>
      <c r="H17" s="279"/>
      <c r="I17" s="280">
        <f>SUM(I11:I16)</f>
        <v>2906.55</v>
      </c>
      <c r="J17" s="428">
        <f>SUM(J11:J16)</f>
        <v>5076</v>
      </c>
      <c r="K17" s="279"/>
      <c r="L17" s="429">
        <f>SUM(L11:L16)</f>
        <v>1284.3</v>
      </c>
      <c r="M17" s="428">
        <f>SUM(M12:M16)</f>
        <v>413</v>
      </c>
      <c r="N17" s="279"/>
      <c r="O17" s="429">
        <f>SUM(O12:O16)</f>
        <v>60.7</v>
      </c>
      <c r="P17" s="430">
        <f t="shared" si="0"/>
        <v>4251.6</v>
      </c>
      <c r="Q17" s="431">
        <f>SUM(Q11:Q16)</f>
        <v>52171.21</v>
      </c>
      <c r="R17" s="432">
        <f>SUM(R15:R16)</f>
        <v>3588</v>
      </c>
      <c r="S17" s="279">
        <f>SUM(S15:S16)</f>
        <v>44414.4168</v>
      </c>
      <c r="T17" s="431">
        <f t="shared" si="1"/>
        <v>96585.63</v>
      </c>
      <c r="U17" s="232"/>
    </row>
    <row r="18" spans="1:21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2.75">
      <c r="A19" s="232" t="s">
        <v>294</v>
      </c>
      <c r="B19" s="232">
        <f>'[3]Хоз. и др.расх.'!F37/1000</f>
        <v>0</v>
      </c>
      <c r="C19" s="232" t="s">
        <v>11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89"/>
      <c r="S19" s="232"/>
      <c r="T19" s="232"/>
      <c r="U19" s="232"/>
    </row>
    <row r="20" spans="1:21" ht="12.75">
      <c r="A20" s="232" t="s">
        <v>295</v>
      </c>
      <c r="B20" s="433">
        <f>'[3]Хоз. и др.расх.'!F36/1000</f>
        <v>31.4309</v>
      </c>
      <c r="C20" s="232" t="s">
        <v>11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 ht="12.75">
      <c r="A22" s="232" t="s">
        <v>296</v>
      </c>
      <c r="B22" s="232"/>
      <c r="C22" s="232"/>
      <c r="D22" s="232"/>
      <c r="E22" s="232"/>
      <c r="F22" s="232"/>
      <c r="G22" s="397">
        <f>P17</f>
        <v>4251.6</v>
      </c>
      <c r="H22" s="259"/>
      <c r="I22" s="268">
        <f>G22*B6</f>
        <v>52171.21</v>
      </c>
      <c r="J22" s="259"/>
      <c r="K22" s="259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ht="12.75">
      <c r="A23" s="232" t="s">
        <v>298</v>
      </c>
      <c r="B23" s="232"/>
      <c r="C23" s="398">
        <v>0.02</v>
      </c>
      <c r="D23" s="232"/>
      <c r="E23" s="232"/>
      <c r="F23" s="232"/>
      <c r="G23" s="397">
        <f>G22</f>
        <v>4251.6</v>
      </c>
      <c r="H23" s="399">
        <v>0.02</v>
      </c>
      <c r="I23" s="397">
        <f>G23*H23</f>
        <v>85</v>
      </c>
      <c r="J23" s="259"/>
      <c r="K23" s="259"/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ht="12.75">
      <c r="A24" s="232" t="s">
        <v>301</v>
      </c>
      <c r="B24" s="232"/>
      <c r="C24" s="232"/>
      <c r="D24" s="232"/>
      <c r="E24" s="232"/>
      <c r="F24" s="232"/>
      <c r="G24" s="397">
        <f>G23</f>
        <v>4251.6</v>
      </c>
      <c r="H24" s="399">
        <v>0.5</v>
      </c>
      <c r="I24" s="397">
        <f>G24*H24</f>
        <v>2125.8</v>
      </c>
      <c r="J24" s="259"/>
      <c r="K24" s="259" t="s">
        <v>374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12.75">
      <c r="A25" s="232" t="s">
        <v>303</v>
      </c>
      <c r="B25" s="232"/>
      <c r="C25" s="232"/>
      <c r="D25" s="232"/>
      <c r="E25" s="232"/>
      <c r="F25" s="232"/>
      <c r="G25" s="397">
        <f>I23+I24</f>
        <v>2210.8</v>
      </c>
      <c r="H25" s="259">
        <f>B19</f>
        <v>0</v>
      </c>
      <c r="I25" s="268">
        <f>G25*B19</f>
        <v>0</v>
      </c>
      <c r="J25" s="259"/>
      <c r="K25" s="259" t="s">
        <v>374</v>
      </c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2.75">
      <c r="A26" s="232" t="s">
        <v>305</v>
      </c>
      <c r="B26" s="232"/>
      <c r="C26" s="232"/>
      <c r="D26" s="232"/>
      <c r="E26" s="232"/>
      <c r="F26" s="232"/>
      <c r="G26" s="259">
        <f>R15</f>
        <v>3588</v>
      </c>
      <c r="H26" s="259"/>
      <c r="I26" s="259">
        <f>G26*H6</f>
        <v>44414.4168</v>
      </c>
      <c r="J26" s="259"/>
      <c r="K26" s="259"/>
      <c r="L26" s="232"/>
      <c r="M26" s="232"/>
      <c r="N26" s="232"/>
      <c r="O26" s="232"/>
      <c r="P26" s="232"/>
      <c r="Q26" s="232"/>
      <c r="R26" s="232"/>
      <c r="S26" s="232"/>
      <c r="T26" s="232"/>
      <c r="U26" s="232"/>
    </row>
    <row r="27" spans="1:21" ht="12.75">
      <c r="A27" s="232" t="s">
        <v>307</v>
      </c>
      <c r="B27" s="400">
        <v>0.045</v>
      </c>
      <c r="C27" s="232"/>
      <c r="D27" s="232"/>
      <c r="E27" s="232"/>
      <c r="F27" s="232"/>
      <c r="G27" s="259">
        <f>G26</f>
        <v>3588</v>
      </c>
      <c r="H27" s="401">
        <v>0.045</v>
      </c>
      <c r="I27" s="397">
        <f>G27*H27</f>
        <v>161.5</v>
      </c>
      <c r="J27" s="259"/>
      <c r="K27" s="259" t="s">
        <v>375</v>
      </c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21" ht="12.75">
      <c r="A28" s="232" t="s">
        <v>310</v>
      </c>
      <c r="B28" s="232"/>
      <c r="C28" s="232"/>
      <c r="D28" s="232"/>
      <c r="E28" s="232"/>
      <c r="F28" s="232"/>
      <c r="G28" s="397">
        <f>I27</f>
        <v>161.5</v>
      </c>
      <c r="H28" s="434">
        <f>B20</f>
        <v>31.4309</v>
      </c>
      <c r="I28" s="268">
        <f>G28*B20</f>
        <v>5076.09</v>
      </c>
      <c r="J28" s="259"/>
      <c r="K28" s="259" t="s">
        <v>375</v>
      </c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ht="12.75">
      <c r="A29" s="232"/>
      <c r="B29" s="232"/>
      <c r="C29" s="232"/>
      <c r="D29" s="232"/>
      <c r="E29" s="232"/>
      <c r="F29" s="232"/>
      <c r="G29" s="259"/>
      <c r="H29" s="259"/>
      <c r="I29" s="259"/>
      <c r="J29" s="259"/>
      <c r="K29" s="259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ht="12.75">
      <c r="A30" s="232" t="s">
        <v>312</v>
      </c>
      <c r="B30" s="232"/>
      <c r="C30" s="232"/>
      <c r="D30" s="232"/>
      <c r="E30" s="232"/>
      <c r="F30" s="232"/>
      <c r="G30" s="259"/>
      <c r="H30" s="259"/>
      <c r="I30" s="268">
        <f>SUM(I22:I29)</f>
        <v>104034.02</v>
      </c>
      <c r="J30" s="259"/>
      <c r="K30" s="259"/>
      <c r="L30" s="232"/>
      <c r="M30" s="232"/>
      <c r="N30" s="232"/>
      <c r="O30" s="232"/>
      <c r="P30" s="232"/>
      <c r="Q30" s="232"/>
      <c r="R30" s="232"/>
      <c r="S30" s="232"/>
      <c r="T30" s="232"/>
      <c r="U30" s="232"/>
    </row>
    <row r="31" spans="1:21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</row>
    <row r="33" spans="1:21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</row>
    <row r="34" spans="1:21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</row>
  </sheetData>
  <sheetProtection/>
  <mergeCells count="12">
    <mergeCell ref="A7:A9"/>
    <mergeCell ref="B7:B9"/>
    <mergeCell ref="C7:C9"/>
    <mergeCell ref="D7:F8"/>
    <mergeCell ref="G7:I8"/>
    <mergeCell ref="J7:L8"/>
    <mergeCell ref="M7:O8"/>
    <mergeCell ref="P7:P9"/>
    <mergeCell ref="Q7:Q9"/>
    <mergeCell ref="R7:R9"/>
    <mergeCell ref="S7:S9"/>
    <mergeCell ref="T7:T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selection activeCell="Q30" sqref="Q30"/>
    </sheetView>
  </sheetViews>
  <sheetFormatPr defaultColWidth="9.00390625" defaultRowHeight="12.75"/>
  <sheetData>
    <row r="2" ht="12.75">
      <c r="A2" t="s">
        <v>265</v>
      </c>
    </row>
    <row r="3" ht="12.75">
      <c r="A3" t="s">
        <v>266</v>
      </c>
    </row>
    <row r="4" ht="12.75">
      <c r="A4" t="s">
        <v>406</v>
      </c>
    </row>
    <row r="6" spans="1:9" ht="13.5" thickBot="1">
      <c r="A6" t="s">
        <v>268</v>
      </c>
      <c r="B6" s="435">
        <f>'[3]Хоз. и др.расх.'!F32/1000</f>
        <v>12.27096</v>
      </c>
      <c r="C6" t="s">
        <v>11</v>
      </c>
      <c r="E6" t="s">
        <v>269</v>
      </c>
      <c r="H6" s="436">
        <f>'[3]Хоз. и др.расх.'!F35/1000</f>
        <v>12.3786</v>
      </c>
      <c r="I6" t="s">
        <v>270</v>
      </c>
    </row>
    <row r="7" spans="1:20" ht="12.75">
      <c r="A7" s="788" t="s">
        <v>271</v>
      </c>
      <c r="B7" s="791" t="s">
        <v>272</v>
      </c>
      <c r="C7" s="791" t="s">
        <v>273</v>
      </c>
      <c r="D7" s="794" t="s">
        <v>277</v>
      </c>
      <c r="E7" s="795"/>
      <c r="F7" s="796"/>
      <c r="G7" s="768" t="s">
        <v>278</v>
      </c>
      <c r="H7" s="769"/>
      <c r="I7" s="770"/>
      <c r="J7" s="794" t="s">
        <v>279</v>
      </c>
      <c r="K7" s="795"/>
      <c r="L7" s="796"/>
      <c r="M7" s="768" t="s">
        <v>280</v>
      </c>
      <c r="N7" s="769"/>
      <c r="O7" s="770"/>
      <c r="P7" s="774" t="s">
        <v>370</v>
      </c>
      <c r="Q7" s="777" t="s">
        <v>37</v>
      </c>
      <c r="R7" s="780" t="s">
        <v>371</v>
      </c>
      <c r="S7" s="783" t="s">
        <v>372</v>
      </c>
      <c r="T7" s="785" t="s">
        <v>373</v>
      </c>
    </row>
    <row r="8" spans="1:20" ht="12.75">
      <c r="A8" s="789"/>
      <c r="B8" s="792"/>
      <c r="C8" s="792"/>
      <c r="D8" s="797"/>
      <c r="E8" s="798"/>
      <c r="F8" s="799"/>
      <c r="G8" s="771"/>
      <c r="H8" s="772"/>
      <c r="I8" s="773"/>
      <c r="J8" s="797"/>
      <c r="K8" s="798"/>
      <c r="L8" s="799"/>
      <c r="M8" s="771"/>
      <c r="N8" s="772"/>
      <c r="O8" s="773"/>
      <c r="P8" s="775"/>
      <c r="Q8" s="778"/>
      <c r="R8" s="781"/>
      <c r="S8" s="713"/>
      <c r="T8" s="786"/>
    </row>
    <row r="9" spans="1:20" ht="39.75" thickBot="1">
      <c r="A9" s="790"/>
      <c r="B9" s="793"/>
      <c r="C9" s="793"/>
      <c r="D9" s="437" t="s">
        <v>285</v>
      </c>
      <c r="E9" s="438" t="s">
        <v>286</v>
      </c>
      <c r="F9" s="439" t="s">
        <v>287</v>
      </c>
      <c r="G9" s="437" t="s">
        <v>285</v>
      </c>
      <c r="H9" s="438" t="s">
        <v>286</v>
      </c>
      <c r="I9" s="440" t="s">
        <v>288</v>
      </c>
      <c r="J9" s="437" t="s">
        <v>285</v>
      </c>
      <c r="K9" s="438" t="s">
        <v>286</v>
      </c>
      <c r="L9" s="439" t="s">
        <v>288</v>
      </c>
      <c r="M9" s="437" t="s">
        <v>285</v>
      </c>
      <c r="N9" s="441" t="s">
        <v>286</v>
      </c>
      <c r="O9" s="442" t="s">
        <v>288</v>
      </c>
      <c r="P9" s="776"/>
      <c r="Q9" s="779"/>
      <c r="R9" s="782"/>
      <c r="S9" s="784"/>
      <c r="T9" s="787"/>
    </row>
    <row r="10" spans="1:20" ht="12.75">
      <c r="A10" s="443"/>
      <c r="B10" s="443"/>
      <c r="C10" s="443"/>
      <c r="D10" s="444"/>
      <c r="E10" s="445"/>
      <c r="F10" s="446"/>
      <c r="G10" s="444"/>
      <c r="H10" s="445"/>
      <c r="I10" s="446"/>
      <c r="J10" s="444"/>
      <c r="K10" s="445"/>
      <c r="L10" s="446"/>
      <c r="M10" s="444"/>
      <c r="N10" s="445"/>
      <c r="O10" s="446"/>
      <c r="P10" s="444"/>
      <c r="Q10" s="446"/>
      <c r="R10" s="447"/>
      <c r="S10" s="445"/>
      <c r="T10" s="446"/>
    </row>
    <row r="11" spans="1:20" ht="12.75">
      <c r="A11" s="448" t="s">
        <v>289</v>
      </c>
      <c r="B11" s="448">
        <v>210</v>
      </c>
      <c r="C11" s="448">
        <v>0.05</v>
      </c>
      <c r="D11" s="449"/>
      <c r="E11" s="298"/>
      <c r="F11" s="450"/>
      <c r="G11" s="449">
        <v>210</v>
      </c>
      <c r="H11" s="298">
        <v>0.43</v>
      </c>
      <c r="I11" s="450">
        <f>G11*H11</f>
        <v>90.3</v>
      </c>
      <c r="J11" s="451">
        <f>G11*0.13</f>
        <v>27</v>
      </c>
      <c r="K11" s="298">
        <v>0.26</v>
      </c>
      <c r="L11" s="452">
        <f>J11*K11</f>
        <v>7</v>
      </c>
      <c r="M11" s="449"/>
      <c r="N11" s="298"/>
      <c r="O11" s="450"/>
      <c r="P11" s="453">
        <f>I11+L11+O11</f>
        <v>97.3</v>
      </c>
      <c r="Q11" s="454">
        <f>P11*B6</f>
        <v>1193.96</v>
      </c>
      <c r="R11" s="455"/>
      <c r="S11" s="298"/>
      <c r="T11" s="454">
        <f>Q11+S11</f>
        <v>1193.96</v>
      </c>
    </row>
    <row r="12" spans="1:20" ht="12.75">
      <c r="A12" s="448" t="s">
        <v>290</v>
      </c>
      <c r="B12" s="448">
        <v>365</v>
      </c>
      <c r="C12" s="448">
        <v>0.19</v>
      </c>
      <c r="D12" s="449"/>
      <c r="E12" s="298"/>
      <c r="F12" s="450"/>
      <c r="G12" s="449">
        <v>365</v>
      </c>
      <c r="H12" s="298">
        <v>0.35</v>
      </c>
      <c r="I12" s="450">
        <f>G12*H12</f>
        <v>127.75</v>
      </c>
      <c r="J12" s="451">
        <f>G12*0.7</f>
        <v>256</v>
      </c>
      <c r="K12" s="298">
        <v>0.23</v>
      </c>
      <c r="L12" s="452">
        <f>J12*K12</f>
        <v>58.9</v>
      </c>
      <c r="M12" s="451">
        <f>G12*0.095</f>
        <v>35</v>
      </c>
      <c r="N12" s="298">
        <v>0.12</v>
      </c>
      <c r="O12" s="452">
        <f>M12*N12</f>
        <v>4.2</v>
      </c>
      <c r="P12" s="453">
        <f aca="true" t="shared" si="0" ref="P12:P17">I12+L12+O12</f>
        <v>190.9</v>
      </c>
      <c r="Q12" s="454">
        <f>P12*B6</f>
        <v>2342.53</v>
      </c>
      <c r="R12" s="455"/>
      <c r="S12" s="298"/>
      <c r="T12" s="454">
        <f aca="true" t="shared" si="1" ref="T12:T17">Q12+S12</f>
        <v>2342.53</v>
      </c>
    </row>
    <row r="13" spans="1:20" ht="12.75">
      <c r="A13" s="448" t="s">
        <v>291</v>
      </c>
      <c r="B13" s="448">
        <v>1170</v>
      </c>
      <c r="C13" s="448">
        <v>0.15</v>
      </c>
      <c r="D13" s="449"/>
      <c r="E13" s="298"/>
      <c r="F13" s="450"/>
      <c r="G13" s="449">
        <v>1170</v>
      </c>
      <c r="H13" s="298">
        <v>0.35</v>
      </c>
      <c r="I13" s="450">
        <f>G13*H13</f>
        <v>409.5</v>
      </c>
      <c r="J13" s="451">
        <f>G13*0.79</f>
        <v>924</v>
      </c>
      <c r="K13" s="298">
        <v>0.23</v>
      </c>
      <c r="L13" s="452">
        <f>J13*K13</f>
        <v>212.5</v>
      </c>
      <c r="M13" s="451">
        <f>G13*0.006</f>
        <v>7</v>
      </c>
      <c r="N13" s="298">
        <v>0.12</v>
      </c>
      <c r="O13" s="452">
        <f>M13*N13</f>
        <v>0.8</v>
      </c>
      <c r="P13" s="453">
        <f t="shared" si="0"/>
        <v>622.8</v>
      </c>
      <c r="Q13" s="454">
        <f>P13*B6</f>
        <v>7642.35</v>
      </c>
      <c r="R13" s="455"/>
      <c r="S13" s="298"/>
      <c r="T13" s="454">
        <f t="shared" si="1"/>
        <v>7642.35</v>
      </c>
    </row>
    <row r="14" spans="1:20" ht="12.75">
      <c r="A14" s="448" t="s">
        <v>292</v>
      </c>
      <c r="B14" s="448">
        <v>5300</v>
      </c>
      <c r="C14" s="448">
        <v>0.11</v>
      </c>
      <c r="D14" s="449"/>
      <c r="E14" s="298"/>
      <c r="F14" s="450"/>
      <c r="G14" s="449">
        <v>5300</v>
      </c>
      <c r="H14" s="298">
        <v>0.43</v>
      </c>
      <c r="I14" s="456">
        <f>G14*H14</f>
        <v>2279</v>
      </c>
      <c r="J14" s="451">
        <f>G14*0.73</f>
        <v>3869</v>
      </c>
      <c r="K14" s="298">
        <v>0.26</v>
      </c>
      <c r="L14" s="452">
        <f>J14*K14</f>
        <v>1005.9</v>
      </c>
      <c r="M14" s="451">
        <f>G14*0.07</f>
        <v>371</v>
      </c>
      <c r="N14" s="298">
        <v>0.15</v>
      </c>
      <c r="O14" s="452">
        <f>M14*N14</f>
        <v>55.7</v>
      </c>
      <c r="P14" s="453">
        <f t="shared" si="0"/>
        <v>3340.6</v>
      </c>
      <c r="Q14" s="454">
        <f>P14*B6</f>
        <v>40992.37</v>
      </c>
      <c r="R14" s="455"/>
      <c r="S14" s="298"/>
      <c r="T14" s="454">
        <f t="shared" si="1"/>
        <v>40992.37</v>
      </c>
    </row>
    <row r="15" spans="1:20" ht="12.75">
      <c r="A15" s="448" t="s">
        <v>293</v>
      </c>
      <c r="B15" s="448">
        <v>1150</v>
      </c>
      <c r="C15" s="448">
        <v>0.16</v>
      </c>
      <c r="D15" s="449">
        <v>1150</v>
      </c>
      <c r="E15" s="298">
        <v>3.12</v>
      </c>
      <c r="F15" s="450">
        <f>D15*E15</f>
        <v>3588</v>
      </c>
      <c r="G15" s="449"/>
      <c r="H15" s="298"/>
      <c r="I15" s="450"/>
      <c r="J15" s="449"/>
      <c r="K15" s="298"/>
      <c r="L15" s="452"/>
      <c r="M15" s="449"/>
      <c r="N15" s="298"/>
      <c r="O15" s="452"/>
      <c r="P15" s="453"/>
      <c r="Q15" s="454"/>
      <c r="R15" s="455">
        <f>F15</f>
        <v>3588</v>
      </c>
      <c r="S15" s="298">
        <f>R15*H6</f>
        <v>44414.4168</v>
      </c>
      <c r="T15" s="454">
        <f t="shared" si="1"/>
        <v>44414.42</v>
      </c>
    </row>
    <row r="16" spans="1:20" ht="12.75">
      <c r="A16" s="448"/>
      <c r="B16" s="448"/>
      <c r="C16" s="448"/>
      <c r="D16" s="449"/>
      <c r="E16" s="298"/>
      <c r="F16" s="450"/>
      <c r="G16" s="449"/>
      <c r="H16" s="298"/>
      <c r="I16" s="450"/>
      <c r="J16" s="449"/>
      <c r="K16" s="298"/>
      <c r="L16" s="450"/>
      <c r="M16" s="449"/>
      <c r="N16" s="298"/>
      <c r="O16" s="450"/>
      <c r="P16" s="453"/>
      <c r="Q16" s="454"/>
      <c r="R16" s="455"/>
      <c r="S16" s="298"/>
      <c r="T16" s="454"/>
    </row>
    <row r="17" spans="1:20" ht="13.5" thickBot="1">
      <c r="A17" s="457" t="s">
        <v>7</v>
      </c>
      <c r="B17" s="457">
        <f>SUM(B11:B16)</f>
        <v>8195</v>
      </c>
      <c r="C17" s="457"/>
      <c r="D17" s="437"/>
      <c r="E17" s="441"/>
      <c r="F17" s="439"/>
      <c r="G17" s="437">
        <f>SUM(G11:G16)</f>
        <v>7045</v>
      </c>
      <c r="H17" s="441"/>
      <c r="I17" s="439">
        <f>SUM(I11:I16)</f>
        <v>2906.55</v>
      </c>
      <c r="J17" s="458">
        <f>SUM(J11:J16)</f>
        <v>5076</v>
      </c>
      <c r="K17" s="441"/>
      <c r="L17" s="459">
        <f>SUM(L11:L16)</f>
        <v>1284.3</v>
      </c>
      <c r="M17" s="458">
        <f>SUM(M12:M16)</f>
        <v>413</v>
      </c>
      <c r="N17" s="441"/>
      <c r="O17" s="459">
        <f>SUM(O12:O16)</f>
        <v>60.7</v>
      </c>
      <c r="P17" s="460">
        <f t="shared" si="0"/>
        <v>4251.6</v>
      </c>
      <c r="Q17" s="461">
        <f>SUM(Q11:Q16)</f>
        <v>52171.21</v>
      </c>
      <c r="R17" s="462">
        <f>SUM(R15:R16)</f>
        <v>3588</v>
      </c>
      <c r="S17" s="441">
        <f>SUM(S15:S16)</f>
        <v>44414.4168</v>
      </c>
      <c r="T17" s="461">
        <f t="shared" si="1"/>
        <v>96585.63</v>
      </c>
    </row>
    <row r="19" spans="1:18" ht="12.75">
      <c r="A19" t="s">
        <v>294</v>
      </c>
      <c r="B19">
        <f>'[3]Хоз. и др.расх.'!F37/1000</f>
        <v>0</v>
      </c>
      <c r="C19" t="s">
        <v>11</v>
      </c>
      <c r="R19" s="463"/>
    </row>
    <row r="20" spans="1:3" ht="12.75">
      <c r="A20" t="s">
        <v>295</v>
      </c>
      <c r="B20" s="464">
        <f>'[3]Хоз. и др.расх.'!F36/1000</f>
        <v>31.4309</v>
      </c>
      <c r="C20" t="s">
        <v>11</v>
      </c>
    </row>
    <row r="22" spans="1:11" ht="12.75">
      <c r="A22" t="s">
        <v>296</v>
      </c>
      <c r="G22" s="378">
        <f>P17</f>
        <v>4251.6</v>
      </c>
      <c r="H22" s="298"/>
      <c r="I22" s="377">
        <f>G22*B6</f>
        <v>52171.21</v>
      </c>
      <c r="J22" s="298"/>
      <c r="K22" s="298"/>
    </row>
    <row r="23" spans="1:11" ht="12.75">
      <c r="A23" t="s">
        <v>298</v>
      </c>
      <c r="C23" s="465">
        <v>0.02</v>
      </c>
      <c r="G23" s="378">
        <f>G22</f>
        <v>4251.6</v>
      </c>
      <c r="H23" s="466">
        <v>0.02</v>
      </c>
      <c r="I23" s="378">
        <f>G23*H23</f>
        <v>85</v>
      </c>
      <c r="J23" s="298"/>
      <c r="K23" s="298"/>
    </row>
    <row r="24" spans="1:11" ht="12.75">
      <c r="A24" t="s">
        <v>301</v>
      </c>
      <c r="G24" s="378">
        <f>G23</f>
        <v>4251.6</v>
      </c>
      <c r="H24" s="466">
        <v>0.5</v>
      </c>
      <c r="I24" s="378">
        <f>G24*H24</f>
        <v>2125.8</v>
      </c>
      <c r="J24" s="298"/>
      <c r="K24" s="298" t="s">
        <v>374</v>
      </c>
    </row>
    <row r="25" spans="1:11" ht="12.75">
      <c r="A25" t="s">
        <v>303</v>
      </c>
      <c r="G25" s="378">
        <f>I23+I24</f>
        <v>2210.8</v>
      </c>
      <c r="H25" s="298">
        <f>B19</f>
        <v>0</v>
      </c>
      <c r="I25" s="377">
        <f>G25*B19</f>
        <v>0</v>
      </c>
      <c r="J25" s="298"/>
      <c r="K25" s="298" t="s">
        <v>374</v>
      </c>
    </row>
    <row r="26" spans="1:11" ht="12.75">
      <c r="A26" t="s">
        <v>305</v>
      </c>
      <c r="G26" s="298">
        <f>R15</f>
        <v>3588</v>
      </c>
      <c r="H26" s="298"/>
      <c r="I26" s="298">
        <f>G26*H6</f>
        <v>44414.4168</v>
      </c>
      <c r="J26" s="298"/>
      <c r="K26" s="298"/>
    </row>
    <row r="27" spans="1:11" ht="12.75">
      <c r="A27" t="s">
        <v>307</v>
      </c>
      <c r="B27" s="467">
        <v>0.045</v>
      </c>
      <c r="G27" s="298">
        <f>G26</f>
        <v>3588</v>
      </c>
      <c r="H27" s="468">
        <v>0.045</v>
      </c>
      <c r="I27" s="378">
        <f>G27*H27</f>
        <v>161.5</v>
      </c>
      <c r="J27" s="298"/>
      <c r="K27" s="298" t="s">
        <v>375</v>
      </c>
    </row>
    <row r="28" spans="1:11" ht="12.75">
      <c r="A28" t="s">
        <v>310</v>
      </c>
      <c r="G28" s="378">
        <f>I27</f>
        <v>161.5</v>
      </c>
      <c r="H28" s="469">
        <f>B20</f>
        <v>31.4309</v>
      </c>
      <c r="I28" s="377">
        <f>G28*B20</f>
        <v>5076.09</v>
      </c>
      <c r="J28" s="298"/>
      <c r="K28" s="298" t="s">
        <v>375</v>
      </c>
    </row>
    <row r="29" spans="7:11" ht="12.75">
      <c r="G29" s="298"/>
      <c r="H29" s="298"/>
      <c r="I29" s="298"/>
      <c r="J29" s="298"/>
      <c r="K29" s="298"/>
    </row>
    <row r="30" spans="1:11" ht="12.75">
      <c r="A30" t="s">
        <v>312</v>
      </c>
      <c r="G30" s="298"/>
      <c r="H30" s="298"/>
      <c r="I30" s="377">
        <f>SUM(I22:I29)</f>
        <v>104034.02</v>
      </c>
      <c r="J30" s="298"/>
      <c r="K30" s="298"/>
    </row>
  </sheetData>
  <sheetProtection/>
  <mergeCells count="12">
    <mergeCell ref="A7:A9"/>
    <mergeCell ref="B7:B9"/>
    <mergeCell ref="C7:C9"/>
    <mergeCell ref="D7:F8"/>
    <mergeCell ref="G7:I8"/>
    <mergeCell ref="J7:L8"/>
    <mergeCell ref="M7:O8"/>
    <mergeCell ref="P7:P9"/>
    <mergeCell ref="Q7:Q9"/>
    <mergeCell ref="R7:R9"/>
    <mergeCell ref="S7:S9"/>
    <mergeCell ref="T7:T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0.50390625" style="0" customWidth="1"/>
    <col min="4" max="4" width="13.00390625" style="0" customWidth="1"/>
    <col min="5" max="5" width="10.625" style="0" customWidth="1"/>
    <col min="6" max="7" width="15.625" style="0" customWidth="1"/>
  </cols>
  <sheetData>
    <row r="2" spans="1:7" ht="12.75">
      <c r="A2" s="800" t="s">
        <v>639</v>
      </c>
      <c r="B2" s="800"/>
      <c r="C2" s="800"/>
      <c r="D2" s="800"/>
      <c r="E2" s="800"/>
      <c r="F2" s="800"/>
      <c r="G2" s="800"/>
    </row>
    <row r="3" spans="1:7" ht="12.75">
      <c r="A3" s="800"/>
      <c r="B3" s="800"/>
      <c r="C3" s="800"/>
      <c r="D3" s="800"/>
      <c r="E3" s="800"/>
      <c r="F3" s="800"/>
      <c r="G3" s="800"/>
    </row>
    <row r="4" spans="1:7" ht="12.75">
      <c r="A4" s="800"/>
      <c r="B4" s="800"/>
      <c r="C4" s="800"/>
      <c r="D4" s="800"/>
      <c r="E4" s="800"/>
      <c r="F4" s="800"/>
      <c r="G4" s="80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489"/>
    </row>
    <row r="7" spans="1:7" ht="105">
      <c r="A7" s="607" t="s">
        <v>174</v>
      </c>
      <c r="B7" s="607" t="s">
        <v>416</v>
      </c>
      <c r="C7" s="607" t="s">
        <v>411</v>
      </c>
      <c r="D7" s="607" t="s">
        <v>412</v>
      </c>
      <c r="E7" s="607" t="s">
        <v>413</v>
      </c>
      <c r="F7" s="607" t="s">
        <v>414</v>
      </c>
      <c r="G7" s="608" t="s">
        <v>415</v>
      </c>
    </row>
    <row r="8" spans="1:8" ht="12.75">
      <c r="A8" s="491">
        <v>1</v>
      </c>
      <c r="B8" s="498" t="str">
        <f>бензин!B12</f>
        <v>ГАЗ-5312</v>
      </c>
      <c r="C8" s="500">
        <f>бензин!J12/100</f>
        <v>80.91</v>
      </c>
      <c r="D8" s="491">
        <v>2.1</v>
      </c>
      <c r="E8" s="500">
        <f>ROUND(C8*D8,3)</f>
        <v>169.91</v>
      </c>
      <c r="F8" s="491">
        <v>12084.55</v>
      </c>
      <c r="G8" s="500">
        <f>ROUND(E8*F8/1000,0)</f>
        <v>2053</v>
      </c>
      <c r="H8" s="486"/>
    </row>
    <row r="9" spans="1:8" ht="12.75">
      <c r="A9" s="491">
        <v>2</v>
      </c>
      <c r="B9" s="498" t="str">
        <f>бензин!B13</f>
        <v>ГАЗ-53 Б</v>
      </c>
      <c r="C9" s="500">
        <f>бензин!J13/100</f>
        <v>80.91</v>
      </c>
      <c r="D9" s="491">
        <v>2.1</v>
      </c>
      <c r="E9" s="500">
        <f aca="true" t="shared" si="0" ref="E9:E54">ROUND(C9*D9,3)</f>
        <v>169.91</v>
      </c>
      <c r="F9" s="491">
        <v>12084.55</v>
      </c>
      <c r="G9" s="500">
        <f aca="true" t="shared" si="1" ref="G9:G54">ROUND(E9*F9/1000,0)</f>
        <v>2053</v>
      </c>
      <c r="H9" s="486"/>
    </row>
    <row r="10" spans="1:8" ht="12.75">
      <c r="A10" s="491">
        <v>3</v>
      </c>
      <c r="B10" s="498" t="str">
        <f>бензин!B14</f>
        <v>ГАЗ-66</v>
      </c>
      <c r="C10" s="500">
        <f>бензин!J14/100</f>
        <v>125.86</v>
      </c>
      <c r="D10" s="491">
        <v>2.1</v>
      </c>
      <c r="E10" s="500">
        <f t="shared" si="0"/>
        <v>264.31</v>
      </c>
      <c r="F10" s="491">
        <v>12084.55</v>
      </c>
      <c r="G10" s="500">
        <f t="shared" si="1"/>
        <v>3194</v>
      </c>
      <c r="H10" s="486"/>
    </row>
    <row r="11" spans="1:8" ht="12.75">
      <c r="A11" s="491">
        <v>4</v>
      </c>
      <c r="B11" s="498" t="str">
        <f>бензин!B15</f>
        <v>УАЗ-452Д</v>
      </c>
      <c r="C11" s="500">
        <f>бензин!J15/100</f>
        <v>59.52</v>
      </c>
      <c r="D11" s="491">
        <v>2.2</v>
      </c>
      <c r="E11" s="500">
        <f t="shared" si="0"/>
        <v>130.94</v>
      </c>
      <c r="F11" s="491">
        <v>12084.55</v>
      </c>
      <c r="G11" s="500">
        <f t="shared" si="1"/>
        <v>1582</v>
      </c>
      <c r="H11" s="486"/>
    </row>
    <row r="12" spans="1:8" ht="12.75">
      <c r="A12" s="491">
        <v>6</v>
      </c>
      <c r="B12" s="498" t="str">
        <f>бензин!B16</f>
        <v>ЗИЛ-131</v>
      </c>
      <c r="C12" s="500">
        <f>бензин!J16/100</f>
        <v>119.56</v>
      </c>
      <c r="D12" s="491">
        <v>2.2</v>
      </c>
      <c r="E12" s="500">
        <f t="shared" si="0"/>
        <v>263.03</v>
      </c>
      <c r="F12" s="491">
        <v>12084.55</v>
      </c>
      <c r="G12" s="500">
        <f t="shared" si="1"/>
        <v>3179</v>
      </c>
      <c r="H12" s="486"/>
    </row>
    <row r="13" spans="1:8" ht="12.75">
      <c r="A13" s="491">
        <v>7</v>
      </c>
      <c r="B13" s="498" t="str">
        <f>бензин!B17</f>
        <v>ГАЗ-3110 (лг)</v>
      </c>
      <c r="C13" s="500">
        <f>бензин!J17/100</f>
        <v>39.8</v>
      </c>
      <c r="D13" s="491">
        <v>2.1</v>
      </c>
      <c r="E13" s="500">
        <f t="shared" si="0"/>
        <v>83.58</v>
      </c>
      <c r="F13" s="491">
        <v>12084.55</v>
      </c>
      <c r="G13" s="500">
        <f t="shared" si="1"/>
        <v>1010</v>
      </c>
      <c r="H13" s="486"/>
    </row>
    <row r="14" spans="1:8" ht="12.75">
      <c r="A14" s="491">
        <v>8</v>
      </c>
      <c r="B14" s="498" t="str">
        <f>бензин!B18</f>
        <v>УАЗ_31512 (лг)</v>
      </c>
      <c r="C14" s="500">
        <f>бензин!J18/100</f>
        <v>61.89</v>
      </c>
      <c r="D14" s="491">
        <v>2.2</v>
      </c>
      <c r="E14" s="500">
        <f t="shared" si="0"/>
        <v>136.16</v>
      </c>
      <c r="F14" s="491">
        <v>12084.55</v>
      </c>
      <c r="G14" s="500">
        <f t="shared" si="1"/>
        <v>1645</v>
      </c>
      <c r="H14" s="486"/>
    </row>
    <row r="15" spans="1:8" ht="12.75">
      <c r="A15" s="491">
        <v>9</v>
      </c>
      <c r="B15" s="498" t="str">
        <f>бензин!B19</f>
        <v>УАЗ-469 (лг) дуб.</v>
      </c>
      <c r="C15" s="500">
        <f>бензин!J19/100</f>
        <v>42.85</v>
      </c>
      <c r="D15" s="491">
        <v>2.2</v>
      </c>
      <c r="E15" s="500">
        <f t="shared" si="0"/>
        <v>94.27</v>
      </c>
      <c r="F15" s="491">
        <v>12084.55</v>
      </c>
      <c r="G15" s="500">
        <f t="shared" si="1"/>
        <v>1139</v>
      </c>
      <c r="H15" s="486"/>
    </row>
    <row r="16" spans="1:8" ht="12.75">
      <c r="A16" s="491">
        <v>10</v>
      </c>
      <c r="B16" s="498" t="str">
        <f>бензин!B20</f>
        <v>ВАЗ-2121</v>
      </c>
      <c r="C16" s="500">
        <f>бензин!J20/100</f>
        <v>22.03</v>
      </c>
      <c r="D16" s="491">
        <v>1.8</v>
      </c>
      <c r="E16" s="500">
        <f t="shared" si="0"/>
        <v>39.65</v>
      </c>
      <c r="F16" s="491">
        <v>12084.55</v>
      </c>
      <c r="G16" s="500">
        <f t="shared" si="1"/>
        <v>479</v>
      </c>
      <c r="H16" s="486"/>
    </row>
    <row r="17" spans="1:8" ht="12.75">
      <c r="A17" s="491">
        <v>11</v>
      </c>
      <c r="B17" s="498" t="str">
        <f>бензин!B21</f>
        <v>ЛУАЗ-969 (лг)</v>
      </c>
      <c r="C17" s="500">
        <f>бензин!J21/100</f>
        <v>23.81</v>
      </c>
      <c r="D17" s="491">
        <v>1.3</v>
      </c>
      <c r="E17" s="500">
        <f t="shared" si="0"/>
        <v>30.95</v>
      </c>
      <c r="F17" s="491">
        <v>12084.55</v>
      </c>
      <c r="G17" s="500">
        <f t="shared" si="1"/>
        <v>374</v>
      </c>
      <c r="H17" s="486"/>
    </row>
    <row r="18" spans="1:8" ht="12.75">
      <c r="A18" s="491">
        <v>12</v>
      </c>
      <c r="B18" s="498" t="str">
        <f>бензин!B22</f>
        <v>УАЗ -315201</v>
      </c>
      <c r="C18" s="500">
        <f>бензин!J22/100</f>
        <v>33.97</v>
      </c>
      <c r="D18" s="491">
        <v>2.2</v>
      </c>
      <c r="E18" s="500">
        <f t="shared" si="0"/>
        <v>74.73</v>
      </c>
      <c r="F18" s="491">
        <v>12084.55</v>
      </c>
      <c r="G18" s="500">
        <f t="shared" si="1"/>
        <v>903</v>
      </c>
      <c r="H18" s="486"/>
    </row>
    <row r="19" spans="1:8" ht="12.75">
      <c r="A19" s="491">
        <v>13</v>
      </c>
      <c r="B19" s="498" t="str">
        <f>бензин!B23</f>
        <v>УАЗ -3962</v>
      </c>
      <c r="C19" s="500">
        <f>бензин!J23/100</f>
        <v>36.31</v>
      </c>
      <c r="D19" s="491">
        <v>2.2</v>
      </c>
      <c r="E19" s="500">
        <f t="shared" si="0"/>
        <v>79.88</v>
      </c>
      <c r="F19" s="491">
        <v>12084.55</v>
      </c>
      <c r="G19" s="500">
        <f t="shared" si="1"/>
        <v>965</v>
      </c>
      <c r="H19" s="486"/>
    </row>
    <row r="20" spans="1:8" ht="12.75">
      <c r="A20" s="491">
        <v>14</v>
      </c>
      <c r="B20" s="498" t="str">
        <f>бензин!B24</f>
        <v>ВАЗ- 2106</v>
      </c>
      <c r="C20" s="500">
        <f>бензин!J24/100</f>
        <v>18.68</v>
      </c>
      <c r="D20" s="491">
        <v>1.8</v>
      </c>
      <c r="E20" s="500">
        <f t="shared" si="0"/>
        <v>33.62</v>
      </c>
      <c r="F20" s="491">
        <v>12084.55</v>
      </c>
      <c r="G20" s="500">
        <f t="shared" si="1"/>
        <v>406</v>
      </c>
      <c r="H20" s="486"/>
    </row>
    <row r="21" spans="1:8" ht="12.75">
      <c r="A21" s="491">
        <v>15</v>
      </c>
      <c r="B21" s="498" t="str">
        <f>бензин!B25</f>
        <v>ВАЗ- 2107</v>
      </c>
      <c r="C21" s="500">
        <f>бензин!J25/100</f>
        <v>17.84</v>
      </c>
      <c r="D21" s="491">
        <v>1.8</v>
      </c>
      <c r="E21" s="500">
        <f t="shared" si="0"/>
        <v>32.11</v>
      </c>
      <c r="F21" s="491">
        <v>12084.55</v>
      </c>
      <c r="G21" s="500">
        <f t="shared" si="1"/>
        <v>388</v>
      </c>
      <c r="H21" s="486"/>
    </row>
    <row r="22" spans="1:8" ht="12.75">
      <c r="A22" s="491">
        <v>16</v>
      </c>
      <c r="B22" s="498" t="str">
        <f>бензин!B26</f>
        <v>ВАЗ-21213</v>
      </c>
      <c r="C22" s="500">
        <f>бензин!J26/100</f>
        <v>20.45</v>
      </c>
      <c r="D22" s="491">
        <v>1.8</v>
      </c>
      <c r="E22" s="500">
        <f t="shared" si="0"/>
        <v>36.81</v>
      </c>
      <c r="F22" s="491">
        <v>12084.55</v>
      </c>
      <c r="G22" s="500">
        <f t="shared" si="1"/>
        <v>445</v>
      </c>
      <c r="H22" s="486"/>
    </row>
    <row r="23" spans="1:8" ht="18" customHeight="1">
      <c r="A23" s="491">
        <v>17</v>
      </c>
      <c r="B23" s="499" t="str">
        <f>бензин!B27</f>
        <v>Автовышка ЗИЛ-131</v>
      </c>
      <c r="C23" s="500">
        <f>бензин!J27/100</f>
        <v>60.76</v>
      </c>
      <c r="D23" s="491">
        <v>2.2</v>
      </c>
      <c r="E23" s="500">
        <f t="shared" si="0"/>
        <v>133.67</v>
      </c>
      <c r="F23" s="491">
        <v>12084.55</v>
      </c>
      <c r="G23" s="500">
        <f t="shared" si="1"/>
        <v>1615</v>
      </c>
      <c r="H23" s="486"/>
    </row>
    <row r="24" spans="1:8" ht="12.75">
      <c r="A24" s="491">
        <v>18</v>
      </c>
      <c r="B24" s="499" t="str">
        <f>бензин!B28</f>
        <v>ВАЗ-21033</v>
      </c>
      <c r="C24" s="500">
        <f>бензин!J28/100</f>
        <v>26.68</v>
      </c>
      <c r="D24" s="491">
        <v>1.8</v>
      </c>
      <c r="E24" s="500">
        <f t="shared" si="0"/>
        <v>48.02</v>
      </c>
      <c r="F24" s="491">
        <v>12084.55</v>
      </c>
      <c r="G24" s="500">
        <f t="shared" si="1"/>
        <v>580</v>
      </c>
      <c r="H24" s="486"/>
    </row>
    <row r="25" spans="1:8" ht="12.75">
      <c r="A25" s="491">
        <v>19</v>
      </c>
      <c r="B25" s="499" t="str">
        <f>бензин!B29</f>
        <v>ВАЗ-21213</v>
      </c>
      <c r="C25" s="500">
        <f>бензин!J29/100</f>
        <v>34.09</v>
      </c>
      <c r="D25" s="491">
        <v>1.8</v>
      </c>
      <c r="E25" s="500">
        <f t="shared" si="0"/>
        <v>61.36</v>
      </c>
      <c r="F25" s="491">
        <v>12084.55</v>
      </c>
      <c r="G25" s="500">
        <f t="shared" si="1"/>
        <v>742</v>
      </c>
      <c r="H25" s="486"/>
    </row>
    <row r="26" spans="1:8" ht="12.75">
      <c r="A26" s="491">
        <v>20</v>
      </c>
      <c r="B26" s="499" t="str">
        <f>бензин!B30</f>
        <v>САЗ-3507</v>
      </c>
      <c r="C26" s="500">
        <f>бензин!J30/100</f>
        <v>100.28</v>
      </c>
      <c r="D26" s="491">
        <v>2.1</v>
      </c>
      <c r="E26" s="500">
        <f t="shared" si="0"/>
        <v>210.59</v>
      </c>
      <c r="F26" s="491">
        <v>12084.55</v>
      </c>
      <c r="G26" s="500">
        <f t="shared" si="1"/>
        <v>2545</v>
      </c>
      <c r="H26" s="486"/>
    </row>
    <row r="27" spans="1:8" ht="12.75">
      <c r="A27" s="491">
        <v>21</v>
      </c>
      <c r="B27" s="499" t="str">
        <f>бензин!B31</f>
        <v>ВАЗ-21013</v>
      </c>
      <c r="C27" s="500">
        <f>бензин!J31/100</f>
        <v>20.01</v>
      </c>
      <c r="D27" s="491">
        <v>1.8</v>
      </c>
      <c r="E27" s="500">
        <f t="shared" si="0"/>
        <v>36.02</v>
      </c>
      <c r="F27" s="491">
        <v>12084.55</v>
      </c>
      <c r="G27" s="500">
        <f t="shared" si="1"/>
        <v>435</v>
      </c>
      <c r="H27" s="486"/>
    </row>
    <row r="28" spans="1:8" ht="12.75">
      <c r="A28" s="491">
        <v>22</v>
      </c>
      <c r="B28" s="499" t="str">
        <f>бензин!B32</f>
        <v>ВАЗ-21063</v>
      </c>
      <c r="C28" s="500">
        <f>бензин!J32/100</f>
        <v>26.68</v>
      </c>
      <c r="D28" s="491">
        <v>1.8</v>
      </c>
      <c r="E28" s="500">
        <f t="shared" si="0"/>
        <v>48.02</v>
      </c>
      <c r="F28" s="491">
        <v>12084.55</v>
      </c>
      <c r="G28" s="500">
        <f t="shared" si="1"/>
        <v>580</v>
      </c>
      <c r="H28" s="486"/>
    </row>
    <row r="29" spans="1:8" ht="12.75">
      <c r="A29" s="491">
        <v>23</v>
      </c>
      <c r="B29" s="499" t="str">
        <f>бензин!B33</f>
        <v>Мазда 626</v>
      </c>
      <c r="C29" s="500">
        <f>бензин!J33/100</f>
        <v>30.38</v>
      </c>
      <c r="D29" s="491">
        <v>0.6</v>
      </c>
      <c r="E29" s="500">
        <f t="shared" si="0"/>
        <v>18.23</v>
      </c>
      <c r="F29" s="491">
        <v>12084.55</v>
      </c>
      <c r="G29" s="500">
        <f t="shared" si="1"/>
        <v>220</v>
      </c>
      <c r="H29" s="486"/>
    </row>
    <row r="30" spans="1:8" ht="12.75">
      <c r="A30" s="491">
        <v>24</v>
      </c>
      <c r="B30" s="499" t="str">
        <f>бензин!B34</f>
        <v>Мерседес -240</v>
      </c>
      <c r="C30" s="500">
        <f>бензин!J34/100</f>
        <v>48.9</v>
      </c>
      <c r="D30" s="491">
        <v>0.6</v>
      </c>
      <c r="E30" s="500">
        <f t="shared" si="0"/>
        <v>29.34</v>
      </c>
      <c r="F30" s="491">
        <v>12084.55</v>
      </c>
      <c r="G30" s="500">
        <f t="shared" si="1"/>
        <v>355</v>
      </c>
      <c r="H30" s="486"/>
    </row>
    <row r="31" spans="1:8" ht="13.5">
      <c r="A31" s="491"/>
      <c r="B31" s="499"/>
      <c r="C31" s="500"/>
      <c r="D31" s="491"/>
      <c r="E31" s="500"/>
      <c r="F31" s="490"/>
      <c r="G31" s="500"/>
      <c r="H31" s="486"/>
    </row>
    <row r="32" spans="1:8" ht="13.5">
      <c r="A32" s="491"/>
      <c r="B32" s="499" t="s">
        <v>640</v>
      </c>
      <c r="C32" s="500"/>
      <c r="D32" s="491"/>
      <c r="E32" s="504">
        <f>SUM(E8:E31)</f>
        <v>2225.11</v>
      </c>
      <c r="F32" s="490"/>
      <c r="G32" s="504">
        <f>SUM(G8:G31)</f>
        <v>26887</v>
      </c>
      <c r="H32" s="486"/>
    </row>
    <row r="33" spans="1:8" ht="13.5">
      <c r="A33" s="491"/>
      <c r="B33" s="499"/>
      <c r="C33" s="500"/>
      <c r="D33" s="491"/>
      <c r="E33" s="500"/>
      <c r="F33" s="490"/>
      <c r="G33" s="500"/>
      <c r="H33" s="486"/>
    </row>
    <row r="34" spans="1:8" ht="13.5">
      <c r="A34" s="491"/>
      <c r="B34" s="499"/>
      <c r="C34" s="500"/>
      <c r="D34" s="491"/>
      <c r="E34" s="500"/>
      <c r="F34" s="490"/>
      <c r="G34" s="500"/>
      <c r="H34" s="486"/>
    </row>
    <row r="35" spans="1:8" ht="12.75">
      <c r="A35" s="491">
        <v>1</v>
      </c>
      <c r="B35" s="499" t="str">
        <f>бензин!B39</f>
        <v>КАМАЗ -5320</v>
      </c>
      <c r="C35" s="500">
        <f>бензин!J39/100</f>
        <v>67.22</v>
      </c>
      <c r="D35" s="491">
        <v>2.8</v>
      </c>
      <c r="E35" s="500">
        <f t="shared" si="0"/>
        <v>188.22</v>
      </c>
      <c r="F35" s="491">
        <v>12084.55</v>
      </c>
      <c r="G35" s="500">
        <f t="shared" si="1"/>
        <v>2275</v>
      </c>
      <c r="H35" s="486"/>
    </row>
    <row r="36" spans="1:8" ht="17.25" customHeight="1">
      <c r="A36" s="491">
        <v>2</v>
      </c>
      <c r="B36" s="499" t="str">
        <f>бензин!B40</f>
        <v>Урал 4320 (Кран АК-8)</v>
      </c>
      <c r="C36" s="500">
        <f>бензин!J40/100</f>
        <v>71.15</v>
      </c>
      <c r="D36" s="491">
        <v>2.8</v>
      </c>
      <c r="E36" s="500">
        <f t="shared" si="0"/>
        <v>199.22</v>
      </c>
      <c r="F36" s="491">
        <v>12084.55</v>
      </c>
      <c r="G36" s="500">
        <f t="shared" si="1"/>
        <v>2407</v>
      </c>
      <c r="H36" s="486"/>
    </row>
    <row r="37" spans="1:8" ht="12.75">
      <c r="A37" s="491">
        <v>3</v>
      </c>
      <c r="B37" s="499" t="str">
        <f>бензин!B41</f>
        <v>МАЗ 5334</v>
      </c>
      <c r="C37" s="500">
        <f>бензин!J41/100</f>
        <v>49.48</v>
      </c>
      <c r="D37" s="491">
        <v>2.9</v>
      </c>
      <c r="E37" s="500">
        <f t="shared" si="0"/>
        <v>143.49</v>
      </c>
      <c r="F37" s="491">
        <v>12084.55</v>
      </c>
      <c r="G37" s="500">
        <f t="shared" si="1"/>
        <v>1734</v>
      </c>
      <c r="H37" s="486"/>
    </row>
    <row r="38" spans="1:8" ht="13.5">
      <c r="A38" s="491"/>
      <c r="B38" s="499"/>
      <c r="C38" s="500"/>
      <c r="D38" s="491"/>
      <c r="E38" s="500"/>
      <c r="F38" s="490"/>
      <c r="G38" s="500"/>
      <c r="H38" s="486"/>
    </row>
    <row r="39" spans="1:8" ht="18.75" customHeight="1">
      <c r="A39" s="491"/>
      <c r="B39" s="499" t="s">
        <v>641</v>
      </c>
      <c r="C39" s="500"/>
      <c r="D39" s="491"/>
      <c r="E39" s="504">
        <f>SUM(E35:E38)</f>
        <v>530.93</v>
      </c>
      <c r="F39" s="490"/>
      <c r="G39" s="505">
        <f>SUM(G35:G38)</f>
        <v>6416</v>
      </c>
      <c r="H39" s="486"/>
    </row>
    <row r="40" spans="1:8" ht="13.5">
      <c r="A40" s="491"/>
      <c r="B40" s="499"/>
      <c r="C40" s="500"/>
      <c r="D40" s="491"/>
      <c r="E40" s="501"/>
      <c r="F40" s="490"/>
      <c r="G40" s="493"/>
      <c r="H40" s="486"/>
    </row>
    <row r="41" spans="1:8" ht="13.5">
      <c r="A41" s="491"/>
      <c r="B41" s="499" t="str">
        <f>бензин!B45</f>
        <v>Дизельное топливо</v>
      </c>
      <c r="C41" s="500"/>
      <c r="D41" s="491"/>
      <c r="E41" s="501"/>
      <c r="F41" s="490"/>
      <c r="G41" s="493"/>
      <c r="H41" s="486"/>
    </row>
    <row r="42" spans="1:8" ht="13.5">
      <c r="A42" s="491"/>
      <c r="B42" s="499" t="str">
        <f>бензин!B46</f>
        <v>трактора</v>
      </c>
      <c r="C42" s="500"/>
      <c r="D42" s="491"/>
      <c r="E42" s="501"/>
      <c r="F42" s="490"/>
      <c r="G42" s="493"/>
      <c r="H42" s="486"/>
    </row>
    <row r="43" spans="1:8" ht="12.75">
      <c r="A43" s="491">
        <v>1</v>
      </c>
      <c r="B43" s="499" t="str">
        <f>бензин!B47</f>
        <v>ДТ-75</v>
      </c>
      <c r="C43" s="500">
        <f>бензин!J47/100</f>
        <v>62.76</v>
      </c>
      <c r="D43" s="491">
        <v>3.5</v>
      </c>
      <c r="E43" s="500">
        <f t="shared" si="0"/>
        <v>219.66</v>
      </c>
      <c r="F43" s="491">
        <v>12084.55</v>
      </c>
      <c r="G43" s="503">
        <f t="shared" si="1"/>
        <v>2654</v>
      </c>
      <c r="H43" s="486"/>
    </row>
    <row r="44" spans="1:8" ht="12.75">
      <c r="A44" s="491">
        <v>2</v>
      </c>
      <c r="B44" s="499" t="str">
        <f>бензин!B48</f>
        <v>МТЗ-82</v>
      </c>
      <c r="C44" s="500">
        <f>бензин!J48/100</f>
        <v>186.84</v>
      </c>
      <c r="D44" s="491">
        <v>3.7</v>
      </c>
      <c r="E44" s="500">
        <f t="shared" si="0"/>
        <v>691.31</v>
      </c>
      <c r="F44" s="491">
        <v>12084.55</v>
      </c>
      <c r="G44" s="503">
        <f t="shared" si="1"/>
        <v>8354</v>
      </c>
      <c r="H44" s="486"/>
    </row>
    <row r="45" spans="1:8" ht="12.75">
      <c r="A45" s="491">
        <v>3</v>
      </c>
      <c r="B45" s="499" t="str">
        <f>бензин!B49</f>
        <v>МТЗ-82,1</v>
      </c>
      <c r="C45" s="500">
        <f>бензин!J49/100</f>
        <v>218.66</v>
      </c>
      <c r="D45" s="491">
        <v>3.7</v>
      </c>
      <c r="E45" s="500">
        <f t="shared" si="0"/>
        <v>809.04</v>
      </c>
      <c r="F45" s="491">
        <v>12084.55</v>
      </c>
      <c r="G45" s="503">
        <f t="shared" si="1"/>
        <v>9777</v>
      </c>
      <c r="H45" s="486"/>
    </row>
    <row r="46" spans="1:8" ht="12.75">
      <c r="A46" s="491">
        <v>4</v>
      </c>
      <c r="B46" s="499" t="str">
        <f>бензин!B50</f>
        <v>ЭО-2621</v>
      </c>
      <c r="C46" s="500">
        <f>бензин!J50/100</f>
        <v>65.6</v>
      </c>
      <c r="D46" s="491">
        <v>9.7</v>
      </c>
      <c r="E46" s="500">
        <f t="shared" si="0"/>
        <v>636.32</v>
      </c>
      <c r="F46" s="491">
        <v>12084.55</v>
      </c>
      <c r="G46" s="503">
        <f t="shared" si="1"/>
        <v>7690</v>
      </c>
      <c r="H46" s="486"/>
    </row>
    <row r="47" spans="1:8" ht="12.75">
      <c r="A47" s="491">
        <v>5</v>
      </c>
      <c r="B47" s="499" t="str">
        <f>бензин!B51</f>
        <v>Т-25</v>
      </c>
      <c r="C47" s="500">
        <f>бензин!J51/100</f>
        <v>35.98</v>
      </c>
      <c r="D47" s="491">
        <v>4.9</v>
      </c>
      <c r="E47" s="500">
        <f t="shared" si="0"/>
        <v>176.3</v>
      </c>
      <c r="F47" s="491">
        <v>12084.55</v>
      </c>
      <c r="G47" s="503">
        <f t="shared" si="1"/>
        <v>2131</v>
      </c>
      <c r="H47" s="486"/>
    </row>
    <row r="48" spans="1:8" ht="12.75">
      <c r="A48" s="491">
        <v>6</v>
      </c>
      <c r="B48" s="499" t="str">
        <f>бензин!B52</f>
        <v>МТЗ -82</v>
      </c>
      <c r="C48" s="500">
        <f>бензин!J52/100</f>
        <v>77.8</v>
      </c>
      <c r="D48" s="491">
        <v>3.7</v>
      </c>
      <c r="E48" s="500">
        <f t="shared" si="0"/>
        <v>287.86</v>
      </c>
      <c r="F48" s="491">
        <v>12084.55</v>
      </c>
      <c r="G48" s="503">
        <f t="shared" si="1"/>
        <v>3479</v>
      </c>
      <c r="H48" s="486"/>
    </row>
    <row r="49" spans="1:8" ht="12.75">
      <c r="A49" s="491">
        <v>7</v>
      </c>
      <c r="B49" s="499" t="str">
        <f>бензин!B53</f>
        <v>МТЗ-82</v>
      </c>
      <c r="C49" s="500">
        <f>бензин!J53/100</f>
        <v>155.6</v>
      </c>
      <c r="D49" s="491">
        <v>3.7</v>
      </c>
      <c r="E49" s="500">
        <f t="shared" si="0"/>
        <v>575.72</v>
      </c>
      <c r="F49" s="491">
        <v>12084.55</v>
      </c>
      <c r="G49" s="503">
        <f t="shared" si="1"/>
        <v>6957</v>
      </c>
      <c r="H49" s="486"/>
    </row>
    <row r="50" spans="1:8" ht="12.75">
      <c r="A50" s="491">
        <v>8</v>
      </c>
      <c r="B50" s="499" t="str">
        <f>бензин!B54</f>
        <v>МТЗ-82</v>
      </c>
      <c r="C50" s="500">
        <f>бензин!J54/100</f>
        <v>124.48</v>
      </c>
      <c r="D50" s="491">
        <v>3.7</v>
      </c>
      <c r="E50" s="500">
        <f t="shared" si="0"/>
        <v>460.58</v>
      </c>
      <c r="F50" s="491">
        <v>12084.55</v>
      </c>
      <c r="G50" s="503">
        <f t="shared" si="1"/>
        <v>5566</v>
      </c>
      <c r="H50" s="486"/>
    </row>
    <row r="51" spans="1:8" ht="12.75">
      <c r="A51" s="491">
        <v>9</v>
      </c>
      <c r="B51" s="499" t="str">
        <f>бензин!B55</f>
        <v>Т-40</v>
      </c>
      <c r="C51" s="500">
        <f>бензин!J55/100</f>
        <v>80.01</v>
      </c>
      <c r="D51" s="491">
        <v>4.1</v>
      </c>
      <c r="E51" s="500">
        <f t="shared" si="0"/>
        <v>328.04</v>
      </c>
      <c r="F51" s="491">
        <v>12084.55</v>
      </c>
      <c r="G51" s="503">
        <f t="shared" si="1"/>
        <v>3964</v>
      </c>
      <c r="H51" s="486"/>
    </row>
    <row r="52" spans="1:8" ht="12.75">
      <c r="A52" s="491">
        <v>10</v>
      </c>
      <c r="B52" s="499" t="str">
        <f>бензин!B56</f>
        <v>ЮМЗ -6</v>
      </c>
      <c r="C52" s="500">
        <f>бензин!J56/100</f>
        <v>92.88</v>
      </c>
      <c r="D52" s="491">
        <v>4.3</v>
      </c>
      <c r="E52" s="500">
        <f t="shared" si="0"/>
        <v>399.38</v>
      </c>
      <c r="F52" s="491">
        <v>12084.55</v>
      </c>
      <c r="G52" s="503">
        <f t="shared" si="1"/>
        <v>4826</v>
      </c>
      <c r="H52" s="486"/>
    </row>
    <row r="53" spans="1:8" ht="12.75">
      <c r="A53" s="491">
        <v>11</v>
      </c>
      <c r="B53" s="499" t="str">
        <f>бензин!B57</f>
        <v>МТЗ-82</v>
      </c>
      <c r="C53" s="500">
        <f>бензин!J57/100</f>
        <v>140.04</v>
      </c>
      <c r="D53" s="491">
        <v>3.7</v>
      </c>
      <c r="E53" s="500">
        <f t="shared" si="0"/>
        <v>518.15</v>
      </c>
      <c r="F53" s="491">
        <v>12084.55</v>
      </c>
      <c r="G53" s="503">
        <f t="shared" si="1"/>
        <v>6262</v>
      </c>
      <c r="H53" s="486"/>
    </row>
    <row r="54" spans="1:8" ht="12.75">
      <c r="A54" s="491">
        <v>12</v>
      </c>
      <c r="B54" s="499" t="str">
        <f>бензин!B58</f>
        <v>ДТ-75</v>
      </c>
      <c r="C54" s="500">
        <f>бензин!J58/100</f>
        <v>120.23</v>
      </c>
      <c r="D54" s="491">
        <v>3.5</v>
      </c>
      <c r="E54" s="500">
        <f t="shared" si="0"/>
        <v>420.81</v>
      </c>
      <c r="F54" s="491">
        <v>12084.55</v>
      </c>
      <c r="G54" s="503">
        <f t="shared" si="1"/>
        <v>5085</v>
      </c>
      <c r="H54" s="486"/>
    </row>
    <row r="55" spans="1:8" ht="13.5">
      <c r="A55" s="491"/>
      <c r="B55" s="499"/>
      <c r="C55" s="500"/>
      <c r="D55" s="491"/>
      <c r="E55" s="501"/>
      <c r="F55" s="490"/>
      <c r="G55" s="503"/>
      <c r="H55" s="486"/>
    </row>
    <row r="56" spans="1:8" ht="15.75" customHeight="1">
      <c r="A56" s="490"/>
      <c r="B56" s="499" t="s">
        <v>641</v>
      </c>
      <c r="C56" s="500">
        <f>бензин!J60/100</f>
        <v>1360.88</v>
      </c>
      <c r="D56" s="491"/>
      <c r="E56" s="502">
        <f>SUM(E43:E55)</f>
        <v>5523.17</v>
      </c>
      <c r="F56" s="490"/>
      <c r="G56" s="505">
        <f>SUM(G43:G55)</f>
        <v>66745</v>
      </c>
      <c r="H56" s="486"/>
    </row>
    <row r="57" spans="1:8" ht="26.25">
      <c r="A57" s="490"/>
      <c r="B57" s="499" t="s">
        <v>642</v>
      </c>
      <c r="C57" s="492"/>
      <c r="D57" s="491"/>
      <c r="E57" s="504">
        <f>E39+E56</f>
        <v>6054.1</v>
      </c>
      <c r="F57" s="490"/>
      <c r="G57" s="504">
        <f>G39+G56</f>
        <v>73161</v>
      </c>
      <c r="H57" s="486"/>
    </row>
    <row r="58" spans="1:8" ht="13.5">
      <c r="A58" s="490"/>
      <c r="B58" s="491"/>
      <c r="C58" s="492"/>
      <c r="D58" s="491"/>
      <c r="E58" s="501"/>
      <c r="F58" s="490"/>
      <c r="G58" s="493"/>
      <c r="H58" s="486"/>
    </row>
    <row r="59" spans="1:8" ht="13.5">
      <c r="A59" s="490"/>
      <c r="B59" s="491"/>
      <c r="C59" s="492"/>
      <c r="D59" s="491"/>
      <c r="E59" s="501"/>
      <c r="F59" s="490"/>
      <c r="G59" s="493"/>
      <c r="H59" s="486"/>
    </row>
    <row r="60" spans="1:8" ht="13.5">
      <c r="A60" s="490"/>
      <c r="B60" s="491"/>
      <c r="C60" s="492"/>
      <c r="D60" s="491"/>
      <c r="E60" s="501"/>
      <c r="F60" s="490"/>
      <c r="G60" s="493"/>
      <c r="H60" s="486"/>
    </row>
    <row r="61" spans="1:8" ht="13.5">
      <c r="A61" s="490"/>
      <c r="B61" s="491" t="str">
        <f>'[5]бензин'!B22</f>
        <v>Итого:</v>
      </c>
      <c r="C61" s="492"/>
      <c r="D61" s="491"/>
      <c r="E61" s="504">
        <f>E57+E32</f>
        <v>8279.21</v>
      </c>
      <c r="F61" s="490"/>
      <c r="G61" s="504">
        <f>G32+G57</f>
        <v>100048</v>
      </c>
      <c r="H61" s="486"/>
    </row>
    <row r="62" spans="1:8" ht="13.5">
      <c r="A62" s="494"/>
      <c r="B62" s="495"/>
      <c r="C62" s="496"/>
      <c r="D62" s="495"/>
      <c r="E62" s="502"/>
      <c r="F62" s="494"/>
      <c r="G62" s="497"/>
      <c r="H62" s="487"/>
    </row>
    <row r="63" spans="1:7" ht="12.75">
      <c r="A63" s="1"/>
      <c r="B63" s="1"/>
      <c r="C63" s="1"/>
      <c r="D63" s="1"/>
      <c r="E63" s="1"/>
      <c r="F63" s="1"/>
      <c r="G63" s="1"/>
    </row>
    <row r="65" ht="12.75">
      <c r="B65" s="1" t="s">
        <v>1104</v>
      </c>
    </row>
  </sheetData>
  <sheetProtection/>
  <mergeCells count="1">
    <mergeCell ref="A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4.50390625" style="0" customWidth="1"/>
    <col min="2" max="2" width="26.50390625" style="0" customWidth="1"/>
    <col min="3" max="3" width="9.00390625" style="0" customWidth="1"/>
    <col min="4" max="4" width="12.50390625" style="0" customWidth="1"/>
    <col min="5" max="5" width="14.50390625" style="0" customWidth="1"/>
  </cols>
  <sheetData>
    <row r="2" spans="1:5" ht="12.75">
      <c r="A2" s="58"/>
      <c r="B2" s="142"/>
      <c r="C2" s="3"/>
      <c r="D2" s="3"/>
      <c r="E2" s="3"/>
    </row>
    <row r="3" spans="1:5" ht="12.75">
      <c r="A3" s="801" t="s">
        <v>638</v>
      </c>
      <c r="B3" s="801"/>
      <c r="C3" s="801"/>
      <c r="D3" s="801"/>
      <c r="E3" s="801"/>
    </row>
    <row r="4" spans="1:5" ht="12.75">
      <c r="A4" s="58"/>
      <c r="B4" s="801" t="s">
        <v>469</v>
      </c>
      <c r="C4" s="801"/>
      <c r="D4" s="801"/>
      <c r="E4" s="3"/>
    </row>
    <row r="5" spans="1:5" ht="13.5" thickBot="1">
      <c r="A5" s="58"/>
      <c r="B5" s="58"/>
      <c r="C5" s="3"/>
      <c r="D5" s="3"/>
      <c r="E5" s="3"/>
    </row>
    <row r="6" spans="1:5" ht="12.75">
      <c r="A6" s="7" t="s">
        <v>184</v>
      </c>
      <c r="B6" s="64" t="s">
        <v>185</v>
      </c>
      <c r="C6" s="158" t="s">
        <v>187</v>
      </c>
      <c r="D6" s="7" t="s">
        <v>417</v>
      </c>
      <c r="E6" s="7" t="s">
        <v>418</v>
      </c>
    </row>
    <row r="7" spans="1:5" ht="12.75">
      <c r="A7" s="9" t="s">
        <v>192</v>
      </c>
      <c r="B7" s="29" t="s">
        <v>193</v>
      </c>
      <c r="C7" s="9" t="s">
        <v>195</v>
      </c>
      <c r="D7" s="9"/>
      <c r="E7" s="9" t="s">
        <v>419</v>
      </c>
    </row>
    <row r="8" spans="1:5" ht="12.75">
      <c r="A8" s="9"/>
      <c r="B8" s="29"/>
      <c r="C8" s="9" t="s">
        <v>203</v>
      </c>
      <c r="D8" s="9"/>
      <c r="E8" s="9"/>
    </row>
    <row r="9" spans="1:5" ht="13.5" thickBot="1">
      <c r="A9" s="10"/>
      <c r="B9" s="40"/>
      <c r="C9" s="13"/>
      <c r="D9" s="160"/>
      <c r="E9" s="13"/>
    </row>
    <row r="10" spans="1:5" ht="13.5" thickBot="1">
      <c r="A10" s="42">
        <v>1</v>
      </c>
      <c r="B10" s="42">
        <v>2</v>
      </c>
      <c r="C10" s="42">
        <v>4</v>
      </c>
      <c r="D10" s="42">
        <v>6</v>
      </c>
      <c r="E10" s="44">
        <v>7</v>
      </c>
    </row>
    <row r="11" spans="1:5" ht="12.75">
      <c r="A11" s="404"/>
      <c r="B11" s="16"/>
      <c r="C11" s="16"/>
      <c r="D11" s="302"/>
      <c r="E11" s="507"/>
    </row>
    <row r="12" spans="1:7" ht="12.75">
      <c r="A12" s="54">
        <v>1</v>
      </c>
      <c r="B12" s="37" t="str">
        <f>бензин!B12</f>
        <v>ГАЗ-5312</v>
      </c>
      <c r="C12" s="509">
        <f>(бензин!D12)*12/1000</f>
        <v>22</v>
      </c>
      <c r="D12" s="305">
        <v>424.01</v>
      </c>
      <c r="E12" s="508">
        <f>C12*D12</f>
        <v>9328.22</v>
      </c>
      <c r="G12" s="1" t="s">
        <v>645</v>
      </c>
    </row>
    <row r="13" spans="1:7" ht="12.75">
      <c r="A13" s="54">
        <v>2</v>
      </c>
      <c r="B13" s="37" t="str">
        <f>бензин!B13</f>
        <v>ГАЗ-53 Б</v>
      </c>
      <c r="C13" s="509">
        <f>(бензин!D13)*12/1000</f>
        <v>22</v>
      </c>
      <c r="D13" s="305">
        <v>424.01</v>
      </c>
      <c r="E13" s="508">
        <f aca="true" t="shared" si="0" ref="E13:E37">C13*D13</f>
        <v>9328.22</v>
      </c>
      <c r="G13" s="1" t="s">
        <v>645</v>
      </c>
    </row>
    <row r="14" spans="1:7" ht="12.75">
      <c r="A14" s="54">
        <v>3</v>
      </c>
      <c r="B14" s="37" t="str">
        <f>бензин!B14</f>
        <v>ГАЗ-66</v>
      </c>
      <c r="C14" s="509">
        <f>(бензин!D14)*12/1000</f>
        <v>30</v>
      </c>
      <c r="D14" s="305">
        <v>424.01</v>
      </c>
      <c r="E14" s="508">
        <f t="shared" si="0"/>
        <v>12720.3</v>
      </c>
      <c r="G14" s="1" t="s">
        <v>645</v>
      </c>
    </row>
    <row r="15" spans="1:7" ht="12.75">
      <c r="A15" s="54">
        <v>4</v>
      </c>
      <c r="B15" s="37" t="str">
        <f>бензин!B15</f>
        <v>УАЗ-452Д</v>
      </c>
      <c r="C15" s="509">
        <f>(бензин!D15)*12/1000</f>
        <v>30</v>
      </c>
      <c r="D15" s="305">
        <v>424.01</v>
      </c>
      <c r="E15" s="508">
        <f t="shared" si="0"/>
        <v>12720.3</v>
      </c>
      <c r="G15" s="1" t="s">
        <v>645</v>
      </c>
    </row>
    <row r="16" spans="1:7" ht="12.75">
      <c r="A16" s="54">
        <v>5</v>
      </c>
      <c r="B16" s="37" t="str">
        <f>бензин!B16</f>
        <v>ЗИЛ-131</v>
      </c>
      <c r="C16" s="509">
        <f>(бензин!D16)*12/1000</f>
        <v>30</v>
      </c>
      <c r="D16" s="305">
        <v>424.01</v>
      </c>
      <c r="E16" s="508">
        <f t="shared" si="0"/>
        <v>12720.3</v>
      </c>
      <c r="G16" s="1" t="s">
        <v>645</v>
      </c>
    </row>
    <row r="17" spans="1:7" ht="12.75">
      <c r="A17" s="54">
        <v>6</v>
      </c>
      <c r="B17" s="37" t="str">
        <f>бензин!B17</f>
        <v>ГАЗ-3110 (лг)</v>
      </c>
      <c r="C17" s="509">
        <f>(бензин!D17)*12/1000</f>
        <v>30</v>
      </c>
      <c r="D17" s="305">
        <v>264.45</v>
      </c>
      <c r="E17" s="508">
        <f t="shared" si="0"/>
        <v>7933.5</v>
      </c>
      <c r="G17" s="1" t="s">
        <v>646</v>
      </c>
    </row>
    <row r="18" spans="1:7" ht="12.75">
      <c r="A18" s="54">
        <v>7</v>
      </c>
      <c r="B18" s="37" t="str">
        <f>бензин!B18</f>
        <v>УАЗ_31512 (лг)</v>
      </c>
      <c r="C18" s="509">
        <f>(бензин!D18)*12/1000</f>
        <v>30</v>
      </c>
      <c r="D18" s="305">
        <v>264.45</v>
      </c>
      <c r="E18" s="508">
        <f t="shared" si="0"/>
        <v>7933.5</v>
      </c>
      <c r="G18" s="1" t="s">
        <v>646</v>
      </c>
    </row>
    <row r="19" spans="1:7" ht="12.75">
      <c r="A19" s="54">
        <v>8</v>
      </c>
      <c r="B19" s="37" t="str">
        <f>бензин!B19</f>
        <v>УАЗ-469 (лг) дуб.</v>
      </c>
      <c r="C19" s="509">
        <f>(бензин!D19)*12/1000</f>
        <v>19</v>
      </c>
      <c r="D19" s="305">
        <v>264.45</v>
      </c>
      <c r="E19" s="508">
        <f t="shared" si="0"/>
        <v>5024.55</v>
      </c>
      <c r="G19" s="1" t="s">
        <v>646</v>
      </c>
    </row>
    <row r="20" spans="1:7" ht="12.75">
      <c r="A20" s="54">
        <v>9</v>
      </c>
      <c r="B20" s="37" t="str">
        <f>бензин!B20</f>
        <v>ВАЗ-2121</v>
      </c>
      <c r="C20" s="509">
        <f>(бензин!D20)*12/1000</f>
        <v>16</v>
      </c>
      <c r="D20" s="305">
        <v>264.45</v>
      </c>
      <c r="E20" s="508">
        <f t="shared" si="0"/>
        <v>4231.2</v>
      </c>
      <c r="G20" s="1" t="s">
        <v>646</v>
      </c>
    </row>
    <row r="21" spans="1:7" ht="12.75">
      <c r="A21" s="54">
        <v>10</v>
      </c>
      <c r="B21" s="37" t="str">
        <f>бензин!B21</f>
        <v>ЛУАЗ-969 (лг)</v>
      </c>
      <c r="C21" s="509">
        <f>(бензин!D21)*12/1000</f>
        <v>19</v>
      </c>
      <c r="D21" s="305">
        <v>264.45</v>
      </c>
      <c r="E21" s="508">
        <f t="shared" si="0"/>
        <v>5024.55</v>
      </c>
      <c r="G21" s="1" t="s">
        <v>646</v>
      </c>
    </row>
    <row r="22" spans="1:7" ht="12.75">
      <c r="A22" s="54">
        <v>11</v>
      </c>
      <c r="B22" s="37" t="str">
        <f>бензин!B22</f>
        <v>УАЗ -315201</v>
      </c>
      <c r="C22" s="509">
        <f>(бензин!D22)*12/1000</f>
        <v>18</v>
      </c>
      <c r="D22" s="305">
        <v>264.45</v>
      </c>
      <c r="E22" s="508">
        <f t="shared" si="0"/>
        <v>4760.1</v>
      </c>
      <c r="G22" s="1" t="s">
        <v>646</v>
      </c>
    </row>
    <row r="23" spans="1:7" ht="12.75">
      <c r="A23" s="54">
        <v>12</v>
      </c>
      <c r="B23" s="37" t="str">
        <f>бензин!B23</f>
        <v>УАЗ -3962</v>
      </c>
      <c r="C23" s="509">
        <f>(бензин!D23)*12/1000</f>
        <v>17</v>
      </c>
      <c r="D23" s="305">
        <v>264.45</v>
      </c>
      <c r="E23" s="508">
        <f t="shared" si="0"/>
        <v>4495.65</v>
      </c>
      <c r="G23" s="1" t="s">
        <v>646</v>
      </c>
    </row>
    <row r="24" spans="1:7" ht="12.75">
      <c r="A24" s="54">
        <v>13</v>
      </c>
      <c r="B24" s="37" t="str">
        <f>бензин!B24</f>
        <v>ВАЗ- 2106</v>
      </c>
      <c r="C24" s="509">
        <f>(бензин!D24)*12/1000</f>
        <v>17</v>
      </c>
      <c r="D24" s="305">
        <v>264.45</v>
      </c>
      <c r="E24" s="508">
        <f t="shared" si="0"/>
        <v>4495.65</v>
      </c>
      <c r="G24" s="1" t="s">
        <v>646</v>
      </c>
    </row>
    <row r="25" spans="1:7" ht="12.75">
      <c r="A25" s="54">
        <v>14</v>
      </c>
      <c r="B25" s="37" t="str">
        <f>бензин!B25</f>
        <v>ВАЗ- 2107</v>
      </c>
      <c r="C25" s="509">
        <f>(бензин!D25)*12/1000</f>
        <v>17</v>
      </c>
      <c r="D25" s="305">
        <v>264.45</v>
      </c>
      <c r="E25" s="508">
        <f t="shared" si="0"/>
        <v>4495.65</v>
      </c>
      <c r="G25" s="1" t="s">
        <v>646</v>
      </c>
    </row>
    <row r="26" spans="1:7" ht="12.75">
      <c r="A26" s="54">
        <v>15</v>
      </c>
      <c r="B26" s="37" t="str">
        <f>бензин!B26</f>
        <v>ВАЗ-21213</v>
      </c>
      <c r="C26" s="509">
        <f>(бензин!D26)*12/1000</f>
        <v>14</v>
      </c>
      <c r="D26" s="305">
        <v>264.45</v>
      </c>
      <c r="E26" s="508">
        <f t="shared" si="0"/>
        <v>3702.3</v>
      </c>
      <c r="G26" s="1" t="s">
        <v>646</v>
      </c>
    </row>
    <row r="27" spans="1:7" ht="12.75">
      <c r="A27" s="54">
        <v>16</v>
      </c>
      <c r="B27" s="37" t="str">
        <f>бензин!B27</f>
        <v>Автовышка ЗИЛ-131</v>
      </c>
      <c r="C27" s="509">
        <f>(бензин!D27)*12/1000</f>
        <v>12</v>
      </c>
      <c r="D27" s="305">
        <v>424.01</v>
      </c>
      <c r="E27" s="508">
        <f t="shared" si="0"/>
        <v>5088.12</v>
      </c>
      <c r="G27" s="1" t="s">
        <v>645</v>
      </c>
    </row>
    <row r="28" spans="1:7" ht="12.75">
      <c r="A28" s="54">
        <v>17</v>
      </c>
      <c r="B28" s="37" t="str">
        <f>бензин!B28</f>
        <v>ВАЗ-21033</v>
      </c>
      <c r="C28" s="509">
        <f>(бензин!D28)*12/1000</f>
        <v>24</v>
      </c>
      <c r="D28" s="305">
        <v>264.45</v>
      </c>
      <c r="E28" s="508">
        <f t="shared" si="0"/>
        <v>6346.8</v>
      </c>
      <c r="G28" s="1" t="s">
        <v>646</v>
      </c>
    </row>
    <row r="29" spans="1:7" ht="12.75">
      <c r="A29" s="54">
        <v>18</v>
      </c>
      <c r="B29" s="37" t="str">
        <f>бензин!B29</f>
        <v>ВАЗ-21213</v>
      </c>
      <c r="C29" s="509">
        <f>(бензин!D29)*12/1000</f>
        <v>24</v>
      </c>
      <c r="D29" s="305">
        <v>264.45</v>
      </c>
      <c r="E29" s="508">
        <f t="shared" si="0"/>
        <v>6346.8</v>
      </c>
      <c r="G29" s="1" t="s">
        <v>646</v>
      </c>
    </row>
    <row r="30" spans="1:7" ht="12.75">
      <c r="A30" s="54">
        <v>19</v>
      </c>
      <c r="B30" s="37" t="str">
        <f>бензин!B30</f>
        <v>САЗ-3507</v>
      </c>
      <c r="C30" s="509">
        <f>(бензин!D30)*12/1000</f>
        <v>24</v>
      </c>
      <c r="D30" s="305">
        <v>424.01</v>
      </c>
      <c r="E30" s="508">
        <f t="shared" si="0"/>
        <v>10176.24</v>
      </c>
      <c r="G30" s="1" t="s">
        <v>645</v>
      </c>
    </row>
    <row r="31" spans="1:7" ht="12.75">
      <c r="A31" s="54">
        <v>20</v>
      </c>
      <c r="B31" s="37" t="str">
        <f>бензин!B31</f>
        <v>ВАЗ-21013</v>
      </c>
      <c r="C31" s="509">
        <f>(бензин!D31)*12/1000</f>
        <v>18</v>
      </c>
      <c r="D31" s="305">
        <v>264.45</v>
      </c>
      <c r="E31" s="508">
        <f t="shared" si="0"/>
        <v>4760.1</v>
      </c>
      <c r="G31" s="1" t="s">
        <v>646</v>
      </c>
    </row>
    <row r="32" spans="1:7" ht="12.75">
      <c r="A32" s="54">
        <v>21</v>
      </c>
      <c r="B32" s="37" t="str">
        <f>бензин!B32</f>
        <v>ВАЗ-21063</v>
      </c>
      <c r="C32" s="509">
        <f>(бензин!D32)*12/1000</f>
        <v>24</v>
      </c>
      <c r="D32" s="305">
        <v>264.45</v>
      </c>
      <c r="E32" s="508">
        <f t="shared" si="0"/>
        <v>6346.8</v>
      </c>
      <c r="G32" s="1" t="s">
        <v>646</v>
      </c>
    </row>
    <row r="33" spans="1:7" ht="12.75">
      <c r="A33" s="54">
        <v>22</v>
      </c>
      <c r="B33" s="37" t="str">
        <f>бензин!B33</f>
        <v>Мазда 626</v>
      </c>
      <c r="C33" s="509">
        <f>(бензин!D33)*12/1000</f>
        <v>30</v>
      </c>
      <c r="D33" s="305">
        <v>264.45</v>
      </c>
      <c r="E33" s="508">
        <f t="shared" si="0"/>
        <v>7933.5</v>
      </c>
      <c r="G33" s="1" t="s">
        <v>646</v>
      </c>
    </row>
    <row r="34" spans="1:7" ht="12.75">
      <c r="A34" s="54">
        <v>23</v>
      </c>
      <c r="B34" s="37" t="str">
        <f>бензин!B34</f>
        <v>Мерседес -240</v>
      </c>
      <c r="C34" s="509">
        <f>(бензин!D34)*12/1000</f>
        <v>36</v>
      </c>
      <c r="D34" s="305">
        <v>264.45</v>
      </c>
      <c r="E34" s="508">
        <f t="shared" si="0"/>
        <v>9520.2</v>
      </c>
      <c r="G34" s="1" t="s">
        <v>646</v>
      </c>
    </row>
    <row r="35" spans="1:7" ht="12.75">
      <c r="A35" s="54">
        <v>24</v>
      </c>
      <c r="B35" s="37" t="str">
        <f>бензин!B39</f>
        <v>КАМАЗ -5320</v>
      </c>
      <c r="C35" s="509">
        <f>(бензин!D39)*12/1000</f>
        <v>18</v>
      </c>
      <c r="D35" s="305">
        <v>424.01</v>
      </c>
      <c r="E35" s="508">
        <f t="shared" si="0"/>
        <v>7632.18</v>
      </c>
      <c r="G35" s="1" t="s">
        <v>645</v>
      </c>
    </row>
    <row r="36" spans="1:7" ht="12.75">
      <c r="A36" s="54">
        <v>25</v>
      </c>
      <c r="B36" s="37" t="str">
        <f>бензин!B40</f>
        <v>Урал 4320 (Кран АК-8)</v>
      </c>
      <c r="C36" s="509">
        <f>(бензин!D40)*12/1000</f>
        <v>18</v>
      </c>
      <c r="D36" s="305">
        <v>424.01</v>
      </c>
      <c r="E36" s="508">
        <f t="shared" si="0"/>
        <v>7632.18</v>
      </c>
      <c r="G36" s="1" t="s">
        <v>645</v>
      </c>
    </row>
    <row r="37" spans="1:7" ht="12.75">
      <c r="A37" s="54">
        <v>26</v>
      </c>
      <c r="B37" s="37" t="str">
        <f>бензин!B41</f>
        <v>МАЗ 5334</v>
      </c>
      <c r="C37" s="509">
        <f>(бензин!D41)*12/1000</f>
        <v>14</v>
      </c>
      <c r="D37" s="305">
        <v>424.01</v>
      </c>
      <c r="E37" s="508">
        <f t="shared" si="0"/>
        <v>5936.14</v>
      </c>
      <c r="G37" s="1" t="s">
        <v>645</v>
      </c>
    </row>
    <row r="38" spans="1:5" ht="12.75">
      <c r="A38" s="54"/>
      <c r="B38" s="37"/>
      <c r="C38" s="509"/>
      <c r="D38" s="305"/>
      <c r="E38" s="508"/>
    </row>
    <row r="39" spans="1:5" ht="12.75">
      <c r="A39" s="54"/>
      <c r="B39" s="37"/>
      <c r="C39" s="509"/>
      <c r="D39" s="305"/>
      <c r="E39" s="510"/>
    </row>
    <row r="40" spans="1:5" ht="12.75">
      <c r="A40" s="54"/>
      <c r="B40" s="37"/>
      <c r="C40" s="545">
        <f>SUM(C12:C39)</f>
        <v>573</v>
      </c>
      <c r="D40" s="305"/>
      <c r="E40" s="510">
        <f>SUM(E12:E39)</f>
        <v>186633.05</v>
      </c>
    </row>
    <row r="41" spans="1:5" ht="12.75">
      <c r="A41" s="544"/>
      <c r="B41" s="161" t="s">
        <v>647</v>
      </c>
      <c r="C41" s="546">
        <f>C17+C18+C19+C20+C21+C22+C23+C24+C25+C26+C28+C29+C31+C32+C33+C34</f>
        <v>353</v>
      </c>
      <c r="D41" s="225">
        <v>264.45</v>
      </c>
      <c r="E41" s="230">
        <f>E17+E18+E19+E20+E21+E22+E23+E24+E25+E26+E28+E29+E31+E32+E33+E34</f>
        <v>93350.85</v>
      </c>
    </row>
    <row r="42" spans="1:5" ht="12.75">
      <c r="A42" s="226"/>
      <c r="B42" s="161" t="s">
        <v>648</v>
      </c>
      <c r="C42" s="546">
        <f>C12+C13+C14+C15+C16+C27+C30+C35+C36+C37</f>
        <v>220</v>
      </c>
      <c r="D42" s="225">
        <v>424.01</v>
      </c>
      <c r="E42" s="230">
        <f>E12+E13+E14+E15+E16+E27+E30+E35+E36+E37</f>
        <v>93282.2</v>
      </c>
    </row>
    <row r="45" spans="2:3" ht="12.75">
      <c r="B45" s="1" t="s">
        <v>1105</v>
      </c>
      <c r="C45" s="1"/>
    </row>
  </sheetData>
  <sheetProtection/>
  <mergeCells count="2">
    <mergeCell ref="A3:E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4.375" style="0" customWidth="1"/>
    <col min="2" max="2" width="32.125" style="0" customWidth="1"/>
    <col min="3" max="3" width="5.375" style="0" customWidth="1"/>
    <col min="4" max="4" width="10.50390625" style="0" customWidth="1"/>
    <col min="6" max="6" width="10.125" style="0" customWidth="1"/>
  </cols>
  <sheetData>
    <row r="2" spans="1:7" ht="12.75">
      <c r="A2" s="1"/>
      <c r="B2" s="1" t="s">
        <v>457</v>
      </c>
      <c r="C2" s="1"/>
      <c r="D2" s="1"/>
      <c r="E2" s="1"/>
      <c r="F2" s="1"/>
      <c r="G2" s="1"/>
    </row>
    <row r="3" spans="1:7" ht="12.75">
      <c r="A3" s="1"/>
      <c r="B3" s="1" t="s">
        <v>458</v>
      </c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7" ht="27" thickBot="1">
      <c r="A5" s="521" t="s">
        <v>174</v>
      </c>
      <c r="B5" s="522" t="s">
        <v>424</v>
      </c>
      <c r="C5" s="521" t="s">
        <v>425</v>
      </c>
      <c r="D5" s="523" t="s">
        <v>426</v>
      </c>
      <c r="E5" s="523" t="s">
        <v>427</v>
      </c>
      <c r="F5" s="521" t="s">
        <v>428</v>
      </c>
      <c r="G5" s="1"/>
    </row>
    <row r="6" spans="1:7" ht="12.75">
      <c r="A6" s="16"/>
      <c r="B6" s="145"/>
      <c r="C6" s="16"/>
      <c r="D6" s="16"/>
      <c r="E6" s="16"/>
      <c r="F6" s="16"/>
      <c r="G6" s="1"/>
    </row>
    <row r="7" spans="1:7" ht="12.75">
      <c r="A7" s="37">
        <v>1</v>
      </c>
      <c r="B7" s="38" t="s">
        <v>447</v>
      </c>
      <c r="C7" s="37" t="s">
        <v>59</v>
      </c>
      <c r="D7" s="37">
        <v>40</v>
      </c>
      <c r="E7" s="305">
        <v>4.28</v>
      </c>
      <c r="F7" s="305">
        <f>D7*E7</f>
        <v>171.2</v>
      </c>
      <c r="G7" s="1"/>
    </row>
    <row r="8" spans="1:7" ht="12.75">
      <c r="A8" s="37">
        <v>2</v>
      </c>
      <c r="B8" s="38" t="s">
        <v>446</v>
      </c>
      <c r="C8" s="37" t="s">
        <v>59</v>
      </c>
      <c r="D8" s="37">
        <v>350</v>
      </c>
      <c r="E8" s="305">
        <v>2.75</v>
      </c>
      <c r="F8" s="305">
        <f>D8*E8</f>
        <v>962.5</v>
      </c>
      <c r="G8" s="1"/>
    </row>
    <row r="9" spans="1:7" ht="12.75">
      <c r="A9" s="37">
        <v>3</v>
      </c>
      <c r="B9" s="38" t="s">
        <v>429</v>
      </c>
      <c r="C9" s="37" t="s">
        <v>442</v>
      </c>
      <c r="D9" s="37">
        <v>150</v>
      </c>
      <c r="E9" s="305">
        <v>4.85</v>
      </c>
      <c r="F9" s="305">
        <f aca="true" t="shared" si="0" ref="F9:F31">D9*E9</f>
        <v>727.5</v>
      </c>
      <c r="G9" s="1"/>
    </row>
    <row r="10" spans="1:7" ht="12.75">
      <c r="A10" s="37">
        <v>4</v>
      </c>
      <c r="B10" s="38" t="s">
        <v>430</v>
      </c>
      <c r="C10" s="37" t="s">
        <v>443</v>
      </c>
      <c r="D10" s="37">
        <v>110</v>
      </c>
      <c r="E10" s="305">
        <v>1.14</v>
      </c>
      <c r="F10" s="305">
        <f t="shared" si="0"/>
        <v>125.4</v>
      </c>
      <c r="G10" s="1"/>
    </row>
    <row r="11" spans="1:7" ht="12.75">
      <c r="A11" s="37">
        <v>5</v>
      </c>
      <c r="B11" s="38" t="s">
        <v>431</v>
      </c>
      <c r="C11" s="37" t="s">
        <v>443</v>
      </c>
      <c r="D11" s="37">
        <v>110</v>
      </c>
      <c r="E11" s="305">
        <v>1.28</v>
      </c>
      <c r="F11" s="305">
        <f t="shared" si="0"/>
        <v>140.8</v>
      </c>
      <c r="G11" s="1"/>
    </row>
    <row r="12" spans="1:7" ht="12.75">
      <c r="A12" s="37">
        <v>6</v>
      </c>
      <c r="B12" s="38" t="s">
        <v>432</v>
      </c>
      <c r="C12" s="37" t="s">
        <v>443</v>
      </c>
      <c r="D12" s="37">
        <v>70</v>
      </c>
      <c r="E12" s="305">
        <v>1.9</v>
      </c>
      <c r="F12" s="305">
        <f t="shared" si="0"/>
        <v>133</v>
      </c>
      <c r="G12" s="1"/>
    </row>
    <row r="13" spans="1:7" ht="12.75">
      <c r="A13" s="37">
        <v>7</v>
      </c>
      <c r="B13" s="38" t="s">
        <v>433</v>
      </c>
      <c r="C13" s="37" t="s">
        <v>443</v>
      </c>
      <c r="D13" s="37">
        <v>180</v>
      </c>
      <c r="E13" s="305">
        <v>2.6</v>
      </c>
      <c r="F13" s="305">
        <f t="shared" si="0"/>
        <v>468</v>
      </c>
      <c r="G13" s="1"/>
    </row>
    <row r="14" spans="1:7" ht="12.75">
      <c r="A14" s="37">
        <v>8</v>
      </c>
      <c r="B14" s="38" t="s">
        <v>434</v>
      </c>
      <c r="C14" s="37" t="s">
        <v>442</v>
      </c>
      <c r="D14" s="37">
        <v>30</v>
      </c>
      <c r="E14" s="305">
        <v>5.69</v>
      </c>
      <c r="F14" s="305">
        <f t="shared" si="0"/>
        <v>170.7</v>
      </c>
      <c r="G14" s="1"/>
    </row>
    <row r="15" spans="1:7" ht="12.75">
      <c r="A15" s="37">
        <v>9</v>
      </c>
      <c r="B15" s="38" t="s">
        <v>456</v>
      </c>
      <c r="C15" s="37" t="s">
        <v>442</v>
      </c>
      <c r="D15" s="37">
        <v>110</v>
      </c>
      <c r="E15" s="305">
        <v>2.09</v>
      </c>
      <c r="F15" s="305">
        <f t="shared" si="0"/>
        <v>229.9</v>
      </c>
      <c r="G15" s="1"/>
    </row>
    <row r="16" spans="1:7" ht="12.75">
      <c r="A16" s="37">
        <v>10</v>
      </c>
      <c r="B16" s="38" t="s">
        <v>435</v>
      </c>
      <c r="C16" s="37" t="s">
        <v>443</v>
      </c>
      <c r="D16" s="37">
        <v>20</v>
      </c>
      <c r="E16" s="305">
        <v>2.36</v>
      </c>
      <c r="F16" s="305">
        <f t="shared" si="0"/>
        <v>47.2</v>
      </c>
      <c r="G16" s="1"/>
    </row>
    <row r="17" spans="1:7" ht="12.75">
      <c r="A17" s="37">
        <v>11</v>
      </c>
      <c r="B17" s="38" t="s">
        <v>436</v>
      </c>
      <c r="C17" s="37" t="s">
        <v>442</v>
      </c>
      <c r="D17" s="37">
        <v>80</v>
      </c>
      <c r="E17" s="305">
        <v>3.79</v>
      </c>
      <c r="F17" s="305">
        <f t="shared" si="0"/>
        <v>303.2</v>
      </c>
      <c r="G17" s="1"/>
    </row>
    <row r="18" spans="1:7" ht="12.75">
      <c r="A18" s="37">
        <v>12</v>
      </c>
      <c r="B18" s="38" t="s">
        <v>437</v>
      </c>
      <c r="C18" s="37" t="s">
        <v>443</v>
      </c>
      <c r="D18" s="37">
        <v>20</v>
      </c>
      <c r="E18" s="305">
        <v>24.4</v>
      </c>
      <c r="F18" s="305">
        <f t="shared" si="0"/>
        <v>488</v>
      </c>
      <c r="G18" s="1"/>
    </row>
    <row r="19" spans="1:7" ht="12.75">
      <c r="A19" s="37">
        <v>13</v>
      </c>
      <c r="B19" s="38" t="s">
        <v>438</v>
      </c>
      <c r="C19" s="37" t="s">
        <v>59</v>
      </c>
      <c r="D19" s="37">
        <v>45</v>
      </c>
      <c r="E19" s="305">
        <v>56.95</v>
      </c>
      <c r="F19" s="305">
        <f t="shared" si="0"/>
        <v>2562.75</v>
      </c>
      <c r="G19" s="1"/>
    </row>
    <row r="20" spans="1:7" ht="12.75">
      <c r="A20" s="37">
        <v>14</v>
      </c>
      <c r="B20" s="38" t="s">
        <v>439</v>
      </c>
      <c r="C20" s="37" t="s">
        <v>443</v>
      </c>
      <c r="D20" s="37">
        <v>150</v>
      </c>
      <c r="E20" s="305">
        <v>1.59</v>
      </c>
      <c r="F20" s="305">
        <f t="shared" si="0"/>
        <v>238.5</v>
      </c>
      <c r="G20" s="1"/>
    </row>
    <row r="21" spans="1:7" ht="12.75">
      <c r="A21" s="37">
        <v>15</v>
      </c>
      <c r="B21" s="38" t="s">
        <v>440</v>
      </c>
      <c r="C21" s="37" t="s">
        <v>443</v>
      </c>
      <c r="D21" s="37">
        <v>15</v>
      </c>
      <c r="E21" s="305">
        <v>3.41</v>
      </c>
      <c r="F21" s="305">
        <f t="shared" si="0"/>
        <v>51.15</v>
      </c>
      <c r="G21" s="1"/>
    </row>
    <row r="22" spans="1:7" ht="12.75">
      <c r="A22" s="37">
        <v>16</v>
      </c>
      <c r="B22" s="38" t="s">
        <v>441</v>
      </c>
      <c r="C22" s="37" t="s">
        <v>443</v>
      </c>
      <c r="D22" s="37">
        <v>210</v>
      </c>
      <c r="E22" s="305">
        <v>1.6</v>
      </c>
      <c r="F22" s="305">
        <f t="shared" si="0"/>
        <v>336</v>
      </c>
      <c r="G22" s="1"/>
    </row>
    <row r="23" spans="1:7" ht="12.75">
      <c r="A23" s="37">
        <v>17</v>
      </c>
      <c r="B23" s="38" t="s">
        <v>445</v>
      </c>
      <c r="C23" s="37" t="s">
        <v>443</v>
      </c>
      <c r="D23" s="37">
        <v>8</v>
      </c>
      <c r="E23" s="305">
        <v>17.6</v>
      </c>
      <c r="F23" s="305">
        <f t="shared" si="0"/>
        <v>140.8</v>
      </c>
      <c r="G23" s="1"/>
    </row>
    <row r="24" spans="1:7" ht="12.75">
      <c r="A24" s="37">
        <v>18</v>
      </c>
      <c r="B24" s="38" t="s">
        <v>448</v>
      </c>
      <c r="C24" s="37" t="s">
        <v>442</v>
      </c>
      <c r="D24" s="37">
        <v>32</v>
      </c>
      <c r="E24" s="305">
        <v>2.4</v>
      </c>
      <c r="F24" s="305">
        <f t="shared" si="0"/>
        <v>76.8</v>
      </c>
      <c r="G24" s="1"/>
    </row>
    <row r="25" spans="1:7" ht="12.75">
      <c r="A25" s="37">
        <v>19</v>
      </c>
      <c r="B25" s="38" t="s">
        <v>449</v>
      </c>
      <c r="C25" s="37" t="s">
        <v>59</v>
      </c>
      <c r="D25" s="37">
        <v>13</v>
      </c>
      <c r="E25" s="305">
        <v>6.6</v>
      </c>
      <c r="F25" s="305">
        <f t="shared" si="0"/>
        <v>85.8</v>
      </c>
      <c r="G25" s="1"/>
    </row>
    <row r="26" spans="1:7" ht="12.75">
      <c r="A26" s="37">
        <v>20</v>
      </c>
      <c r="B26" s="38" t="s">
        <v>450</v>
      </c>
      <c r="C26" s="37" t="s">
        <v>442</v>
      </c>
      <c r="D26" s="37">
        <v>115</v>
      </c>
      <c r="E26" s="305">
        <v>3.2</v>
      </c>
      <c r="F26" s="305">
        <f t="shared" si="0"/>
        <v>368</v>
      </c>
      <c r="G26" s="1"/>
    </row>
    <row r="27" spans="1:7" ht="12.75">
      <c r="A27" s="37">
        <v>21</v>
      </c>
      <c r="B27" s="38" t="s">
        <v>451</v>
      </c>
      <c r="C27" s="37" t="s">
        <v>443</v>
      </c>
      <c r="D27" s="37">
        <v>80</v>
      </c>
      <c r="E27" s="305">
        <v>0.75</v>
      </c>
      <c r="F27" s="305">
        <f t="shared" si="0"/>
        <v>60</v>
      </c>
      <c r="G27" s="1"/>
    </row>
    <row r="28" spans="1:7" ht="12.75">
      <c r="A28" s="37">
        <v>22</v>
      </c>
      <c r="B28" s="38" t="s">
        <v>452</v>
      </c>
      <c r="C28" s="37" t="s">
        <v>442</v>
      </c>
      <c r="D28" s="37">
        <v>2</v>
      </c>
      <c r="E28" s="305">
        <v>2.5</v>
      </c>
      <c r="F28" s="305">
        <f t="shared" si="0"/>
        <v>5</v>
      </c>
      <c r="G28" s="1"/>
    </row>
    <row r="29" spans="1:7" ht="12.75">
      <c r="A29" s="37">
        <v>23</v>
      </c>
      <c r="B29" s="38" t="s">
        <v>453</v>
      </c>
      <c r="C29" s="37" t="s">
        <v>59</v>
      </c>
      <c r="D29" s="37">
        <v>70</v>
      </c>
      <c r="E29" s="305">
        <v>0.2</v>
      </c>
      <c r="F29" s="305">
        <f t="shared" si="0"/>
        <v>14</v>
      </c>
      <c r="G29" s="1"/>
    </row>
    <row r="30" spans="1:7" ht="12.75">
      <c r="A30" s="37">
        <v>24</v>
      </c>
      <c r="B30" s="38" t="s">
        <v>454</v>
      </c>
      <c r="C30" s="37" t="s">
        <v>59</v>
      </c>
      <c r="D30" s="37">
        <v>140</v>
      </c>
      <c r="E30" s="305">
        <v>2.1</v>
      </c>
      <c r="F30" s="305">
        <f t="shared" si="0"/>
        <v>294</v>
      </c>
      <c r="G30" s="1"/>
    </row>
    <row r="31" spans="1:7" ht="12.75">
      <c r="A31" s="37">
        <v>25</v>
      </c>
      <c r="B31" s="38" t="s">
        <v>455</v>
      </c>
      <c r="C31" s="37" t="s">
        <v>443</v>
      </c>
      <c r="D31" s="37">
        <v>40</v>
      </c>
      <c r="E31" s="305">
        <v>4.6</v>
      </c>
      <c r="F31" s="305">
        <f t="shared" si="0"/>
        <v>184</v>
      </c>
      <c r="G31" s="1"/>
    </row>
    <row r="32" spans="1:7" ht="12.75">
      <c r="A32" s="37"/>
      <c r="B32" s="38"/>
      <c r="C32" s="37"/>
      <c r="D32" s="37"/>
      <c r="E32" s="305"/>
      <c r="F32" s="305"/>
      <c r="G32" s="1"/>
    </row>
    <row r="33" spans="1:7" ht="12.75">
      <c r="A33" s="37"/>
      <c r="B33" s="38"/>
      <c r="C33" s="37"/>
      <c r="D33" s="37"/>
      <c r="E33" s="305"/>
      <c r="F33" s="305"/>
      <c r="G33" s="1"/>
    </row>
    <row r="34" spans="1:7" ht="12.75">
      <c r="A34" s="37"/>
      <c r="B34" s="38"/>
      <c r="C34" s="37"/>
      <c r="D34" s="37"/>
      <c r="E34" s="305"/>
      <c r="F34" s="479">
        <f>SUM(F7:F33)</f>
        <v>8384.2</v>
      </c>
      <c r="G34" s="1"/>
    </row>
    <row r="35" spans="1:7" ht="12.75">
      <c r="A35" s="37"/>
      <c r="B35" s="38"/>
      <c r="C35" s="37"/>
      <c r="D35" s="37"/>
      <c r="E35" s="305"/>
      <c r="F35" s="305"/>
      <c r="G35" s="1"/>
    </row>
    <row r="36" spans="1:7" ht="13.5" thickBot="1">
      <c r="A36" s="20"/>
      <c r="B36" s="520"/>
      <c r="C36" s="20"/>
      <c r="D36" s="20"/>
      <c r="E36" s="519"/>
      <c r="F36" s="519"/>
      <c r="G36" s="1"/>
    </row>
    <row r="39" spans="2:4" ht="12.75">
      <c r="B39" s="1" t="s">
        <v>1106</v>
      </c>
      <c r="C39" s="1"/>
      <c r="D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.125" style="0" customWidth="1"/>
    <col min="2" max="2" width="26.50390625" style="0" customWidth="1"/>
    <col min="3" max="3" width="5.875" style="0" customWidth="1"/>
    <col min="6" max="6" width="11.625" style="0" customWidth="1"/>
  </cols>
  <sheetData>
    <row r="2" spans="1:8" s="529" customFormat="1" ht="13.5">
      <c r="A2" s="47"/>
      <c r="B2" s="47" t="s">
        <v>468</v>
      </c>
      <c r="C2" s="47"/>
      <c r="D2" s="47"/>
      <c r="E2" s="47"/>
      <c r="F2" s="47"/>
      <c r="G2" s="47"/>
      <c r="H2" s="1"/>
    </row>
    <row r="3" spans="1:8" s="529" customFormat="1" ht="13.5">
      <c r="A3" s="47"/>
      <c r="B3" s="47" t="s">
        <v>469</v>
      </c>
      <c r="C3" s="47"/>
      <c r="D3" s="47"/>
      <c r="E3" s="47"/>
      <c r="F3" s="47"/>
      <c r="G3" s="47"/>
      <c r="H3" s="1"/>
    </row>
    <row r="4" spans="1:8" s="529" customFormat="1" ht="14.25" thickBot="1">
      <c r="A4" s="47"/>
      <c r="B4" s="47"/>
      <c r="C4" s="47"/>
      <c r="D4" s="47"/>
      <c r="E4" s="47"/>
      <c r="F4" s="47"/>
      <c r="G4" s="47"/>
      <c r="H4" s="1"/>
    </row>
    <row r="5" spans="1:8" s="529" customFormat="1" ht="39.75" customHeight="1" thickBot="1">
      <c r="A5" s="609" t="s">
        <v>174</v>
      </c>
      <c r="B5" s="610" t="s">
        <v>459</v>
      </c>
      <c r="C5" s="609" t="s">
        <v>425</v>
      </c>
      <c r="D5" s="611" t="s">
        <v>460</v>
      </c>
      <c r="E5" s="609" t="s">
        <v>461</v>
      </c>
      <c r="F5" s="609" t="s">
        <v>462</v>
      </c>
      <c r="G5" s="47"/>
      <c r="H5" s="1"/>
    </row>
    <row r="6" spans="1:8" s="529" customFormat="1" ht="13.5">
      <c r="A6" s="612"/>
      <c r="B6" s="612"/>
      <c r="C6" s="612"/>
      <c r="D6" s="613"/>
      <c r="E6" s="612"/>
      <c r="F6" s="612"/>
      <c r="G6" s="47"/>
      <c r="H6" s="1"/>
    </row>
    <row r="7" spans="1:8" s="529" customFormat="1" ht="13.5">
      <c r="A7" s="553"/>
      <c r="B7" s="614" t="s">
        <v>463</v>
      </c>
      <c r="C7" s="553"/>
      <c r="D7" s="615"/>
      <c r="E7" s="553"/>
      <c r="F7" s="553"/>
      <c r="G7" s="47"/>
      <c r="H7" s="1"/>
    </row>
    <row r="8" spans="1:8" s="529" customFormat="1" ht="13.5">
      <c r="A8" s="553"/>
      <c r="B8" s="553" t="s">
        <v>464</v>
      </c>
      <c r="C8" s="553" t="s">
        <v>466</v>
      </c>
      <c r="D8" s="615">
        <v>100</v>
      </c>
      <c r="E8" s="553">
        <v>350</v>
      </c>
      <c r="F8" s="553">
        <f>D8*E8</f>
        <v>35000</v>
      </c>
      <c r="G8" s="47"/>
      <c r="H8" s="1"/>
    </row>
    <row r="9" spans="1:8" s="529" customFormat="1" ht="13.5">
      <c r="A9" s="553"/>
      <c r="B9" s="553" t="s">
        <v>465</v>
      </c>
      <c r="C9" s="553" t="s">
        <v>466</v>
      </c>
      <c r="D9" s="615">
        <v>100</v>
      </c>
      <c r="E9" s="553">
        <v>450</v>
      </c>
      <c r="F9" s="553">
        <f>D9*E9</f>
        <v>45000</v>
      </c>
      <c r="G9" s="47"/>
      <c r="H9" s="1"/>
    </row>
    <row r="10" spans="1:8" s="529" customFormat="1" ht="13.5">
      <c r="A10" s="553"/>
      <c r="B10" s="553"/>
      <c r="C10" s="553"/>
      <c r="D10" s="615"/>
      <c r="E10" s="553"/>
      <c r="F10" s="553"/>
      <c r="G10" s="47"/>
      <c r="H10" s="1"/>
    </row>
    <row r="11" spans="1:8" s="529" customFormat="1" ht="13.5">
      <c r="A11" s="553"/>
      <c r="B11" s="553"/>
      <c r="C11" s="553"/>
      <c r="D11" s="615"/>
      <c r="E11" s="553"/>
      <c r="F11" s="553"/>
      <c r="G11" s="47"/>
      <c r="H11" s="1"/>
    </row>
    <row r="12" spans="1:8" s="529" customFormat="1" ht="27">
      <c r="A12" s="553"/>
      <c r="B12" s="616" t="s">
        <v>467</v>
      </c>
      <c r="C12" s="553"/>
      <c r="D12" s="615"/>
      <c r="E12" s="553"/>
      <c r="F12" s="553"/>
      <c r="G12" s="47"/>
      <c r="H12" s="1"/>
    </row>
    <row r="13" spans="1:8" s="529" customFormat="1" ht="13.5">
      <c r="A13" s="553"/>
      <c r="B13" s="553" t="s">
        <v>464</v>
      </c>
      <c r="C13" s="553" t="s">
        <v>466</v>
      </c>
      <c r="D13" s="615">
        <v>55</v>
      </c>
      <c r="E13" s="553">
        <v>350</v>
      </c>
      <c r="F13" s="553">
        <f>D13*E13</f>
        <v>19250</v>
      </c>
      <c r="G13" s="47"/>
      <c r="H13" s="1"/>
    </row>
    <row r="14" spans="1:8" s="529" customFormat="1" ht="13.5">
      <c r="A14" s="553"/>
      <c r="B14" s="553" t="s">
        <v>465</v>
      </c>
      <c r="C14" s="553" t="s">
        <v>466</v>
      </c>
      <c r="D14" s="615">
        <v>55</v>
      </c>
      <c r="E14" s="553">
        <v>450</v>
      </c>
      <c r="F14" s="553">
        <f>D14*E14</f>
        <v>24750</v>
      </c>
      <c r="G14" s="47"/>
      <c r="H14" s="1"/>
    </row>
    <row r="15" spans="1:8" s="529" customFormat="1" ht="13.5">
      <c r="A15" s="553"/>
      <c r="B15" s="553"/>
      <c r="C15" s="553"/>
      <c r="D15" s="615"/>
      <c r="E15" s="553"/>
      <c r="F15" s="553"/>
      <c r="G15" s="47"/>
      <c r="H15" s="1"/>
    </row>
    <row r="16" spans="1:8" s="529" customFormat="1" ht="13.5">
      <c r="A16" s="553"/>
      <c r="B16" s="553"/>
      <c r="C16" s="553"/>
      <c r="D16" s="615"/>
      <c r="E16" s="553"/>
      <c r="F16" s="553"/>
      <c r="G16" s="47"/>
      <c r="H16" s="1"/>
    </row>
    <row r="17" spans="1:8" s="529" customFormat="1" ht="13.5">
      <c r="A17" s="553"/>
      <c r="B17" s="553" t="s">
        <v>228</v>
      </c>
      <c r="C17" s="553"/>
      <c r="D17" s="615"/>
      <c r="E17" s="553"/>
      <c r="F17" s="614">
        <f>SUM(F8:F16)</f>
        <v>124000</v>
      </c>
      <c r="G17" s="47"/>
      <c r="H17" s="1"/>
    </row>
    <row r="18" spans="1:8" s="529" customFormat="1" ht="13.5">
      <c r="A18" s="553"/>
      <c r="B18" s="553"/>
      <c r="C18" s="553"/>
      <c r="D18" s="615"/>
      <c r="E18" s="553"/>
      <c r="F18" s="553"/>
      <c r="G18" s="47"/>
      <c r="H18" s="1"/>
    </row>
    <row r="19" spans="1:8" s="529" customFormat="1" ht="14.25" thickBot="1">
      <c r="A19" s="617"/>
      <c r="B19" s="617"/>
      <c r="C19" s="617"/>
      <c r="D19" s="618"/>
      <c r="E19" s="617"/>
      <c r="F19" s="617"/>
      <c r="G19" s="47"/>
      <c r="H19" s="1"/>
    </row>
    <row r="20" spans="1:8" ht="15">
      <c r="A20" s="47"/>
      <c r="B20" s="47"/>
      <c r="C20" s="47"/>
      <c r="D20" s="47"/>
      <c r="E20" s="47"/>
      <c r="F20" s="47"/>
      <c r="G20" s="47"/>
      <c r="H20" s="25"/>
    </row>
    <row r="21" spans="1:8" ht="15">
      <c r="A21" s="47"/>
      <c r="B21" s="47"/>
      <c r="C21" s="47"/>
      <c r="D21" s="47"/>
      <c r="E21" s="47"/>
      <c r="F21" s="47"/>
      <c r="G21" s="47"/>
      <c r="H21" s="25"/>
    </row>
    <row r="22" spans="1:7" ht="13.5">
      <c r="A22" s="128"/>
      <c r="B22" s="47" t="s">
        <v>1107</v>
      </c>
      <c r="C22" s="47"/>
      <c r="D22" s="47"/>
      <c r="E22" s="128"/>
      <c r="F22" s="128"/>
      <c r="G22" s="128"/>
    </row>
    <row r="23" spans="1:7" ht="13.5">
      <c r="A23" s="128"/>
      <c r="B23" s="128"/>
      <c r="C23" s="128"/>
      <c r="D23" s="128"/>
      <c r="E23" s="128"/>
      <c r="F23" s="128"/>
      <c r="G23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S102"/>
  <sheetViews>
    <sheetView zoomScalePageLayoutView="0" workbookViewId="0" topLeftCell="A13">
      <selection activeCell="D10" sqref="D10:M10"/>
    </sheetView>
  </sheetViews>
  <sheetFormatPr defaultColWidth="9.00390625" defaultRowHeight="12.75"/>
  <cols>
    <col min="1" max="1" width="2.125" style="0" customWidth="1"/>
    <col min="2" max="2" width="43.375" style="0" customWidth="1"/>
  </cols>
  <sheetData>
    <row r="5" ht="12.75">
      <c r="F5" t="s">
        <v>537</v>
      </c>
    </row>
    <row r="6" ht="12.75">
      <c r="E6" t="s">
        <v>538</v>
      </c>
    </row>
    <row r="7" ht="12.75">
      <c r="E7" t="s">
        <v>539</v>
      </c>
    </row>
    <row r="10" spans="1:14" ht="12.75">
      <c r="A10" s="298"/>
      <c r="B10" s="298" t="s">
        <v>540</v>
      </c>
      <c r="C10" s="298" t="s">
        <v>541</v>
      </c>
      <c r="D10" s="298" t="s">
        <v>542</v>
      </c>
      <c r="E10" s="298" t="s">
        <v>543</v>
      </c>
      <c r="F10" s="298" t="s">
        <v>544</v>
      </c>
      <c r="G10" s="298" t="s">
        <v>545</v>
      </c>
      <c r="H10" s="298" t="s">
        <v>546</v>
      </c>
      <c r="I10" s="298"/>
      <c r="J10" s="298" t="s">
        <v>547</v>
      </c>
      <c r="K10" s="298"/>
      <c r="L10" s="298" t="s">
        <v>548</v>
      </c>
      <c r="M10" s="298" t="s">
        <v>549</v>
      </c>
      <c r="N10" s="298"/>
    </row>
    <row r="11" spans="1:14" ht="27.75" customHeight="1">
      <c r="A11" s="298"/>
      <c r="B11" s="298"/>
      <c r="C11" s="298" t="s">
        <v>550</v>
      </c>
      <c r="D11" s="298" t="s">
        <v>551</v>
      </c>
      <c r="E11" s="298"/>
      <c r="F11" s="298" t="s">
        <v>552</v>
      </c>
      <c r="G11" s="298"/>
      <c r="H11" s="298" t="s">
        <v>553</v>
      </c>
      <c r="I11" s="298"/>
      <c r="J11" s="298" t="s">
        <v>553</v>
      </c>
      <c r="K11" s="298"/>
      <c r="L11" s="298" t="s">
        <v>553</v>
      </c>
      <c r="M11" s="298" t="s">
        <v>11</v>
      </c>
      <c r="N11" s="298"/>
    </row>
    <row r="12" spans="1:14" ht="12.75">
      <c r="A12" s="298"/>
      <c r="B12" s="298">
        <v>1</v>
      </c>
      <c r="C12" s="298">
        <v>2</v>
      </c>
      <c r="D12" s="298">
        <v>3</v>
      </c>
      <c r="E12" s="298">
        <v>4</v>
      </c>
      <c r="F12" s="298">
        <v>5</v>
      </c>
      <c r="G12" s="298">
        <v>6</v>
      </c>
      <c r="H12" s="298">
        <v>7</v>
      </c>
      <c r="I12" s="298"/>
      <c r="J12" s="298">
        <v>8</v>
      </c>
      <c r="K12" s="298"/>
      <c r="L12" s="298">
        <v>9</v>
      </c>
      <c r="M12" s="298">
        <v>10</v>
      </c>
      <c r="N12" s="298"/>
    </row>
    <row r="13" spans="1:14" ht="12.75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 t="s">
        <v>554</v>
      </c>
      <c r="M13" s="298">
        <v>7.65</v>
      </c>
      <c r="N13" s="298"/>
    </row>
    <row r="14" spans="1:14" ht="12.75">
      <c r="A14" s="298"/>
      <c r="B14" s="298" t="s">
        <v>555</v>
      </c>
      <c r="C14" s="298" t="s">
        <v>474</v>
      </c>
      <c r="D14" s="298">
        <v>65</v>
      </c>
      <c r="E14" s="298">
        <v>1.32</v>
      </c>
      <c r="F14" s="298">
        <v>49</v>
      </c>
      <c r="G14" s="298">
        <v>4</v>
      </c>
      <c r="H14" s="298">
        <v>0.688</v>
      </c>
      <c r="I14" s="298"/>
      <c r="J14" s="298">
        <v>5.5</v>
      </c>
      <c r="K14" s="298"/>
      <c r="L14" s="298">
        <v>271.03</v>
      </c>
      <c r="M14" s="298">
        <v>2073.38</v>
      </c>
      <c r="N14" s="298"/>
    </row>
    <row r="15" spans="1:14" ht="12.75">
      <c r="A15" s="298"/>
      <c r="B15" s="298" t="s">
        <v>556</v>
      </c>
      <c r="C15" s="298" t="s">
        <v>474</v>
      </c>
      <c r="D15" s="298">
        <v>360</v>
      </c>
      <c r="E15" s="298">
        <v>1.04</v>
      </c>
      <c r="F15" s="298">
        <v>346</v>
      </c>
      <c r="G15" s="298">
        <v>4</v>
      </c>
      <c r="H15" s="298">
        <v>0.688</v>
      </c>
      <c r="I15" s="298"/>
      <c r="J15" s="298">
        <v>5.5</v>
      </c>
      <c r="K15" s="298"/>
      <c r="L15" s="298">
        <v>1905.23</v>
      </c>
      <c r="M15" s="298">
        <v>14575.02</v>
      </c>
      <c r="N15" s="298"/>
    </row>
    <row r="16" spans="1:14" ht="12.75">
      <c r="A16" s="298"/>
      <c r="B16" s="298" t="s">
        <v>557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>
        <v>0</v>
      </c>
      <c r="N16" s="298"/>
    </row>
    <row r="17" spans="1:14" ht="12.75">
      <c r="A17" s="298"/>
      <c r="B17" s="298" t="s">
        <v>224</v>
      </c>
      <c r="C17" s="298" t="s">
        <v>474</v>
      </c>
      <c r="D17" s="298">
        <v>329.1</v>
      </c>
      <c r="E17" s="298"/>
      <c r="F17" s="298"/>
      <c r="G17" s="298"/>
      <c r="H17" s="298"/>
      <c r="I17" s="298"/>
      <c r="J17" s="298"/>
      <c r="K17" s="298"/>
      <c r="L17" s="298"/>
      <c r="M17" s="298">
        <v>0</v>
      </c>
      <c r="N17" s="298"/>
    </row>
    <row r="18" spans="1:14" ht="12.75">
      <c r="A18" s="298"/>
      <c r="B18" s="298" t="s">
        <v>558</v>
      </c>
      <c r="C18" s="298" t="s">
        <v>559</v>
      </c>
      <c r="D18" s="298">
        <v>10889</v>
      </c>
      <c r="E18" s="298"/>
      <c r="F18" s="298"/>
      <c r="G18" s="298"/>
      <c r="H18" s="298"/>
      <c r="I18" s="298"/>
      <c r="J18" s="298"/>
      <c r="K18" s="298"/>
      <c r="L18" s="298">
        <v>48824.7</v>
      </c>
      <c r="M18" s="298">
        <v>373508.96</v>
      </c>
      <c r="N18" s="298"/>
    </row>
    <row r="19" spans="1:14" ht="12.75">
      <c r="A19" s="298"/>
      <c r="B19" s="298" t="s">
        <v>560</v>
      </c>
      <c r="C19" s="298" t="s">
        <v>474</v>
      </c>
      <c r="D19" s="298">
        <v>22.6</v>
      </c>
      <c r="E19" s="298"/>
      <c r="F19" s="298"/>
      <c r="G19" s="298"/>
      <c r="H19" s="298"/>
      <c r="I19" s="298"/>
      <c r="J19" s="298"/>
      <c r="K19" s="298"/>
      <c r="L19" s="298"/>
      <c r="M19" s="298">
        <v>0</v>
      </c>
      <c r="N19" s="298"/>
    </row>
    <row r="20" spans="1:14" ht="12.75">
      <c r="A20" s="298"/>
      <c r="B20" s="298"/>
      <c r="C20" s="298" t="s">
        <v>559</v>
      </c>
      <c r="D20" s="298">
        <v>297</v>
      </c>
      <c r="E20" s="298">
        <v>0.9</v>
      </c>
      <c r="F20" s="298">
        <v>330</v>
      </c>
      <c r="G20" s="298">
        <v>3</v>
      </c>
      <c r="H20" s="298">
        <v>0.984</v>
      </c>
      <c r="I20" s="298"/>
      <c r="J20" s="298">
        <v>7.87</v>
      </c>
      <c r="K20" s="298"/>
      <c r="L20" s="298">
        <v>2597.76</v>
      </c>
      <c r="M20" s="298">
        <v>19872.86</v>
      </c>
      <c r="N20" s="298"/>
    </row>
    <row r="21" spans="1:14" ht="12.75">
      <c r="A21" s="298"/>
      <c r="B21" s="298" t="s">
        <v>561</v>
      </c>
      <c r="C21" s="298" t="s">
        <v>474</v>
      </c>
      <c r="D21" s="298">
        <v>26.4</v>
      </c>
      <c r="E21" s="298"/>
      <c r="F21" s="298"/>
      <c r="G21" s="298"/>
      <c r="H21" s="298"/>
      <c r="I21" s="298"/>
      <c r="J21" s="298"/>
      <c r="K21" s="298"/>
      <c r="L21" s="298"/>
      <c r="M21" s="298">
        <v>0</v>
      </c>
      <c r="N21" s="298"/>
    </row>
    <row r="22" spans="1:14" ht="12.75">
      <c r="A22" s="298"/>
      <c r="B22" s="298"/>
      <c r="C22" s="298" t="s">
        <v>559</v>
      </c>
      <c r="D22" s="298">
        <v>412</v>
      </c>
      <c r="E22" s="298">
        <v>1.32</v>
      </c>
      <c r="F22" s="298">
        <v>312</v>
      </c>
      <c r="G22" s="298">
        <v>5</v>
      </c>
      <c r="H22" s="298">
        <v>1.314</v>
      </c>
      <c r="I22" s="298"/>
      <c r="J22" s="298">
        <v>10.51</v>
      </c>
      <c r="K22" s="298"/>
      <c r="L22" s="298">
        <v>3281.02</v>
      </c>
      <c r="M22" s="298">
        <v>25099.79</v>
      </c>
      <c r="N22" s="298"/>
    </row>
    <row r="23" spans="1:14" ht="12.75">
      <c r="A23" s="298"/>
      <c r="B23" s="298" t="s">
        <v>562</v>
      </c>
      <c r="C23" s="298" t="s">
        <v>474</v>
      </c>
      <c r="D23" s="298">
        <v>53.7</v>
      </c>
      <c r="E23" s="298"/>
      <c r="F23" s="298"/>
      <c r="G23" s="298"/>
      <c r="H23" s="298"/>
      <c r="I23" s="298"/>
      <c r="J23" s="298"/>
      <c r="K23" s="298"/>
      <c r="L23" s="298"/>
      <c r="M23" s="298">
        <v>0</v>
      </c>
      <c r="N23" s="298"/>
    </row>
    <row r="24" spans="1:14" ht="12.75">
      <c r="A24" s="298"/>
      <c r="B24" s="298"/>
      <c r="C24" s="298" t="s">
        <v>559</v>
      </c>
      <c r="D24" s="298">
        <v>1360</v>
      </c>
      <c r="E24" s="298">
        <v>1.3</v>
      </c>
      <c r="F24" s="298">
        <v>1046</v>
      </c>
      <c r="G24" s="298">
        <v>6</v>
      </c>
      <c r="H24" s="298">
        <v>1.53</v>
      </c>
      <c r="I24" s="298"/>
      <c r="J24" s="298">
        <v>12.24</v>
      </c>
      <c r="K24" s="298"/>
      <c r="L24" s="298">
        <v>12804.92</v>
      </c>
      <c r="M24" s="298">
        <v>97957.66</v>
      </c>
      <c r="N24" s="298"/>
    </row>
    <row r="25" spans="1:14" ht="12.75">
      <c r="A25" s="298"/>
      <c r="B25" s="298" t="s">
        <v>563</v>
      </c>
      <c r="C25" s="298" t="s">
        <v>474</v>
      </c>
      <c r="D25" s="298">
        <v>96</v>
      </c>
      <c r="E25" s="298"/>
      <c r="F25" s="298"/>
      <c r="G25" s="298"/>
      <c r="H25" s="298"/>
      <c r="I25" s="298"/>
      <c r="J25" s="298"/>
      <c r="K25" s="298"/>
      <c r="L25" s="298"/>
      <c r="M25" s="298">
        <v>0</v>
      </c>
      <c r="N25" s="298"/>
    </row>
    <row r="26" spans="1:14" ht="12.75">
      <c r="A26" s="298"/>
      <c r="B26" s="298"/>
      <c r="C26" s="298" t="s">
        <v>559</v>
      </c>
      <c r="D26" s="298">
        <v>4200</v>
      </c>
      <c r="E26" s="298">
        <v>2.8</v>
      </c>
      <c r="F26" s="298">
        <v>1500</v>
      </c>
      <c r="G26" s="298">
        <v>6</v>
      </c>
      <c r="H26" s="298">
        <v>1.53</v>
      </c>
      <c r="I26" s="298"/>
      <c r="J26" s="298">
        <v>12.24</v>
      </c>
      <c r="K26" s="298"/>
      <c r="L26" s="298">
        <v>18360</v>
      </c>
      <c r="M26" s="298">
        <v>140454</v>
      </c>
      <c r="N26" s="298"/>
    </row>
    <row r="27" spans="1:14" ht="12.75">
      <c r="A27" s="298"/>
      <c r="B27" s="298" t="s">
        <v>564</v>
      </c>
      <c r="C27" s="298" t="s">
        <v>474</v>
      </c>
      <c r="D27" s="298">
        <v>130.4</v>
      </c>
      <c r="E27" s="298"/>
      <c r="F27" s="298"/>
      <c r="G27" s="298"/>
      <c r="H27" s="298"/>
      <c r="I27" s="298"/>
      <c r="J27" s="298"/>
      <c r="K27" s="298"/>
      <c r="L27" s="298"/>
      <c r="M27" s="298">
        <v>0</v>
      </c>
      <c r="N27" s="298"/>
    </row>
    <row r="28" spans="1:14" ht="12.75">
      <c r="A28" s="298"/>
      <c r="B28" s="298"/>
      <c r="C28" s="298" t="s">
        <v>559</v>
      </c>
      <c r="D28" s="298">
        <v>4620</v>
      </c>
      <c r="E28" s="298">
        <v>4.8</v>
      </c>
      <c r="F28" s="298">
        <v>963</v>
      </c>
      <c r="G28" s="298">
        <v>6</v>
      </c>
      <c r="H28" s="298">
        <v>1.53</v>
      </c>
      <c r="I28" s="298"/>
      <c r="J28" s="298">
        <v>12.24</v>
      </c>
      <c r="K28" s="298"/>
      <c r="L28" s="298">
        <v>11781</v>
      </c>
      <c r="M28" s="298">
        <v>90124.65</v>
      </c>
      <c r="N28" s="298"/>
    </row>
    <row r="29" spans="1:14" ht="12.75">
      <c r="A29" s="298"/>
      <c r="B29" s="298" t="s">
        <v>565</v>
      </c>
      <c r="C29" s="298" t="s">
        <v>474</v>
      </c>
      <c r="D29" s="298">
        <v>52.6</v>
      </c>
      <c r="E29" s="298"/>
      <c r="F29" s="298"/>
      <c r="G29" s="298"/>
      <c r="H29" s="298"/>
      <c r="I29" s="298"/>
      <c r="J29" s="298"/>
      <c r="K29" s="298"/>
      <c r="L29" s="298"/>
      <c r="M29" s="298">
        <v>0</v>
      </c>
      <c r="N29" s="298"/>
    </row>
    <row r="30" spans="1:14" ht="12.75">
      <c r="A30" s="298"/>
      <c r="B30" s="298"/>
      <c r="C30" s="298" t="s">
        <v>559</v>
      </c>
      <c r="D30" s="298">
        <v>6115</v>
      </c>
      <c r="E30" s="298"/>
      <c r="F30" s="298"/>
      <c r="G30" s="298"/>
      <c r="H30" s="298"/>
      <c r="I30" s="298"/>
      <c r="J30" s="298"/>
      <c r="K30" s="298"/>
      <c r="L30" s="298">
        <v>32374.78</v>
      </c>
      <c r="M30" s="298">
        <v>247667.08</v>
      </c>
      <c r="N30" s="298"/>
    </row>
    <row r="31" spans="1:14" ht="12.75">
      <c r="A31" s="298"/>
      <c r="B31" s="298" t="s">
        <v>566</v>
      </c>
      <c r="C31" s="298" t="s">
        <v>474</v>
      </c>
      <c r="D31" s="298">
        <v>39.9</v>
      </c>
      <c r="E31" s="298"/>
      <c r="F31" s="298"/>
      <c r="G31" s="298"/>
      <c r="H31" s="298"/>
      <c r="I31" s="298"/>
      <c r="J31" s="298"/>
      <c r="K31" s="298"/>
      <c r="L31" s="298"/>
      <c r="M31" s="298">
        <v>0</v>
      </c>
      <c r="N31" s="298"/>
    </row>
    <row r="32" spans="1:14" ht="12.75">
      <c r="A32" s="298"/>
      <c r="B32" s="298"/>
      <c r="C32" s="298" t="s">
        <v>559</v>
      </c>
      <c r="D32" s="298">
        <v>4900</v>
      </c>
      <c r="E32" s="298">
        <v>4.8</v>
      </c>
      <c r="F32" s="298">
        <v>1021</v>
      </c>
      <c r="G32" s="298">
        <v>6</v>
      </c>
      <c r="H32" s="298">
        <v>1.53</v>
      </c>
      <c r="I32" s="298"/>
      <c r="J32" s="298">
        <v>12.24</v>
      </c>
      <c r="K32" s="298"/>
      <c r="L32" s="298">
        <v>12495</v>
      </c>
      <c r="M32" s="298">
        <v>95586.75</v>
      </c>
      <c r="N32" s="298"/>
    </row>
    <row r="33" spans="1:14" ht="12.75">
      <c r="A33" s="298"/>
      <c r="B33" s="298" t="s">
        <v>567</v>
      </c>
      <c r="C33" s="298" t="s">
        <v>474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8">
        <v>0</v>
      </c>
      <c r="N33" s="298"/>
    </row>
    <row r="34" spans="1:14" ht="12.75">
      <c r="A34" s="298"/>
      <c r="B34" s="298"/>
      <c r="C34" s="298" t="s">
        <v>559</v>
      </c>
      <c r="D34" s="298"/>
      <c r="E34" s="298">
        <v>0.38</v>
      </c>
      <c r="F34" s="298">
        <v>0</v>
      </c>
      <c r="G34" s="298">
        <v>3</v>
      </c>
      <c r="H34" s="298">
        <v>0.984</v>
      </c>
      <c r="I34" s="298"/>
      <c r="J34" s="298">
        <v>7.87</v>
      </c>
      <c r="K34" s="298"/>
      <c r="L34" s="298">
        <v>0</v>
      </c>
      <c r="M34" s="298">
        <v>0</v>
      </c>
      <c r="N34" s="298"/>
    </row>
    <row r="35" spans="1:14" ht="12.75">
      <c r="A35" s="298"/>
      <c r="B35" s="298" t="s">
        <v>568</v>
      </c>
      <c r="C35" s="298" t="s">
        <v>474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>
        <v>0</v>
      </c>
      <c r="N35" s="298"/>
    </row>
    <row r="36" spans="1:14" ht="12.75">
      <c r="A36" s="298"/>
      <c r="B36" s="298"/>
      <c r="C36" s="298" t="s">
        <v>559</v>
      </c>
      <c r="D36" s="298"/>
      <c r="E36" s="298">
        <v>0.64</v>
      </c>
      <c r="F36" s="298">
        <v>0</v>
      </c>
      <c r="G36" s="298">
        <v>5</v>
      </c>
      <c r="H36" s="298">
        <v>1.314</v>
      </c>
      <c r="I36" s="298"/>
      <c r="J36" s="298">
        <v>10.51</v>
      </c>
      <c r="K36" s="298"/>
      <c r="L36" s="298">
        <v>0</v>
      </c>
      <c r="M36" s="298">
        <v>0</v>
      </c>
      <c r="N36" s="298"/>
    </row>
    <row r="37" spans="1:14" ht="12.75">
      <c r="A37" s="298"/>
      <c r="B37" s="298" t="s">
        <v>569</v>
      </c>
      <c r="C37" s="298" t="s">
        <v>474</v>
      </c>
      <c r="D37" s="298"/>
      <c r="E37" s="298"/>
      <c r="F37" s="298"/>
      <c r="G37" s="298"/>
      <c r="H37" s="298"/>
      <c r="I37" s="298"/>
      <c r="J37" s="298"/>
      <c r="K37" s="298"/>
      <c r="L37" s="298"/>
      <c r="M37" s="298">
        <v>0</v>
      </c>
      <c r="N37" s="298"/>
    </row>
    <row r="38" spans="1:14" ht="12.75">
      <c r="A38" s="298"/>
      <c r="B38" s="298"/>
      <c r="C38" s="298" t="s">
        <v>559</v>
      </c>
      <c r="D38" s="298"/>
      <c r="E38" s="298">
        <v>1.34</v>
      </c>
      <c r="F38" s="298">
        <v>0</v>
      </c>
      <c r="G38" s="298">
        <v>5</v>
      </c>
      <c r="H38" s="298">
        <v>1.314</v>
      </c>
      <c r="I38" s="298"/>
      <c r="J38" s="298">
        <v>10.51</v>
      </c>
      <c r="K38" s="298"/>
      <c r="L38" s="298">
        <v>0</v>
      </c>
      <c r="M38" s="298">
        <v>0</v>
      </c>
      <c r="N38" s="298"/>
    </row>
    <row r="39" spans="1:14" ht="12.75">
      <c r="A39" s="298"/>
      <c r="B39" s="298" t="s">
        <v>570</v>
      </c>
      <c r="C39" s="298" t="s">
        <v>474</v>
      </c>
      <c r="D39" s="298">
        <v>4.2</v>
      </c>
      <c r="E39" s="298"/>
      <c r="F39" s="298"/>
      <c r="G39" s="298"/>
      <c r="H39" s="298"/>
      <c r="I39" s="298"/>
      <c r="J39" s="298"/>
      <c r="K39" s="298"/>
      <c r="L39" s="298"/>
      <c r="M39" s="298">
        <v>0</v>
      </c>
      <c r="N39" s="298"/>
    </row>
    <row r="40" spans="1:14" ht="12.75">
      <c r="A40" s="298"/>
      <c r="B40" s="298"/>
      <c r="C40" s="298" t="s">
        <v>559</v>
      </c>
      <c r="D40" s="298">
        <v>400</v>
      </c>
      <c r="E40" s="298">
        <v>1.22</v>
      </c>
      <c r="F40" s="298">
        <v>328</v>
      </c>
      <c r="G40" s="298">
        <v>6</v>
      </c>
      <c r="H40" s="298">
        <v>1.53</v>
      </c>
      <c r="I40" s="298"/>
      <c r="J40" s="298">
        <v>12.24</v>
      </c>
      <c r="K40" s="298"/>
      <c r="L40" s="298">
        <v>4013.11</v>
      </c>
      <c r="M40" s="298">
        <v>30700.33</v>
      </c>
      <c r="N40" s="298"/>
    </row>
    <row r="41" spans="1:14" ht="12.75">
      <c r="A41" s="298"/>
      <c r="B41" s="298" t="s">
        <v>571</v>
      </c>
      <c r="C41" s="298" t="s">
        <v>494</v>
      </c>
      <c r="D41" s="298">
        <v>11.5</v>
      </c>
      <c r="E41" s="298"/>
      <c r="F41" s="298"/>
      <c r="G41" s="298"/>
      <c r="H41" s="298"/>
      <c r="I41" s="298"/>
      <c r="J41" s="298"/>
      <c r="K41" s="298"/>
      <c r="L41" s="298"/>
      <c r="M41" s="298">
        <v>0</v>
      </c>
      <c r="N41" s="298"/>
    </row>
    <row r="42" spans="1:14" ht="12.75">
      <c r="A42" s="298"/>
      <c r="B42" s="298"/>
      <c r="C42" s="298" t="s">
        <v>559</v>
      </c>
      <c r="D42" s="298">
        <v>115</v>
      </c>
      <c r="E42" s="298">
        <v>0.54</v>
      </c>
      <c r="F42" s="298">
        <v>213</v>
      </c>
      <c r="G42" s="298">
        <v>3</v>
      </c>
      <c r="H42" s="298">
        <v>0.984</v>
      </c>
      <c r="I42" s="298"/>
      <c r="J42" s="298">
        <v>7.87</v>
      </c>
      <c r="K42" s="298"/>
      <c r="L42" s="298">
        <v>1676.44</v>
      </c>
      <c r="M42" s="298">
        <v>12824.8</v>
      </c>
      <c r="N42" s="298"/>
    </row>
    <row r="43" spans="1:14" ht="12.75">
      <c r="A43" s="298"/>
      <c r="B43" s="298" t="s">
        <v>572</v>
      </c>
      <c r="C43" s="298" t="s">
        <v>75</v>
      </c>
      <c r="D43" s="298">
        <v>140</v>
      </c>
      <c r="E43" s="298">
        <v>5</v>
      </c>
      <c r="F43" s="298">
        <v>28</v>
      </c>
      <c r="G43" s="298">
        <v>5</v>
      </c>
      <c r="H43" s="298">
        <v>0.774</v>
      </c>
      <c r="I43" s="298"/>
      <c r="J43" s="298">
        <v>6.19</v>
      </c>
      <c r="K43" s="298"/>
      <c r="L43" s="298">
        <v>173.38</v>
      </c>
      <c r="M43" s="298">
        <v>1326.33</v>
      </c>
      <c r="N43" s="298"/>
    </row>
    <row r="44" spans="1:14" ht="12.75">
      <c r="A44" s="298"/>
      <c r="B44" s="298" t="s">
        <v>573</v>
      </c>
      <c r="C44" s="298" t="s">
        <v>559</v>
      </c>
      <c r="D44" s="298">
        <v>1839</v>
      </c>
      <c r="E44" s="298">
        <v>7.2</v>
      </c>
      <c r="F44" s="298">
        <v>255</v>
      </c>
      <c r="G44" s="298">
        <v>6</v>
      </c>
      <c r="H44" s="298">
        <v>1.53</v>
      </c>
      <c r="I44" s="298"/>
      <c r="J44" s="298">
        <v>12.24</v>
      </c>
      <c r="K44" s="298"/>
      <c r="L44" s="298">
        <v>3126.3</v>
      </c>
      <c r="M44" s="298">
        <v>23916.2</v>
      </c>
      <c r="N44" s="298"/>
    </row>
    <row r="45" spans="1:14" ht="12.75">
      <c r="A45" s="298"/>
      <c r="B45" s="298" t="s">
        <v>574</v>
      </c>
      <c r="C45" s="298" t="s">
        <v>474</v>
      </c>
      <c r="D45" s="298">
        <v>8.5</v>
      </c>
      <c r="E45" s="298"/>
      <c r="F45" s="298"/>
      <c r="G45" s="298"/>
      <c r="H45" s="298"/>
      <c r="I45" s="298"/>
      <c r="J45" s="298"/>
      <c r="K45" s="298"/>
      <c r="L45" s="298"/>
      <c r="M45" s="298">
        <v>0</v>
      </c>
      <c r="N45" s="298"/>
    </row>
    <row r="46" spans="1:14" ht="12.75">
      <c r="A46" s="298"/>
      <c r="B46" s="298"/>
      <c r="C46" s="298" t="s">
        <v>559</v>
      </c>
      <c r="D46" s="298">
        <v>700</v>
      </c>
      <c r="E46" s="298">
        <v>0.54</v>
      </c>
      <c r="F46" s="298">
        <v>1296</v>
      </c>
      <c r="G46" s="298">
        <v>6</v>
      </c>
      <c r="H46" s="298">
        <v>1.53</v>
      </c>
      <c r="I46" s="298"/>
      <c r="J46" s="298">
        <v>12.24</v>
      </c>
      <c r="K46" s="298"/>
      <c r="L46" s="298">
        <v>15866.67</v>
      </c>
      <c r="M46" s="298">
        <v>121380</v>
      </c>
      <c r="N46" s="298"/>
    </row>
    <row r="47" spans="1:14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>
        <v>0</v>
      </c>
      <c r="N47" s="298"/>
    </row>
    <row r="48" spans="1:14" ht="12.75">
      <c r="A48" s="298"/>
      <c r="B48" s="298" t="s">
        <v>575</v>
      </c>
      <c r="C48" s="298"/>
      <c r="D48" s="298"/>
      <c r="E48" s="298"/>
      <c r="F48" s="298">
        <v>7688</v>
      </c>
      <c r="G48" s="298"/>
      <c r="H48" s="298"/>
      <c r="I48" s="298"/>
      <c r="J48" s="298"/>
      <c r="K48" s="298"/>
      <c r="L48" s="298">
        <v>88351.86</v>
      </c>
      <c r="M48" s="298">
        <v>675891.76</v>
      </c>
      <c r="N48" s="298">
        <v>675891.76</v>
      </c>
    </row>
    <row r="49" spans="1:14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</row>
    <row r="50" spans="1:14" ht="12.75">
      <c r="A50" s="298"/>
      <c r="B50" s="298" t="s">
        <v>576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</row>
    <row r="51" spans="1:14" ht="12.7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</row>
    <row r="52" spans="1:14" ht="12.75">
      <c r="A52" s="298"/>
      <c r="B52" s="298" t="s">
        <v>577</v>
      </c>
      <c r="C52" s="298" t="s">
        <v>474</v>
      </c>
      <c r="D52" s="298">
        <v>97</v>
      </c>
      <c r="E52" s="298">
        <v>0.023</v>
      </c>
      <c r="F52" s="298">
        <v>4217</v>
      </c>
      <c r="G52" s="298">
        <v>4</v>
      </c>
      <c r="H52" s="298">
        <v>0.688</v>
      </c>
      <c r="I52" s="298"/>
      <c r="J52" s="298">
        <v>5.5</v>
      </c>
      <c r="K52" s="298"/>
      <c r="L52" s="298">
        <v>23212.52</v>
      </c>
      <c r="M52" s="298">
        <v>177575.79</v>
      </c>
      <c r="N52" s="298"/>
    </row>
    <row r="53" spans="1:14" ht="12.75">
      <c r="A53" s="298"/>
      <c r="B53" s="298" t="s">
        <v>578</v>
      </c>
      <c r="C53" s="298" t="s">
        <v>474</v>
      </c>
      <c r="D53" s="298"/>
      <c r="E53" s="298">
        <v>0.018</v>
      </c>
      <c r="F53" s="298">
        <v>0</v>
      </c>
      <c r="G53" s="298">
        <v>4</v>
      </c>
      <c r="H53" s="298">
        <v>0.688</v>
      </c>
      <c r="I53" s="298"/>
      <c r="J53" s="298">
        <v>5.5</v>
      </c>
      <c r="K53" s="298"/>
      <c r="L53" s="298">
        <v>0</v>
      </c>
      <c r="M53" s="298">
        <v>0</v>
      </c>
      <c r="N53" s="298"/>
    </row>
    <row r="54" spans="1:14" ht="12.75">
      <c r="A54" s="298"/>
      <c r="B54" s="298" t="s">
        <v>579</v>
      </c>
      <c r="C54" s="298" t="s">
        <v>474</v>
      </c>
      <c r="D54" s="298">
        <v>810</v>
      </c>
      <c r="E54" s="298">
        <v>0.09</v>
      </c>
      <c r="F54" s="298">
        <v>9000</v>
      </c>
      <c r="G54" s="298">
        <v>4</v>
      </c>
      <c r="H54" s="298">
        <v>0.688</v>
      </c>
      <c r="I54" s="298"/>
      <c r="J54" s="298">
        <v>5.5</v>
      </c>
      <c r="K54" s="298"/>
      <c r="L54" s="298">
        <v>49536</v>
      </c>
      <c r="M54" s="298">
        <v>378950.4</v>
      </c>
      <c r="N54" s="298"/>
    </row>
    <row r="55" spans="1:14" ht="12.75">
      <c r="A55" s="298"/>
      <c r="B55" s="298" t="s">
        <v>580</v>
      </c>
      <c r="C55" s="298" t="s">
        <v>474</v>
      </c>
      <c r="D55" s="298">
        <v>5</v>
      </c>
      <c r="E55" s="298">
        <v>3.57</v>
      </c>
      <c r="F55" s="298">
        <v>1</v>
      </c>
      <c r="G55" s="298">
        <v>6</v>
      </c>
      <c r="H55" s="298">
        <v>1.35</v>
      </c>
      <c r="I55" s="298"/>
      <c r="J55" s="298">
        <v>10.8</v>
      </c>
      <c r="K55" s="298"/>
      <c r="L55" s="298">
        <v>15.13</v>
      </c>
      <c r="M55" s="298">
        <v>115.71</v>
      </c>
      <c r="N55" s="298"/>
    </row>
    <row r="56" spans="1:14" ht="12.75">
      <c r="A56" s="298"/>
      <c r="B56" s="298" t="s">
        <v>581</v>
      </c>
      <c r="C56" s="298" t="s">
        <v>474</v>
      </c>
      <c r="D56" s="298">
        <v>32</v>
      </c>
      <c r="E56" s="298">
        <v>0.04</v>
      </c>
      <c r="F56" s="298">
        <v>800</v>
      </c>
      <c r="G56" s="298">
        <v>3</v>
      </c>
      <c r="H56" s="298">
        <v>0.984</v>
      </c>
      <c r="I56" s="298"/>
      <c r="J56" s="298">
        <v>7.87</v>
      </c>
      <c r="K56" s="298"/>
      <c r="L56" s="298">
        <v>6297.6</v>
      </c>
      <c r="M56" s="298">
        <v>48176.64</v>
      </c>
      <c r="N56" s="298"/>
    </row>
    <row r="57" spans="1:14" ht="12.75">
      <c r="A57" s="298"/>
      <c r="B57" s="298" t="s">
        <v>582</v>
      </c>
      <c r="C57" s="298" t="s">
        <v>474</v>
      </c>
      <c r="D57" s="298">
        <v>65</v>
      </c>
      <c r="E57" s="298">
        <v>0.054</v>
      </c>
      <c r="F57" s="298">
        <v>1204</v>
      </c>
      <c r="G57" s="298">
        <v>4</v>
      </c>
      <c r="H57" s="298">
        <v>0.688</v>
      </c>
      <c r="I57" s="298"/>
      <c r="J57" s="298">
        <v>5.5</v>
      </c>
      <c r="K57" s="298"/>
      <c r="L57" s="298">
        <v>6625.19</v>
      </c>
      <c r="M57" s="298">
        <v>50682.67</v>
      </c>
      <c r="N57" s="298"/>
    </row>
    <row r="58" spans="1:14" ht="12.75">
      <c r="A58" s="298"/>
      <c r="B58" s="298" t="s">
        <v>583</v>
      </c>
      <c r="C58" s="298" t="s">
        <v>535</v>
      </c>
      <c r="D58" s="298">
        <v>50</v>
      </c>
      <c r="E58" s="298">
        <v>0.015</v>
      </c>
      <c r="F58" s="298">
        <v>3333</v>
      </c>
      <c r="G58" s="298">
        <v>4</v>
      </c>
      <c r="H58" s="298">
        <v>0.958</v>
      </c>
      <c r="I58" s="298"/>
      <c r="J58" s="298">
        <v>7.66</v>
      </c>
      <c r="K58" s="298"/>
      <c r="L58" s="298">
        <v>25546.67</v>
      </c>
      <c r="M58" s="298">
        <v>195432</v>
      </c>
      <c r="N58" s="298"/>
    </row>
    <row r="59" spans="1:14" ht="12.75">
      <c r="A59" s="298"/>
      <c r="B59" s="298" t="s">
        <v>584</v>
      </c>
      <c r="C59" s="298" t="s">
        <v>444</v>
      </c>
      <c r="D59" s="298">
        <v>1358.1</v>
      </c>
      <c r="E59" s="298">
        <v>1.96</v>
      </c>
      <c r="F59" s="298">
        <v>693</v>
      </c>
      <c r="G59" s="298">
        <v>4</v>
      </c>
      <c r="H59" s="298">
        <v>0.688</v>
      </c>
      <c r="I59" s="298"/>
      <c r="J59" s="298">
        <v>5.5</v>
      </c>
      <c r="K59" s="298"/>
      <c r="L59" s="298">
        <v>3813.77</v>
      </c>
      <c r="M59" s="298">
        <v>29175.31</v>
      </c>
      <c r="N59" s="298"/>
    </row>
    <row r="60" spans="1:14" ht="12.75">
      <c r="A60" s="298"/>
      <c r="B60" s="298" t="s">
        <v>585</v>
      </c>
      <c r="C60" s="298" t="s">
        <v>474</v>
      </c>
      <c r="D60" s="298">
        <v>97</v>
      </c>
      <c r="E60" s="298">
        <v>0.01</v>
      </c>
      <c r="F60" s="298">
        <v>9700</v>
      </c>
      <c r="G60" s="298">
        <v>4</v>
      </c>
      <c r="H60" s="298">
        <v>0.688</v>
      </c>
      <c r="I60" s="298"/>
      <c r="J60" s="298">
        <v>5.5</v>
      </c>
      <c r="K60" s="298"/>
      <c r="L60" s="298">
        <v>53388.8</v>
      </c>
      <c r="M60" s="298">
        <v>408424.32</v>
      </c>
      <c r="N60" s="298"/>
    </row>
    <row r="61" spans="1:14" ht="12.75">
      <c r="A61" s="298"/>
      <c r="B61" s="298" t="s">
        <v>586</v>
      </c>
      <c r="C61" s="298" t="s">
        <v>535</v>
      </c>
      <c r="D61" s="298">
        <v>590</v>
      </c>
      <c r="E61" s="298">
        <v>0.48</v>
      </c>
      <c r="F61" s="298">
        <v>1229</v>
      </c>
      <c r="G61" s="298">
        <v>4</v>
      </c>
      <c r="H61" s="298">
        <v>0.688</v>
      </c>
      <c r="I61" s="298"/>
      <c r="J61" s="298">
        <v>5.5</v>
      </c>
      <c r="K61" s="298"/>
      <c r="L61" s="298">
        <v>6765.33</v>
      </c>
      <c r="M61" s="298">
        <v>51754.8</v>
      </c>
      <c r="N61" s="298"/>
    </row>
    <row r="62" spans="1:14" ht="12.75">
      <c r="A62" s="298"/>
      <c r="B62" s="298" t="s">
        <v>587</v>
      </c>
      <c r="C62" s="298" t="s">
        <v>474</v>
      </c>
      <c r="D62" s="298">
        <v>5</v>
      </c>
      <c r="E62" s="298">
        <v>0.44</v>
      </c>
      <c r="F62" s="298">
        <v>11</v>
      </c>
      <c r="G62" s="298">
        <v>6</v>
      </c>
      <c r="H62" s="298">
        <v>1.35</v>
      </c>
      <c r="I62" s="298"/>
      <c r="J62" s="298">
        <v>10.8</v>
      </c>
      <c r="K62" s="298"/>
      <c r="L62" s="298">
        <v>122.73</v>
      </c>
      <c r="M62" s="298">
        <v>938.86</v>
      </c>
      <c r="N62" s="298"/>
    </row>
    <row r="63" spans="1:14" ht="12.75">
      <c r="A63" s="298"/>
      <c r="B63" s="298" t="s">
        <v>588</v>
      </c>
      <c r="C63" s="298" t="s">
        <v>474</v>
      </c>
      <c r="D63" s="298">
        <v>2</v>
      </c>
      <c r="E63" s="298">
        <v>0.023</v>
      </c>
      <c r="F63" s="298">
        <v>87</v>
      </c>
      <c r="G63" s="298">
        <v>4</v>
      </c>
      <c r="H63" s="298">
        <v>0.688</v>
      </c>
      <c r="I63" s="298"/>
      <c r="J63" s="298">
        <v>5.5</v>
      </c>
      <c r="K63" s="298"/>
      <c r="L63" s="298">
        <v>478.61</v>
      </c>
      <c r="M63" s="298">
        <v>3661.36</v>
      </c>
      <c r="N63" s="298"/>
    </row>
    <row r="64" spans="1:14" ht="12.75">
      <c r="A64" s="298"/>
      <c r="B64" s="298" t="s">
        <v>589</v>
      </c>
      <c r="C64" s="298"/>
      <c r="D64" s="298"/>
      <c r="E64" s="298"/>
      <c r="F64" s="298">
        <v>30276</v>
      </c>
      <c r="G64" s="298"/>
      <c r="H64" s="298"/>
      <c r="I64" s="298"/>
      <c r="J64" s="298"/>
      <c r="K64" s="298"/>
      <c r="L64" s="298">
        <v>175802.34</v>
      </c>
      <c r="M64" s="298">
        <v>1344887.87</v>
      </c>
      <c r="N64" s="298">
        <v>1344887.87</v>
      </c>
    </row>
    <row r="65" spans="1:14" ht="12.7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</row>
    <row r="66" spans="1:14" ht="12.75">
      <c r="A66" s="298"/>
      <c r="B66" s="298" t="s">
        <v>590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1:14" ht="12.75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</row>
    <row r="68" spans="1:14" ht="12.75">
      <c r="A68" s="298"/>
      <c r="B68" s="298" t="s">
        <v>591</v>
      </c>
      <c r="C68" s="298" t="s">
        <v>535</v>
      </c>
      <c r="D68" s="298">
        <v>6.7</v>
      </c>
      <c r="E68" s="298">
        <v>0.11</v>
      </c>
      <c r="F68" s="298">
        <v>61</v>
      </c>
      <c r="G68" s="298">
        <v>4</v>
      </c>
      <c r="H68" s="298">
        <v>0.688</v>
      </c>
      <c r="I68" s="298"/>
      <c r="J68" s="298">
        <v>5.5</v>
      </c>
      <c r="K68" s="298"/>
      <c r="L68" s="298">
        <v>335.24</v>
      </c>
      <c r="M68" s="298">
        <v>2564.61</v>
      </c>
      <c r="N68" s="298"/>
    </row>
    <row r="69" spans="1:14" ht="12.75">
      <c r="A69" s="298"/>
      <c r="B69" s="298" t="s">
        <v>592</v>
      </c>
      <c r="C69" s="298" t="s">
        <v>593</v>
      </c>
      <c r="D69" s="298"/>
      <c r="E69" s="298">
        <v>5.3</v>
      </c>
      <c r="F69" s="298">
        <v>0</v>
      </c>
      <c r="G69" s="298">
        <v>4</v>
      </c>
      <c r="H69" s="298">
        <v>0.688</v>
      </c>
      <c r="I69" s="298"/>
      <c r="J69" s="298">
        <v>5.5</v>
      </c>
      <c r="K69" s="298"/>
      <c r="L69" s="298">
        <v>0</v>
      </c>
      <c r="M69" s="298">
        <v>0</v>
      </c>
      <c r="N69" s="298"/>
    </row>
    <row r="70" spans="1:14" ht="12.75">
      <c r="A70" s="298"/>
      <c r="B70" s="298" t="s">
        <v>594</v>
      </c>
      <c r="C70" s="298" t="s">
        <v>75</v>
      </c>
      <c r="D70" s="298">
        <v>180.45</v>
      </c>
      <c r="E70" s="298">
        <v>5</v>
      </c>
      <c r="F70" s="298">
        <v>36</v>
      </c>
      <c r="G70" s="298">
        <v>5</v>
      </c>
      <c r="H70" s="298">
        <v>0.774</v>
      </c>
      <c r="I70" s="298"/>
      <c r="J70" s="298">
        <v>6.19</v>
      </c>
      <c r="K70" s="298"/>
      <c r="L70" s="298">
        <v>222.91</v>
      </c>
      <c r="M70" s="298">
        <v>1705.28</v>
      </c>
      <c r="N70" s="298"/>
    </row>
    <row r="71" spans="1:14" ht="12.75">
      <c r="A71" s="298"/>
      <c r="B71" s="298" t="s">
        <v>595</v>
      </c>
      <c r="C71" s="298"/>
      <c r="D71" s="298"/>
      <c r="E71" s="298"/>
      <c r="F71" s="298">
        <v>97</v>
      </c>
      <c r="G71" s="298"/>
      <c r="H71" s="298"/>
      <c r="I71" s="298"/>
      <c r="J71" s="298"/>
      <c r="K71" s="298"/>
      <c r="L71" s="298">
        <v>558.16</v>
      </c>
      <c r="M71" s="298">
        <v>4269.89</v>
      </c>
      <c r="N71" s="298">
        <v>4269.89</v>
      </c>
    </row>
    <row r="72" spans="1:14" ht="12.75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12.7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ht="12.75">
      <c r="A74" s="298"/>
      <c r="B74" s="298" t="s">
        <v>596</v>
      </c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ht="12.75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</row>
    <row r="76" spans="1:14" ht="12.75">
      <c r="A76" s="298"/>
      <c r="B76" s="298" t="s">
        <v>597</v>
      </c>
      <c r="C76" s="298" t="s">
        <v>524</v>
      </c>
      <c r="D76" s="298"/>
      <c r="E76" s="298">
        <v>1</v>
      </c>
      <c r="F76" s="298">
        <v>0</v>
      </c>
      <c r="G76" s="298">
        <v>5</v>
      </c>
      <c r="H76" s="298">
        <v>1.138</v>
      </c>
      <c r="I76" s="298"/>
      <c r="J76" s="298">
        <v>9.1</v>
      </c>
      <c r="K76" s="298"/>
      <c r="L76" s="298">
        <v>0</v>
      </c>
      <c r="M76" s="298">
        <v>0</v>
      </c>
      <c r="N76" s="298"/>
    </row>
    <row r="77" spans="1:14" ht="12.75">
      <c r="A77" s="298"/>
      <c r="B77" s="298" t="s">
        <v>598</v>
      </c>
      <c r="C77" s="298" t="s">
        <v>494</v>
      </c>
      <c r="D77" s="298">
        <v>240</v>
      </c>
      <c r="E77" s="298">
        <v>3.85</v>
      </c>
      <c r="F77" s="298">
        <v>62</v>
      </c>
      <c r="G77" s="298">
        <v>5</v>
      </c>
      <c r="H77" s="298">
        <v>1.138</v>
      </c>
      <c r="I77" s="298"/>
      <c r="J77" s="298">
        <v>9.1</v>
      </c>
      <c r="K77" s="298"/>
      <c r="L77" s="298">
        <v>567.52</v>
      </c>
      <c r="M77" s="298">
        <v>4341.54</v>
      </c>
      <c r="N77" s="298"/>
    </row>
    <row r="78" spans="1:14" ht="12.75">
      <c r="A78" s="298"/>
      <c r="B78" s="298" t="s">
        <v>599</v>
      </c>
      <c r="C78" s="298" t="s">
        <v>494</v>
      </c>
      <c r="D78" s="298">
        <v>15</v>
      </c>
      <c r="E78" s="298">
        <v>0.26</v>
      </c>
      <c r="F78" s="298">
        <v>58</v>
      </c>
      <c r="G78" s="298">
        <v>5</v>
      </c>
      <c r="H78" s="298">
        <v>1.138</v>
      </c>
      <c r="I78" s="298"/>
      <c r="J78" s="298">
        <v>9.1</v>
      </c>
      <c r="K78" s="298"/>
      <c r="L78" s="298">
        <v>525.23</v>
      </c>
      <c r="M78" s="298">
        <v>4018.02</v>
      </c>
      <c r="N78" s="298"/>
    </row>
    <row r="79" spans="1:14" ht="12.75">
      <c r="A79" s="298"/>
      <c r="B79" s="298" t="s">
        <v>600</v>
      </c>
      <c r="C79" s="298" t="s">
        <v>75</v>
      </c>
      <c r="D79" s="298">
        <v>38</v>
      </c>
      <c r="E79" s="298">
        <v>0.11</v>
      </c>
      <c r="F79" s="298">
        <v>345</v>
      </c>
      <c r="G79" s="298">
        <v>5</v>
      </c>
      <c r="H79" s="298">
        <v>0.774</v>
      </c>
      <c r="I79" s="298"/>
      <c r="J79" s="298">
        <v>6.19</v>
      </c>
      <c r="K79" s="298"/>
      <c r="L79" s="298">
        <v>2139.05</v>
      </c>
      <c r="M79" s="298">
        <v>16363.77</v>
      </c>
      <c r="N79" s="298"/>
    </row>
    <row r="80" spans="1:14" ht="12.75">
      <c r="A80" s="298"/>
      <c r="B80" s="298" t="s">
        <v>601</v>
      </c>
      <c r="C80" s="298" t="s">
        <v>602</v>
      </c>
      <c r="D80" s="298">
        <v>14160</v>
      </c>
      <c r="E80" s="298">
        <v>13.61</v>
      </c>
      <c r="F80" s="298">
        <v>1040</v>
      </c>
      <c r="G80" s="298">
        <v>6</v>
      </c>
      <c r="H80" s="298">
        <v>0.878</v>
      </c>
      <c r="I80" s="298"/>
      <c r="J80" s="298">
        <v>7.02</v>
      </c>
      <c r="K80" s="298"/>
      <c r="L80" s="298">
        <v>7307.85</v>
      </c>
      <c r="M80" s="298">
        <v>55905.05</v>
      </c>
      <c r="N80" s="298"/>
    </row>
    <row r="81" spans="1:14" ht="12.75">
      <c r="A81" s="298"/>
      <c r="B81" s="298" t="s">
        <v>603</v>
      </c>
      <c r="C81" s="298" t="s">
        <v>524</v>
      </c>
      <c r="D81" s="298">
        <v>6700</v>
      </c>
      <c r="E81" s="298">
        <v>1</v>
      </c>
      <c r="F81" s="298">
        <v>7000</v>
      </c>
      <c r="G81" s="298">
        <v>4</v>
      </c>
      <c r="H81" s="298">
        <v>0.688</v>
      </c>
      <c r="I81" s="298"/>
      <c r="J81" s="298">
        <v>5.5</v>
      </c>
      <c r="K81" s="298"/>
      <c r="L81" s="298">
        <v>38528</v>
      </c>
      <c r="M81" s="298">
        <v>294739.2</v>
      </c>
      <c r="N81" s="298"/>
    </row>
    <row r="82" spans="1:14" ht="12.75">
      <c r="A82" s="298"/>
      <c r="B82" s="298" t="s">
        <v>604</v>
      </c>
      <c r="C82" s="298" t="s">
        <v>474</v>
      </c>
      <c r="D82" s="298">
        <v>14160</v>
      </c>
      <c r="E82" s="298">
        <v>13.37</v>
      </c>
      <c r="F82" s="298">
        <v>1059</v>
      </c>
      <c r="G82" s="298">
        <v>4</v>
      </c>
      <c r="H82" s="298">
        <v>0.688</v>
      </c>
      <c r="I82" s="298"/>
      <c r="J82" s="298">
        <v>5.5</v>
      </c>
      <c r="K82" s="298"/>
      <c r="L82" s="298">
        <v>5829.22</v>
      </c>
      <c r="M82" s="298">
        <v>44593.52</v>
      </c>
      <c r="N82" s="298"/>
    </row>
    <row r="83" spans="1:19" ht="12.75">
      <c r="A83" s="298"/>
      <c r="B83" s="298" t="s">
        <v>605</v>
      </c>
      <c r="C83" s="298" t="s">
        <v>606</v>
      </c>
      <c r="D83" s="298">
        <v>60</v>
      </c>
      <c r="E83" s="298">
        <v>0.097</v>
      </c>
      <c r="F83" s="298">
        <v>619</v>
      </c>
      <c r="G83" s="298">
        <v>4</v>
      </c>
      <c r="H83" s="298">
        <v>0.688</v>
      </c>
      <c r="I83" s="298"/>
      <c r="J83" s="298">
        <v>5.5</v>
      </c>
      <c r="K83" s="298"/>
      <c r="L83" s="298">
        <v>3404.54</v>
      </c>
      <c r="M83" s="298">
        <v>26044.7</v>
      </c>
      <c r="N83" s="298"/>
      <c r="P83">
        <v>47320</v>
      </c>
      <c r="R83">
        <v>2604.470103</v>
      </c>
      <c r="S83">
        <v>4339.047192</v>
      </c>
    </row>
    <row r="84" spans="1:14" ht="12.75">
      <c r="A84" s="298"/>
      <c r="B84" s="298" t="s">
        <v>607</v>
      </c>
      <c r="C84" s="298" t="s">
        <v>474</v>
      </c>
      <c r="D84" s="298">
        <v>14160</v>
      </c>
      <c r="E84" s="298">
        <v>4.68</v>
      </c>
      <c r="F84" s="298">
        <v>3026</v>
      </c>
      <c r="G84" s="298">
        <v>4</v>
      </c>
      <c r="H84" s="298">
        <v>0.688</v>
      </c>
      <c r="I84" s="298"/>
      <c r="J84" s="298">
        <v>5.5</v>
      </c>
      <c r="K84" s="298"/>
      <c r="L84" s="298">
        <v>16653.13</v>
      </c>
      <c r="M84" s="298">
        <v>127396.43</v>
      </c>
      <c r="N84" s="298"/>
    </row>
    <row r="85" spans="1:14" ht="12.75">
      <c r="A85" s="298"/>
      <c r="B85" s="298" t="s">
        <v>608</v>
      </c>
      <c r="C85" s="298" t="s">
        <v>75</v>
      </c>
      <c r="D85" s="298">
        <v>6</v>
      </c>
      <c r="E85" s="298"/>
      <c r="F85" s="298">
        <v>90</v>
      </c>
      <c r="G85" s="298">
        <v>4</v>
      </c>
      <c r="H85" s="298">
        <v>0.688</v>
      </c>
      <c r="I85" s="298"/>
      <c r="J85" s="298">
        <v>5.5</v>
      </c>
      <c r="K85" s="298"/>
      <c r="L85" s="298">
        <v>5071</v>
      </c>
      <c r="M85" s="298">
        <v>38793.15</v>
      </c>
      <c r="N85" s="298"/>
    </row>
    <row r="86" spans="1:14" ht="12.75">
      <c r="A86" s="298"/>
      <c r="B86" s="298" t="s">
        <v>595</v>
      </c>
      <c r="C86" s="298"/>
      <c r="D86" s="298"/>
      <c r="E86" s="298"/>
      <c r="F86" s="298">
        <v>13299</v>
      </c>
      <c r="G86" s="298"/>
      <c r="H86" s="298"/>
      <c r="I86" s="298"/>
      <c r="J86" s="298"/>
      <c r="K86" s="298"/>
      <c r="L86" s="298">
        <v>80025.54</v>
      </c>
      <c r="M86" s="298">
        <v>612195.38</v>
      </c>
      <c r="N86" s="298">
        <v>612195.38</v>
      </c>
    </row>
    <row r="87" spans="1:14" ht="12.75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1:14" ht="12.75">
      <c r="A88" s="298"/>
      <c r="B88" s="298" t="s">
        <v>224</v>
      </c>
      <c r="C88" s="298"/>
      <c r="D88" s="298"/>
      <c r="E88" s="298"/>
      <c r="F88" s="298">
        <v>51360</v>
      </c>
      <c r="G88" s="298"/>
      <c r="H88" s="298"/>
      <c r="I88" s="298"/>
      <c r="J88" s="298"/>
      <c r="K88" s="298"/>
      <c r="L88" s="298">
        <v>344737.89</v>
      </c>
      <c r="M88" s="298">
        <v>2637244.89</v>
      </c>
      <c r="N88" s="298"/>
    </row>
    <row r="89" spans="1:14" ht="12.75">
      <c r="A89" s="298"/>
      <c r="B89" s="298"/>
      <c r="C89" s="298"/>
      <c r="D89" s="298"/>
      <c r="E89" s="298"/>
      <c r="F89" s="298"/>
      <c r="G89" s="298"/>
      <c r="H89" s="298"/>
      <c r="I89" s="298" t="s">
        <v>169</v>
      </c>
      <c r="J89" s="298"/>
      <c r="K89" s="298"/>
      <c r="L89" s="298">
        <v>344737.89</v>
      </c>
      <c r="M89" s="298">
        <v>2637244.89</v>
      </c>
      <c r="N89" s="298"/>
    </row>
    <row r="90" spans="1:14" ht="12.75">
      <c r="A90" s="298"/>
      <c r="B90" s="298" t="s">
        <v>609</v>
      </c>
      <c r="C90" s="298"/>
      <c r="D90" s="298"/>
      <c r="E90" s="298"/>
      <c r="F90" s="298"/>
      <c r="G90" s="298"/>
      <c r="H90" s="298"/>
      <c r="I90" s="298" t="s">
        <v>610</v>
      </c>
      <c r="J90" s="298"/>
      <c r="K90" s="298"/>
      <c r="L90" s="298">
        <v>34473.79</v>
      </c>
      <c r="M90" s="298">
        <v>263724.49</v>
      </c>
      <c r="N90" s="298"/>
    </row>
    <row r="91" spans="1:14" ht="12.75">
      <c r="A91" s="298"/>
      <c r="B91" s="298" t="s">
        <v>611</v>
      </c>
      <c r="C91" s="298"/>
      <c r="D91" s="298"/>
      <c r="E91" s="298"/>
      <c r="F91" s="298"/>
      <c r="G91" s="298"/>
      <c r="H91" s="298"/>
      <c r="I91" s="298" t="s">
        <v>612</v>
      </c>
      <c r="J91" s="298"/>
      <c r="K91" s="298"/>
      <c r="L91" s="298">
        <v>57456.32</v>
      </c>
      <c r="M91" s="298">
        <v>439540.82</v>
      </c>
      <c r="N91" s="298"/>
    </row>
    <row r="92" spans="1:14" ht="12.75">
      <c r="A92" s="298"/>
      <c r="B92" s="298"/>
      <c r="C92" s="298"/>
      <c r="D92" s="298"/>
      <c r="E92" s="298"/>
      <c r="F92" s="298"/>
      <c r="G92" s="298"/>
      <c r="H92" s="298"/>
      <c r="I92" s="298" t="s">
        <v>613</v>
      </c>
      <c r="J92" s="298"/>
      <c r="K92" s="298"/>
      <c r="L92" s="298">
        <v>436668</v>
      </c>
      <c r="M92" s="298">
        <v>3340510.2</v>
      </c>
      <c r="N92" s="298"/>
    </row>
    <row r="93" spans="1:14" ht="12.75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ht="12.75">
      <c r="A94" s="298"/>
      <c r="B94" s="298" t="s">
        <v>614</v>
      </c>
      <c r="C94" s="298"/>
      <c r="D94" s="298"/>
      <c r="E94" s="298"/>
      <c r="F94" s="298"/>
      <c r="G94" s="298"/>
      <c r="H94" s="298"/>
      <c r="I94" s="298" t="s">
        <v>615</v>
      </c>
      <c r="J94" s="298"/>
      <c r="K94" s="298"/>
      <c r="L94" s="298">
        <v>28728.16</v>
      </c>
      <c r="M94" s="298">
        <v>219770.41</v>
      </c>
      <c r="N94" s="298"/>
    </row>
    <row r="95" spans="1:14" ht="12.75">
      <c r="A95" s="298"/>
      <c r="B95" s="298" t="s">
        <v>616</v>
      </c>
      <c r="C95" s="298"/>
      <c r="D95" s="298"/>
      <c r="E95" s="298"/>
      <c r="F95" s="298"/>
      <c r="G95" s="298"/>
      <c r="H95" s="298"/>
      <c r="I95" s="298" t="s">
        <v>617</v>
      </c>
      <c r="J95" s="298"/>
      <c r="K95" s="298"/>
      <c r="L95" s="298">
        <v>2872.82</v>
      </c>
      <c r="M95" s="298">
        <v>21977.04</v>
      </c>
      <c r="N95" s="298"/>
    </row>
    <row r="96" spans="1:14" ht="12.75">
      <c r="A96" s="298"/>
      <c r="B96" s="298"/>
      <c r="C96" s="298"/>
      <c r="D96" s="298"/>
      <c r="E96" s="298"/>
      <c r="F96" s="298"/>
      <c r="G96" s="298"/>
      <c r="H96" s="298"/>
      <c r="I96" s="298" t="s">
        <v>618</v>
      </c>
      <c r="J96" s="298"/>
      <c r="K96" s="298"/>
      <c r="L96" s="298">
        <v>4788.03</v>
      </c>
      <c r="M96" s="298">
        <v>36628.4</v>
      </c>
      <c r="N96" s="298"/>
    </row>
    <row r="97" spans="1:14" ht="12.75">
      <c r="A97" s="298"/>
      <c r="B97" s="298"/>
      <c r="C97" s="298"/>
      <c r="D97" s="298"/>
      <c r="E97" s="298"/>
      <c r="F97" s="298"/>
      <c r="G97" s="298"/>
      <c r="H97" s="298"/>
      <c r="I97" s="298" t="s">
        <v>619</v>
      </c>
      <c r="J97" s="298"/>
      <c r="K97" s="298"/>
      <c r="L97" s="298">
        <v>36389</v>
      </c>
      <c r="M97" s="298">
        <v>278375.85</v>
      </c>
      <c r="N97" s="298"/>
    </row>
    <row r="98" spans="1:14" ht="12.75">
      <c r="A98" s="298"/>
      <c r="B98" s="298" t="s">
        <v>620</v>
      </c>
      <c r="C98" s="298"/>
      <c r="D98" s="298"/>
      <c r="E98" s="298"/>
      <c r="F98" s="298"/>
      <c r="G98" s="298" t="s">
        <v>621</v>
      </c>
      <c r="H98" s="298"/>
      <c r="I98" s="298"/>
      <c r="J98" s="298"/>
      <c r="K98" s="298"/>
      <c r="L98" s="298"/>
      <c r="M98" s="298"/>
      <c r="N98" s="298"/>
    </row>
    <row r="99" spans="1:14" ht="12.7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</row>
    <row r="100" spans="1:14" ht="12.7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</row>
    <row r="101" spans="1:14" ht="12.7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</row>
    <row r="102" spans="1:14" ht="12.7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B2" sqref="B2:O8"/>
    </sheetView>
  </sheetViews>
  <sheetFormatPr defaultColWidth="9.125" defaultRowHeight="12.75"/>
  <cols>
    <col min="1" max="1" width="3.50390625" style="192" customWidth="1"/>
    <col min="2" max="2" width="22.50390625" style="162" customWidth="1"/>
    <col min="3" max="4" width="8.375" style="162" customWidth="1"/>
    <col min="5" max="5" width="12.875" style="162" bestFit="1" customWidth="1"/>
    <col min="6" max="6" width="19.50390625" style="162" customWidth="1"/>
    <col min="7" max="18" width="8.875" style="162" bestFit="1" customWidth="1"/>
    <col min="19" max="19" width="9.875" style="162" bestFit="1" customWidth="1"/>
    <col min="20" max="20" width="8.50390625" style="162" customWidth="1"/>
    <col min="21" max="21" width="8.125" style="162" customWidth="1"/>
    <col min="22" max="16384" width="9.125" style="162" customWidth="1"/>
  </cols>
  <sheetData>
    <row r="1" spans="3:21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1122</v>
      </c>
      <c r="O2" s="1"/>
      <c r="P2" s="47"/>
      <c r="Q2" s="47"/>
      <c r="R2" s="47"/>
      <c r="S2" s="47"/>
      <c r="T2" s="47"/>
      <c r="U2" s="47"/>
    </row>
    <row r="3" spans="3:21" ht="13.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7"/>
      <c r="Q3" s="47"/>
      <c r="R3" s="47"/>
      <c r="S3" s="47"/>
      <c r="T3" s="47"/>
      <c r="U3" s="47"/>
    </row>
    <row r="4" spans="3:21" ht="13.5">
      <c r="C4" s="47"/>
      <c r="D4" s="666" t="s">
        <v>1123</v>
      </c>
      <c r="E4" s="666"/>
      <c r="F4" s="666"/>
      <c r="G4" s="666"/>
      <c r="H4" s="666"/>
      <c r="I4" s="666"/>
      <c r="J4" s="666"/>
      <c r="K4" s="666"/>
      <c r="L4" s="666"/>
      <c r="M4" s="47"/>
      <c r="N4" s="47"/>
      <c r="O4" s="47"/>
      <c r="P4" s="47"/>
      <c r="Q4" s="47"/>
      <c r="R4" s="47"/>
      <c r="S4" s="47"/>
      <c r="T4" s="47"/>
      <c r="U4" s="47"/>
    </row>
    <row r="5" spans="2:21" ht="13.5">
      <c r="B5" s="193" t="s">
        <v>219</v>
      </c>
      <c r="C5" s="47"/>
      <c r="D5" s="666" t="s">
        <v>1124</v>
      </c>
      <c r="E5" s="666"/>
      <c r="F5" s="666"/>
      <c r="G5" s="666"/>
      <c r="H5" s="666"/>
      <c r="I5" s="666"/>
      <c r="J5" s="666"/>
      <c r="K5" s="666"/>
      <c r="L5" s="666"/>
      <c r="M5" s="47"/>
      <c r="N5" s="47"/>
      <c r="O5" s="47"/>
      <c r="P5" s="47"/>
      <c r="Q5" s="47"/>
      <c r="R5" s="47"/>
      <c r="S5" s="47"/>
      <c r="T5" s="47"/>
      <c r="U5" s="47"/>
    </row>
    <row r="6" spans="2:15" ht="13.5">
      <c r="B6" s="193"/>
      <c r="C6" s="666" t="s">
        <v>1127</v>
      </c>
      <c r="D6" s="666"/>
      <c r="E6" s="666"/>
      <c r="F6" s="666"/>
      <c r="G6" s="666"/>
      <c r="H6" s="666"/>
      <c r="I6" s="666"/>
      <c r="J6" s="666"/>
      <c r="K6" s="666"/>
      <c r="L6" s="47"/>
      <c r="M6" s="47"/>
      <c r="N6" s="47"/>
      <c r="O6" s="47"/>
    </row>
    <row r="7" spans="2:15" ht="13.5">
      <c r="B7" s="194"/>
      <c r="C7" s="47"/>
      <c r="D7" s="667" t="s">
        <v>1125</v>
      </c>
      <c r="E7" s="667"/>
      <c r="F7" s="667"/>
      <c r="G7" s="667"/>
      <c r="H7" s="667"/>
      <c r="I7" s="667"/>
      <c r="J7" s="667"/>
      <c r="K7" s="667"/>
      <c r="L7" s="667"/>
      <c r="M7" s="47"/>
      <c r="N7" s="47"/>
      <c r="O7" s="47"/>
    </row>
    <row r="8" ht="13.5" thickBot="1">
      <c r="B8" s="194"/>
    </row>
    <row r="9" spans="1:21" ht="13.5" thickBot="1">
      <c r="A9" s="195" t="s">
        <v>184</v>
      </c>
      <c r="B9" s="163" t="s">
        <v>220</v>
      </c>
      <c r="C9" s="664" t="s">
        <v>17</v>
      </c>
      <c r="D9" s="665"/>
      <c r="E9" s="196" t="s">
        <v>252</v>
      </c>
      <c r="F9" s="196" t="s">
        <v>252</v>
      </c>
      <c r="G9" s="661" t="s">
        <v>255</v>
      </c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3"/>
      <c r="T9" s="177" t="s">
        <v>221</v>
      </c>
      <c r="U9" s="177"/>
    </row>
    <row r="10" spans="1:21" ht="26.25" customHeight="1" thickBot="1">
      <c r="A10" s="197" t="s">
        <v>222</v>
      </c>
      <c r="B10" s="164" t="s">
        <v>18</v>
      </c>
      <c r="C10" s="659" t="s">
        <v>223</v>
      </c>
      <c r="D10" s="660"/>
      <c r="E10" s="223" t="s">
        <v>257</v>
      </c>
      <c r="F10" s="223" t="s">
        <v>256</v>
      </c>
      <c r="G10" s="198" t="s">
        <v>237</v>
      </c>
      <c r="H10" s="198" t="s">
        <v>238</v>
      </c>
      <c r="I10" s="198" t="s">
        <v>239</v>
      </c>
      <c r="J10" s="198" t="s">
        <v>240</v>
      </c>
      <c r="K10" s="198" t="s">
        <v>241</v>
      </c>
      <c r="L10" s="198" t="s">
        <v>242</v>
      </c>
      <c r="M10" s="198" t="s">
        <v>243</v>
      </c>
      <c r="N10" s="198" t="s">
        <v>244</v>
      </c>
      <c r="O10" s="198" t="s">
        <v>245</v>
      </c>
      <c r="P10" s="198" t="s">
        <v>246</v>
      </c>
      <c r="Q10" s="198" t="s">
        <v>247</v>
      </c>
      <c r="R10" s="198" t="s">
        <v>236</v>
      </c>
      <c r="S10" s="199" t="s">
        <v>228</v>
      </c>
      <c r="T10" s="222" t="s">
        <v>253</v>
      </c>
      <c r="U10" s="164" t="s">
        <v>224</v>
      </c>
    </row>
    <row r="11" spans="1:21" s="204" customFormat="1" ht="13.5" thickBot="1">
      <c r="A11" s="197" t="s">
        <v>225</v>
      </c>
      <c r="B11" s="201"/>
      <c r="C11" s="218" t="s">
        <v>170</v>
      </c>
      <c r="D11" s="219" t="s">
        <v>226</v>
      </c>
      <c r="E11" s="219" t="s">
        <v>226</v>
      </c>
      <c r="F11" s="219" t="s">
        <v>226</v>
      </c>
      <c r="G11" s="202">
        <v>1873.3</v>
      </c>
      <c r="H11" s="202">
        <v>1873.3</v>
      </c>
      <c r="I11" s="202">
        <v>1873.3</v>
      </c>
      <c r="J11" s="202">
        <v>1941.5</v>
      </c>
      <c r="K11" s="202">
        <v>1941.5</v>
      </c>
      <c r="L11" s="202">
        <v>1941.5</v>
      </c>
      <c r="M11" s="202">
        <v>1965.7</v>
      </c>
      <c r="N11" s="202">
        <v>1965.7</v>
      </c>
      <c r="O11" s="202">
        <v>1965.7</v>
      </c>
      <c r="P11" s="202">
        <v>1969</v>
      </c>
      <c r="Q11" s="202">
        <v>1969</v>
      </c>
      <c r="R11" s="202">
        <v>1969</v>
      </c>
      <c r="S11" s="203"/>
      <c r="T11" s="200" t="s">
        <v>254</v>
      </c>
      <c r="U11" s="164" t="s">
        <v>227</v>
      </c>
    </row>
    <row r="12" spans="1:21" ht="12.75">
      <c r="A12" s="205"/>
      <c r="B12" s="206"/>
      <c r="C12" s="206"/>
      <c r="D12" s="220">
        <v>7.8</v>
      </c>
      <c r="E12" s="220"/>
      <c r="F12" s="206"/>
      <c r="G12" s="206"/>
      <c r="H12" s="206"/>
      <c r="I12" s="206"/>
      <c r="J12" s="206"/>
      <c r="K12" s="206" t="s">
        <v>1126</v>
      </c>
      <c r="L12" s="206"/>
      <c r="M12" s="206"/>
      <c r="N12" s="206"/>
      <c r="O12" s="206"/>
      <c r="P12" s="206"/>
      <c r="Q12" s="206"/>
      <c r="R12" s="206"/>
      <c r="S12" s="206"/>
      <c r="T12" s="206"/>
      <c r="U12" s="207"/>
    </row>
    <row r="13" spans="1:21" ht="21" customHeight="1">
      <c r="A13" s="191">
        <v>1</v>
      </c>
      <c r="B13" s="208"/>
      <c r="C13" s="209" t="e">
        <f>#REF!</f>
        <v>#REF!</v>
      </c>
      <c r="D13" s="209" t="e">
        <f aca="true" t="shared" si="0" ref="D13:D51">C13*$D$12</f>
        <v>#REF!</v>
      </c>
      <c r="E13" s="209" t="e">
        <f>#REF!</f>
        <v>#REF!</v>
      </c>
      <c r="F13" s="209" t="e">
        <f>D13-E13</f>
        <v>#REF!</v>
      </c>
      <c r="G13" s="209" t="e">
        <f>$G$11-$F13</f>
        <v>#REF!</v>
      </c>
      <c r="H13" s="209" t="e">
        <f>$H$11-$F13</f>
        <v>#REF!</v>
      </c>
      <c r="I13" s="209" t="e">
        <f>$I$11-$F13</f>
        <v>#REF!</v>
      </c>
      <c r="J13" s="209" t="e">
        <f>$J$11-$F13</f>
        <v>#REF!</v>
      </c>
      <c r="K13" s="209" t="e">
        <f>$K$11-$F13</f>
        <v>#REF!</v>
      </c>
      <c r="L13" s="209" t="e">
        <f>$L$11-$F13</f>
        <v>#REF!</v>
      </c>
      <c r="M13" s="209" t="e">
        <f>$M$11-$F13</f>
        <v>#REF!</v>
      </c>
      <c r="N13" s="209" t="e">
        <f>$N$11-$F13</f>
        <v>#REF!</v>
      </c>
      <c r="O13" s="209" t="e">
        <f>$O$11-$F13</f>
        <v>#REF!</v>
      </c>
      <c r="P13" s="209" t="e">
        <f>$P$11-$F13</f>
        <v>#REF!</v>
      </c>
      <c r="Q13" s="209" t="e">
        <f>$Q$11-$F13</f>
        <v>#REF!</v>
      </c>
      <c r="R13" s="209" t="e">
        <f>$R$11-$F13</f>
        <v>#REF!</v>
      </c>
      <c r="S13" s="209" t="e">
        <f aca="true" t="shared" si="1" ref="S13:S51">SUM(G13:R13)</f>
        <v>#REF!</v>
      </c>
      <c r="T13" s="209"/>
      <c r="U13" s="210"/>
    </row>
    <row r="14" spans="1:21" ht="12.75">
      <c r="A14" s="191">
        <f>A13+1</f>
        <v>2</v>
      </c>
      <c r="B14" s="208"/>
      <c r="C14" s="209" t="e">
        <f>#REF!</f>
        <v>#REF!</v>
      </c>
      <c r="D14" s="209" t="e">
        <f t="shared" si="0"/>
        <v>#REF!</v>
      </c>
      <c r="E14" s="209" t="e">
        <f>#REF!</f>
        <v>#REF!</v>
      </c>
      <c r="F14" s="209" t="e">
        <f aca="true" t="shared" si="2" ref="F14:F51">D14-E14</f>
        <v>#REF!</v>
      </c>
      <c r="G14" s="209" t="e">
        <f aca="true" t="shared" si="3" ref="G14:G51">$G$11-$F14</f>
        <v>#REF!</v>
      </c>
      <c r="H14" s="209" t="e">
        <f aca="true" t="shared" si="4" ref="H14:H51">$H$11-$F14</f>
        <v>#REF!</v>
      </c>
      <c r="I14" s="209" t="e">
        <f aca="true" t="shared" si="5" ref="I14:I51">$I$11-$F14</f>
        <v>#REF!</v>
      </c>
      <c r="J14" s="209" t="e">
        <f aca="true" t="shared" si="6" ref="J14:J51">$J$11-$F14</f>
        <v>#REF!</v>
      </c>
      <c r="K14" s="209" t="e">
        <f aca="true" t="shared" si="7" ref="K14:K51">$K$11-$F14</f>
        <v>#REF!</v>
      </c>
      <c r="L14" s="209" t="e">
        <f aca="true" t="shared" si="8" ref="L14:L51">$L$11-$F14</f>
        <v>#REF!</v>
      </c>
      <c r="M14" s="209" t="e">
        <f aca="true" t="shared" si="9" ref="M14:M51">$M$11-$F14</f>
        <v>#REF!</v>
      </c>
      <c r="N14" s="209" t="e">
        <f aca="true" t="shared" si="10" ref="N14:N51">$N$11-$F14</f>
        <v>#REF!</v>
      </c>
      <c r="O14" s="209" t="e">
        <f aca="true" t="shared" si="11" ref="O14:O51">$O$11-$F14</f>
        <v>#REF!</v>
      </c>
      <c r="P14" s="209" t="e">
        <f aca="true" t="shared" si="12" ref="P14:P51">$P$11-$F14</f>
        <v>#REF!</v>
      </c>
      <c r="Q14" s="209" t="e">
        <f aca="true" t="shared" si="13" ref="Q14:Q51">$Q$11-$F14</f>
        <v>#REF!</v>
      </c>
      <c r="R14" s="209" t="e">
        <f aca="true" t="shared" si="14" ref="R14:R51">$R$11-$F14</f>
        <v>#REF!</v>
      </c>
      <c r="S14" s="209" t="e">
        <f t="shared" si="1"/>
        <v>#REF!</v>
      </c>
      <c r="T14" s="209"/>
      <c r="U14" s="210"/>
    </row>
    <row r="15" spans="1:21" ht="12.75">
      <c r="A15" s="191">
        <f>A14+1</f>
        <v>3</v>
      </c>
      <c r="B15" s="208"/>
      <c r="C15" s="209" t="e">
        <f>#REF!</f>
        <v>#REF!</v>
      </c>
      <c r="D15" s="209" t="e">
        <f t="shared" si="0"/>
        <v>#REF!</v>
      </c>
      <c r="E15" s="209" t="e">
        <f>#REF!</f>
        <v>#REF!</v>
      </c>
      <c r="F15" s="209" t="e">
        <f t="shared" si="2"/>
        <v>#REF!</v>
      </c>
      <c r="G15" s="209" t="e">
        <f t="shared" si="3"/>
        <v>#REF!</v>
      </c>
      <c r="H15" s="209" t="e">
        <f t="shared" si="4"/>
        <v>#REF!</v>
      </c>
      <c r="I15" s="209" t="e">
        <f t="shared" si="5"/>
        <v>#REF!</v>
      </c>
      <c r="J15" s="209" t="e">
        <f t="shared" si="6"/>
        <v>#REF!</v>
      </c>
      <c r="K15" s="209" t="e">
        <f t="shared" si="7"/>
        <v>#REF!</v>
      </c>
      <c r="L15" s="209" t="e">
        <f t="shared" si="8"/>
        <v>#REF!</v>
      </c>
      <c r="M15" s="209" t="e">
        <f t="shared" si="9"/>
        <v>#REF!</v>
      </c>
      <c r="N15" s="209" t="e">
        <f t="shared" si="10"/>
        <v>#REF!</v>
      </c>
      <c r="O15" s="209" t="e">
        <f t="shared" si="11"/>
        <v>#REF!</v>
      </c>
      <c r="P15" s="209" t="e">
        <f t="shared" si="12"/>
        <v>#REF!</v>
      </c>
      <c r="Q15" s="209" t="e">
        <f t="shared" si="13"/>
        <v>#REF!</v>
      </c>
      <c r="R15" s="209" t="e">
        <f t="shared" si="14"/>
        <v>#REF!</v>
      </c>
      <c r="S15" s="209" t="e">
        <f t="shared" si="1"/>
        <v>#REF!</v>
      </c>
      <c r="T15" s="209"/>
      <c r="U15" s="210"/>
    </row>
    <row r="16" spans="1:21" ht="12.75">
      <c r="A16" s="191">
        <f aca="true" t="shared" si="15" ref="A16:A51">A15+1</f>
        <v>4</v>
      </c>
      <c r="B16" s="208"/>
      <c r="C16" s="209" t="e">
        <f>#REF!</f>
        <v>#REF!</v>
      </c>
      <c r="D16" s="209" t="e">
        <f t="shared" si="0"/>
        <v>#REF!</v>
      </c>
      <c r="E16" s="209" t="e">
        <f>#REF!</f>
        <v>#REF!</v>
      </c>
      <c r="F16" s="209" t="e">
        <f t="shared" si="2"/>
        <v>#REF!</v>
      </c>
      <c r="G16" s="209" t="e">
        <f t="shared" si="3"/>
        <v>#REF!</v>
      </c>
      <c r="H16" s="209" t="e">
        <f t="shared" si="4"/>
        <v>#REF!</v>
      </c>
      <c r="I16" s="209" t="e">
        <f t="shared" si="5"/>
        <v>#REF!</v>
      </c>
      <c r="J16" s="209" t="e">
        <f t="shared" si="6"/>
        <v>#REF!</v>
      </c>
      <c r="K16" s="209" t="e">
        <f t="shared" si="7"/>
        <v>#REF!</v>
      </c>
      <c r="L16" s="209" t="e">
        <f t="shared" si="8"/>
        <v>#REF!</v>
      </c>
      <c r="M16" s="209" t="e">
        <f t="shared" si="9"/>
        <v>#REF!</v>
      </c>
      <c r="N16" s="209" t="e">
        <f t="shared" si="10"/>
        <v>#REF!</v>
      </c>
      <c r="O16" s="209" t="e">
        <f t="shared" si="11"/>
        <v>#REF!</v>
      </c>
      <c r="P16" s="209" t="e">
        <f t="shared" si="12"/>
        <v>#REF!</v>
      </c>
      <c r="Q16" s="209" t="e">
        <f t="shared" si="13"/>
        <v>#REF!</v>
      </c>
      <c r="R16" s="209" t="e">
        <f t="shared" si="14"/>
        <v>#REF!</v>
      </c>
      <c r="S16" s="209" t="e">
        <f t="shared" si="1"/>
        <v>#REF!</v>
      </c>
      <c r="T16" s="209"/>
      <c r="U16" s="210"/>
    </row>
    <row r="17" spans="1:21" ht="12.75">
      <c r="A17" s="191">
        <f t="shared" si="15"/>
        <v>5</v>
      </c>
      <c r="B17" s="208"/>
      <c r="C17" s="209" t="e">
        <f>#REF!</f>
        <v>#REF!</v>
      </c>
      <c r="D17" s="209" t="e">
        <f t="shared" si="0"/>
        <v>#REF!</v>
      </c>
      <c r="E17" s="209" t="e">
        <f>#REF!</f>
        <v>#REF!</v>
      </c>
      <c r="F17" s="209" t="e">
        <f t="shared" si="2"/>
        <v>#REF!</v>
      </c>
      <c r="G17" s="209" t="e">
        <f t="shared" si="3"/>
        <v>#REF!</v>
      </c>
      <c r="H17" s="209" t="e">
        <f t="shared" si="4"/>
        <v>#REF!</v>
      </c>
      <c r="I17" s="209" t="e">
        <f t="shared" si="5"/>
        <v>#REF!</v>
      </c>
      <c r="J17" s="209" t="e">
        <f t="shared" si="6"/>
        <v>#REF!</v>
      </c>
      <c r="K17" s="209" t="e">
        <f t="shared" si="7"/>
        <v>#REF!</v>
      </c>
      <c r="L17" s="209" t="e">
        <f t="shared" si="8"/>
        <v>#REF!</v>
      </c>
      <c r="M17" s="209" t="e">
        <f t="shared" si="9"/>
        <v>#REF!</v>
      </c>
      <c r="N17" s="209" t="e">
        <f t="shared" si="10"/>
        <v>#REF!</v>
      </c>
      <c r="O17" s="209" t="e">
        <f t="shared" si="11"/>
        <v>#REF!</v>
      </c>
      <c r="P17" s="209" t="e">
        <f t="shared" si="12"/>
        <v>#REF!</v>
      </c>
      <c r="Q17" s="209" t="e">
        <f t="shared" si="13"/>
        <v>#REF!</v>
      </c>
      <c r="R17" s="209" t="e">
        <f t="shared" si="14"/>
        <v>#REF!</v>
      </c>
      <c r="S17" s="209" t="e">
        <f t="shared" si="1"/>
        <v>#REF!</v>
      </c>
      <c r="T17" s="209"/>
      <c r="U17" s="210"/>
    </row>
    <row r="18" spans="1:21" ht="12.75">
      <c r="A18" s="191">
        <f t="shared" si="15"/>
        <v>6</v>
      </c>
      <c r="B18" s="211"/>
      <c r="C18" s="209" t="e">
        <f>#REF!</f>
        <v>#REF!</v>
      </c>
      <c r="D18" s="209" t="e">
        <f t="shared" si="0"/>
        <v>#REF!</v>
      </c>
      <c r="E18" s="209" t="e">
        <f>#REF!</f>
        <v>#REF!</v>
      </c>
      <c r="F18" s="209" t="e">
        <f t="shared" si="2"/>
        <v>#REF!</v>
      </c>
      <c r="G18" s="209" t="e">
        <f t="shared" si="3"/>
        <v>#REF!</v>
      </c>
      <c r="H18" s="209" t="e">
        <f t="shared" si="4"/>
        <v>#REF!</v>
      </c>
      <c r="I18" s="209" t="e">
        <f t="shared" si="5"/>
        <v>#REF!</v>
      </c>
      <c r="J18" s="209" t="e">
        <f t="shared" si="6"/>
        <v>#REF!</v>
      </c>
      <c r="K18" s="209" t="e">
        <f t="shared" si="7"/>
        <v>#REF!</v>
      </c>
      <c r="L18" s="209" t="e">
        <f t="shared" si="8"/>
        <v>#REF!</v>
      </c>
      <c r="M18" s="209" t="e">
        <f t="shared" si="9"/>
        <v>#REF!</v>
      </c>
      <c r="N18" s="209" t="e">
        <f t="shared" si="10"/>
        <v>#REF!</v>
      </c>
      <c r="O18" s="209" t="e">
        <f t="shared" si="11"/>
        <v>#REF!</v>
      </c>
      <c r="P18" s="209" t="e">
        <f t="shared" si="12"/>
        <v>#REF!</v>
      </c>
      <c r="Q18" s="209" t="e">
        <f t="shared" si="13"/>
        <v>#REF!</v>
      </c>
      <c r="R18" s="209" t="e">
        <f t="shared" si="14"/>
        <v>#REF!</v>
      </c>
      <c r="S18" s="209" t="e">
        <f t="shared" si="1"/>
        <v>#REF!</v>
      </c>
      <c r="T18" s="209"/>
      <c r="U18" s="210"/>
    </row>
    <row r="19" spans="1:21" ht="12.75">
      <c r="A19" s="191">
        <f t="shared" si="15"/>
        <v>7</v>
      </c>
      <c r="B19" s="208"/>
      <c r="C19" s="209" t="e">
        <f>#REF!</f>
        <v>#REF!</v>
      </c>
      <c r="D19" s="209" t="e">
        <f t="shared" si="0"/>
        <v>#REF!</v>
      </c>
      <c r="E19" s="209" t="e">
        <f>#REF!</f>
        <v>#REF!</v>
      </c>
      <c r="F19" s="209" t="e">
        <f t="shared" si="2"/>
        <v>#REF!</v>
      </c>
      <c r="G19" s="209" t="e">
        <f t="shared" si="3"/>
        <v>#REF!</v>
      </c>
      <c r="H19" s="209" t="e">
        <f t="shared" si="4"/>
        <v>#REF!</v>
      </c>
      <c r="I19" s="209" t="e">
        <f t="shared" si="5"/>
        <v>#REF!</v>
      </c>
      <c r="J19" s="209" t="e">
        <f t="shared" si="6"/>
        <v>#REF!</v>
      </c>
      <c r="K19" s="209" t="e">
        <f t="shared" si="7"/>
        <v>#REF!</v>
      </c>
      <c r="L19" s="209" t="e">
        <f t="shared" si="8"/>
        <v>#REF!</v>
      </c>
      <c r="M19" s="209" t="e">
        <f t="shared" si="9"/>
        <v>#REF!</v>
      </c>
      <c r="N19" s="209" t="e">
        <f t="shared" si="10"/>
        <v>#REF!</v>
      </c>
      <c r="O19" s="209" t="e">
        <f t="shared" si="11"/>
        <v>#REF!</v>
      </c>
      <c r="P19" s="209" t="e">
        <f t="shared" si="12"/>
        <v>#REF!</v>
      </c>
      <c r="Q19" s="209" t="e">
        <f t="shared" si="13"/>
        <v>#REF!</v>
      </c>
      <c r="R19" s="209" t="e">
        <f t="shared" si="14"/>
        <v>#REF!</v>
      </c>
      <c r="S19" s="209" t="e">
        <f t="shared" si="1"/>
        <v>#REF!</v>
      </c>
      <c r="T19" s="209"/>
      <c r="U19" s="210"/>
    </row>
    <row r="20" spans="1:21" ht="12.75">
      <c r="A20" s="191">
        <f t="shared" si="15"/>
        <v>8</v>
      </c>
      <c r="B20" s="208"/>
      <c r="C20" s="209" t="e">
        <f>#REF!</f>
        <v>#REF!</v>
      </c>
      <c r="D20" s="209" t="e">
        <f t="shared" si="0"/>
        <v>#REF!</v>
      </c>
      <c r="E20" s="209" t="e">
        <f>#REF!</f>
        <v>#REF!</v>
      </c>
      <c r="F20" s="209" t="e">
        <f t="shared" si="2"/>
        <v>#REF!</v>
      </c>
      <c r="G20" s="209" t="e">
        <f t="shared" si="3"/>
        <v>#REF!</v>
      </c>
      <c r="H20" s="209" t="e">
        <f t="shared" si="4"/>
        <v>#REF!</v>
      </c>
      <c r="I20" s="209" t="e">
        <f t="shared" si="5"/>
        <v>#REF!</v>
      </c>
      <c r="J20" s="209" t="e">
        <f t="shared" si="6"/>
        <v>#REF!</v>
      </c>
      <c r="K20" s="209" t="e">
        <f t="shared" si="7"/>
        <v>#REF!</v>
      </c>
      <c r="L20" s="209" t="e">
        <f t="shared" si="8"/>
        <v>#REF!</v>
      </c>
      <c r="M20" s="209" t="e">
        <f t="shared" si="9"/>
        <v>#REF!</v>
      </c>
      <c r="N20" s="209" t="e">
        <f t="shared" si="10"/>
        <v>#REF!</v>
      </c>
      <c r="O20" s="209" t="e">
        <f t="shared" si="11"/>
        <v>#REF!</v>
      </c>
      <c r="P20" s="209" t="e">
        <f t="shared" si="12"/>
        <v>#REF!</v>
      </c>
      <c r="Q20" s="209" t="e">
        <f t="shared" si="13"/>
        <v>#REF!</v>
      </c>
      <c r="R20" s="209" t="e">
        <f t="shared" si="14"/>
        <v>#REF!</v>
      </c>
      <c r="S20" s="209" t="e">
        <f t="shared" si="1"/>
        <v>#REF!</v>
      </c>
      <c r="T20" s="209"/>
      <c r="U20" s="210"/>
    </row>
    <row r="21" spans="1:21" ht="12.75">
      <c r="A21" s="191">
        <f t="shared" si="15"/>
        <v>9</v>
      </c>
      <c r="B21" s="208"/>
      <c r="C21" s="209" t="e">
        <f>#REF!</f>
        <v>#REF!</v>
      </c>
      <c r="D21" s="209" t="e">
        <f t="shared" si="0"/>
        <v>#REF!</v>
      </c>
      <c r="E21" s="209" t="e">
        <f>#REF!</f>
        <v>#REF!</v>
      </c>
      <c r="F21" s="209" t="e">
        <f t="shared" si="2"/>
        <v>#REF!</v>
      </c>
      <c r="G21" s="209" t="e">
        <f t="shared" si="3"/>
        <v>#REF!</v>
      </c>
      <c r="H21" s="209" t="e">
        <f t="shared" si="4"/>
        <v>#REF!</v>
      </c>
      <c r="I21" s="209" t="e">
        <f t="shared" si="5"/>
        <v>#REF!</v>
      </c>
      <c r="J21" s="209" t="e">
        <f t="shared" si="6"/>
        <v>#REF!</v>
      </c>
      <c r="K21" s="209" t="e">
        <f t="shared" si="7"/>
        <v>#REF!</v>
      </c>
      <c r="L21" s="209" t="e">
        <f t="shared" si="8"/>
        <v>#REF!</v>
      </c>
      <c r="M21" s="209" t="e">
        <f t="shared" si="9"/>
        <v>#REF!</v>
      </c>
      <c r="N21" s="209" t="e">
        <f t="shared" si="10"/>
        <v>#REF!</v>
      </c>
      <c r="O21" s="209" t="e">
        <f t="shared" si="11"/>
        <v>#REF!</v>
      </c>
      <c r="P21" s="209" t="e">
        <f t="shared" si="12"/>
        <v>#REF!</v>
      </c>
      <c r="Q21" s="209" t="e">
        <f t="shared" si="13"/>
        <v>#REF!</v>
      </c>
      <c r="R21" s="209" t="e">
        <f t="shared" si="14"/>
        <v>#REF!</v>
      </c>
      <c r="S21" s="209" t="e">
        <f t="shared" si="1"/>
        <v>#REF!</v>
      </c>
      <c r="T21" s="209"/>
      <c r="U21" s="210"/>
    </row>
    <row r="22" spans="1:21" ht="12.75">
      <c r="A22" s="191">
        <f t="shared" si="15"/>
        <v>10</v>
      </c>
      <c r="B22" s="208"/>
      <c r="C22" s="209" t="e">
        <f>#REF!</f>
        <v>#REF!</v>
      </c>
      <c r="D22" s="209" t="e">
        <f t="shared" si="0"/>
        <v>#REF!</v>
      </c>
      <c r="E22" s="209" t="e">
        <f>#REF!</f>
        <v>#REF!</v>
      </c>
      <c r="F22" s="209" t="e">
        <f t="shared" si="2"/>
        <v>#REF!</v>
      </c>
      <c r="G22" s="209" t="e">
        <f t="shared" si="3"/>
        <v>#REF!</v>
      </c>
      <c r="H22" s="209" t="e">
        <f t="shared" si="4"/>
        <v>#REF!</v>
      </c>
      <c r="I22" s="209" t="e">
        <f t="shared" si="5"/>
        <v>#REF!</v>
      </c>
      <c r="J22" s="209" t="e">
        <f t="shared" si="6"/>
        <v>#REF!</v>
      </c>
      <c r="K22" s="209" t="e">
        <f t="shared" si="7"/>
        <v>#REF!</v>
      </c>
      <c r="L22" s="209" t="e">
        <f t="shared" si="8"/>
        <v>#REF!</v>
      </c>
      <c r="M22" s="209" t="e">
        <f t="shared" si="9"/>
        <v>#REF!</v>
      </c>
      <c r="N22" s="209" t="e">
        <f t="shared" si="10"/>
        <v>#REF!</v>
      </c>
      <c r="O22" s="209" t="e">
        <f t="shared" si="11"/>
        <v>#REF!</v>
      </c>
      <c r="P22" s="209" t="e">
        <f t="shared" si="12"/>
        <v>#REF!</v>
      </c>
      <c r="Q22" s="209" t="e">
        <f t="shared" si="13"/>
        <v>#REF!</v>
      </c>
      <c r="R22" s="209" t="e">
        <f t="shared" si="14"/>
        <v>#REF!</v>
      </c>
      <c r="S22" s="209" t="e">
        <f t="shared" si="1"/>
        <v>#REF!</v>
      </c>
      <c r="T22" s="209"/>
      <c r="U22" s="210"/>
    </row>
    <row r="23" spans="1:21" ht="12.75">
      <c r="A23" s="191">
        <f t="shared" si="15"/>
        <v>11</v>
      </c>
      <c r="B23" s="208"/>
      <c r="C23" s="209" t="e">
        <f>#REF!</f>
        <v>#REF!</v>
      </c>
      <c r="D23" s="209" t="e">
        <f t="shared" si="0"/>
        <v>#REF!</v>
      </c>
      <c r="E23" s="209" t="e">
        <f>#REF!</f>
        <v>#REF!</v>
      </c>
      <c r="F23" s="209" t="e">
        <f t="shared" si="2"/>
        <v>#REF!</v>
      </c>
      <c r="G23" s="209" t="e">
        <f t="shared" si="3"/>
        <v>#REF!</v>
      </c>
      <c r="H23" s="209" t="e">
        <f t="shared" si="4"/>
        <v>#REF!</v>
      </c>
      <c r="I23" s="209" t="e">
        <f t="shared" si="5"/>
        <v>#REF!</v>
      </c>
      <c r="J23" s="209" t="e">
        <f t="shared" si="6"/>
        <v>#REF!</v>
      </c>
      <c r="K23" s="209" t="e">
        <f t="shared" si="7"/>
        <v>#REF!</v>
      </c>
      <c r="L23" s="209" t="e">
        <f t="shared" si="8"/>
        <v>#REF!</v>
      </c>
      <c r="M23" s="209" t="e">
        <f t="shared" si="9"/>
        <v>#REF!</v>
      </c>
      <c r="N23" s="209" t="e">
        <f t="shared" si="10"/>
        <v>#REF!</v>
      </c>
      <c r="O23" s="209" t="e">
        <f t="shared" si="11"/>
        <v>#REF!</v>
      </c>
      <c r="P23" s="209" t="e">
        <f t="shared" si="12"/>
        <v>#REF!</v>
      </c>
      <c r="Q23" s="209" t="e">
        <f t="shared" si="13"/>
        <v>#REF!</v>
      </c>
      <c r="R23" s="209" t="e">
        <f t="shared" si="14"/>
        <v>#REF!</v>
      </c>
      <c r="S23" s="209" t="e">
        <f t="shared" si="1"/>
        <v>#REF!</v>
      </c>
      <c r="T23" s="209"/>
      <c r="U23" s="210"/>
    </row>
    <row r="24" spans="1:21" s="214" customFormat="1" ht="12.75">
      <c r="A24" s="221">
        <f t="shared" si="15"/>
        <v>12</v>
      </c>
      <c r="B24" s="208"/>
      <c r="C24" s="209" t="e">
        <f>#REF!</f>
        <v>#REF!</v>
      </c>
      <c r="D24" s="212" t="e">
        <f t="shared" si="0"/>
        <v>#REF!</v>
      </c>
      <c r="E24" s="209" t="e">
        <f>#REF!</f>
        <v>#REF!</v>
      </c>
      <c r="F24" s="209" t="e">
        <f t="shared" si="2"/>
        <v>#REF!</v>
      </c>
      <c r="G24" s="209" t="e">
        <f t="shared" si="3"/>
        <v>#REF!</v>
      </c>
      <c r="H24" s="209" t="e">
        <f t="shared" si="4"/>
        <v>#REF!</v>
      </c>
      <c r="I24" s="209" t="e">
        <f t="shared" si="5"/>
        <v>#REF!</v>
      </c>
      <c r="J24" s="209" t="e">
        <f t="shared" si="6"/>
        <v>#REF!</v>
      </c>
      <c r="K24" s="209" t="e">
        <f t="shared" si="7"/>
        <v>#REF!</v>
      </c>
      <c r="L24" s="209" t="e">
        <f t="shared" si="8"/>
        <v>#REF!</v>
      </c>
      <c r="M24" s="209" t="e">
        <f t="shared" si="9"/>
        <v>#REF!</v>
      </c>
      <c r="N24" s="209" t="e">
        <f t="shared" si="10"/>
        <v>#REF!</v>
      </c>
      <c r="O24" s="209" t="e">
        <f t="shared" si="11"/>
        <v>#REF!</v>
      </c>
      <c r="P24" s="209" t="e">
        <f t="shared" si="12"/>
        <v>#REF!</v>
      </c>
      <c r="Q24" s="209" t="e">
        <f t="shared" si="13"/>
        <v>#REF!</v>
      </c>
      <c r="R24" s="209" t="e">
        <f t="shared" si="14"/>
        <v>#REF!</v>
      </c>
      <c r="S24" s="212" t="e">
        <f t="shared" si="1"/>
        <v>#REF!</v>
      </c>
      <c r="T24" s="212"/>
      <c r="U24" s="213"/>
    </row>
    <row r="25" spans="1:21" s="214" customFormat="1" ht="12.75">
      <c r="A25" s="221">
        <f t="shared" si="15"/>
        <v>13</v>
      </c>
      <c r="B25" s="211"/>
      <c r="C25" s="209" t="e">
        <f>#REF!</f>
        <v>#REF!</v>
      </c>
      <c r="D25" s="212" t="e">
        <f t="shared" si="0"/>
        <v>#REF!</v>
      </c>
      <c r="E25" s="209" t="e">
        <f>#REF!</f>
        <v>#REF!</v>
      </c>
      <c r="F25" s="209" t="e">
        <f t="shared" si="2"/>
        <v>#REF!</v>
      </c>
      <c r="G25" s="209" t="e">
        <f t="shared" si="3"/>
        <v>#REF!</v>
      </c>
      <c r="H25" s="209" t="e">
        <f t="shared" si="4"/>
        <v>#REF!</v>
      </c>
      <c r="I25" s="209" t="e">
        <f t="shared" si="5"/>
        <v>#REF!</v>
      </c>
      <c r="J25" s="209" t="e">
        <f t="shared" si="6"/>
        <v>#REF!</v>
      </c>
      <c r="K25" s="209" t="e">
        <f t="shared" si="7"/>
        <v>#REF!</v>
      </c>
      <c r="L25" s="209" t="e">
        <f t="shared" si="8"/>
        <v>#REF!</v>
      </c>
      <c r="M25" s="209" t="e">
        <f t="shared" si="9"/>
        <v>#REF!</v>
      </c>
      <c r="N25" s="209" t="e">
        <f t="shared" si="10"/>
        <v>#REF!</v>
      </c>
      <c r="O25" s="209" t="e">
        <f t="shared" si="11"/>
        <v>#REF!</v>
      </c>
      <c r="P25" s="209" t="e">
        <f t="shared" si="12"/>
        <v>#REF!</v>
      </c>
      <c r="Q25" s="209" t="e">
        <f t="shared" si="13"/>
        <v>#REF!</v>
      </c>
      <c r="R25" s="209" t="e">
        <f t="shared" si="14"/>
        <v>#REF!</v>
      </c>
      <c r="S25" s="212" t="e">
        <f t="shared" si="1"/>
        <v>#REF!</v>
      </c>
      <c r="T25" s="212"/>
      <c r="U25" s="213"/>
    </row>
    <row r="26" spans="1:21" s="214" customFormat="1" ht="12.75">
      <c r="A26" s="221">
        <f t="shared" si="15"/>
        <v>14</v>
      </c>
      <c r="B26" s="208"/>
      <c r="C26" s="209" t="e">
        <f>#REF!</f>
        <v>#REF!</v>
      </c>
      <c r="D26" s="212" t="e">
        <f t="shared" si="0"/>
        <v>#REF!</v>
      </c>
      <c r="E26" s="209" t="e">
        <f>#REF!</f>
        <v>#REF!</v>
      </c>
      <c r="F26" s="209" t="e">
        <f t="shared" si="2"/>
        <v>#REF!</v>
      </c>
      <c r="G26" s="209" t="e">
        <f t="shared" si="3"/>
        <v>#REF!</v>
      </c>
      <c r="H26" s="209" t="e">
        <f t="shared" si="4"/>
        <v>#REF!</v>
      </c>
      <c r="I26" s="209" t="e">
        <f t="shared" si="5"/>
        <v>#REF!</v>
      </c>
      <c r="J26" s="209" t="e">
        <f t="shared" si="6"/>
        <v>#REF!</v>
      </c>
      <c r="K26" s="209" t="e">
        <f t="shared" si="7"/>
        <v>#REF!</v>
      </c>
      <c r="L26" s="209" t="e">
        <f t="shared" si="8"/>
        <v>#REF!</v>
      </c>
      <c r="M26" s="209" t="e">
        <f t="shared" si="9"/>
        <v>#REF!</v>
      </c>
      <c r="N26" s="209" t="e">
        <f t="shared" si="10"/>
        <v>#REF!</v>
      </c>
      <c r="O26" s="209" t="e">
        <f t="shared" si="11"/>
        <v>#REF!</v>
      </c>
      <c r="P26" s="209" t="e">
        <f t="shared" si="12"/>
        <v>#REF!</v>
      </c>
      <c r="Q26" s="209" t="e">
        <f t="shared" si="13"/>
        <v>#REF!</v>
      </c>
      <c r="R26" s="209" t="e">
        <f t="shared" si="14"/>
        <v>#REF!</v>
      </c>
      <c r="S26" s="212" t="e">
        <f t="shared" si="1"/>
        <v>#REF!</v>
      </c>
      <c r="T26" s="212"/>
      <c r="U26" s="213"/>
    </row>
    <row r="27" spans="1:21" s="214" customFormat="1" ht="12.75">
      <c r="A27" s="221">
        <f t="shared" si="15"/>
        <v>15</v>
      </c>
      <c r="B27" s="208"/>
      <c r="C27" s="209" t="e">
        <f>#REF!</f>
        <v>#REF!</v>
      </c>
      <c r="D27" s="212" t="e">
        <f t="shared" si="0"/>
        <v>#REF!</v>
      </c>
      <c r="E27" s="209" t="e">
        <f>#REF!</f>
        <v>#REF!</v>
      </c>
      <c r="F27" s="209" t="e">
        <f t="shared" si="2"/>
        <v>#REF!</v>
      </c>
      <c r="G27" s="209" t="e">
        <f t="shared" si="3"/>
        <v>#REF!</v>
      </c>
      <c r="H27" s="209" t="e">
        <f t="shared" si="4"/>
        <v>#REF!</v>
      </c>
      <c r="I27" s="209" t="e">
        <f t="shared" si="5"/>
        <v>#REF!</v>
      </c>
      <c r="J27" s="209" t="e">
        <f t="shared" si="6"/>
        <v>#REF!</v>
      </c>
      <c r="K27" s="209" t="e">
        <f t="shared" si="7"/>
        <v>#REF!</v>
      </c>
      <c r="L27" s="209" t="e">
        <f t="shared" si="8"/>
        <v>#REF!</v>
      </c>
      <c r="M27" s="209" t="e">
        <f t="shared" si="9"/>
        <v>#REF!</v>
      </c>
      <c r="N27" s="209" t="e">
        <f t="shared" si="10"/>
        <v>#REF!</v>
      </c>
      <c r="O27" s="209" t="e">
        <f t="shared" si="11"/>
        <v>#REF!</v>
      </c>
      <c r="P27" s="209" t="e">
        <f t="shared" si="12"/>
        <v>#REF!</v>
      </c>
      <c r="Q27" s="209" t="e">
        <f t="shared" si="13"/>
        <v>#REF!</v>
      </c>
      <c r="R27" s="209" t="e">
        <f t="shared" si="14"/>
        <v>#REF!</v>
      </c>
      <c r="S27" s="212" t="e">
        <f t="shared" si="1"/>
        <v>#REF!</v>
      </c>
      <c r="T27" s="212"/>
      <c r="U27" s="213"/>
    </row>
    <row r="28" spans="1:21" s="214" customFormat="1" ht="12.75">
      <c r="A28" s="221">
        <f t="shared" si="15"/>
        <v>16</v>
      </c>
      <c r="B28" s="208"/>
      <c r="C28" s="209" t="e">
        <f>#REF!</f>
        <v>#REF!</v>
      </c>
      <c r="D28" s="212" t="e">
        <f t="shared" si="0"/>
        <v>#REF!</v>
      </c>
      <c r="E28" s="209" t="e">
        <f>#REF!</f>
        <v>#REF!</v>
      </c>
      <c r="F28" s="209" t="e">
        <f t="shared" si="2"/>
        <v>#REF!</v>
      </c>
      <c r="G28" s="209" t="e">
        <f t="shared" si="3"/>
        <v>#REF!</v>
      </c>
      <c r="H28" s="209" t="e">
        <f t="shared" si="4"/>
        <v>#REF!</v>
      </c>
      <c r="I28" s="209" t="e">
        <f t="shared" si="5"/>
        <v>#REF!</v>
      </c>
      <c r="J28" s="209" t="e">
        <f t="shared" si="6"/>
        <v>#REF!</v>
      </c>
      <c r="K28" s="209" t="e">
        <f t="shared" si="7"/>
        <v>#REF!</v>
      </c>
      <c r="L28" s="209" t="e">
        <f t="shared" si="8"/>
        <v>#REF!</v>
      </c>
      <c r="M28" s="209" t="e">
        <f t="shared" si="9"/>
        <v>#REF!</v>
      </c>
      <c r="N28" s="209" t="e">
        <f t="shared" si="10"/>
        <v>#REF!</v>
      </c>
      <c r="O28" s="209" t="e">
        <f t="shared" si="11"/>
        <v>#REF!</v>
      </c>
      <c r="P28" s="209" t="e">
        <f t="shared" si="12"/>
        <v>#REF!</v>
      </c>
      <c r="Q28" s="209" t="e">
        <f t="shared" si="13"/>
        <v>#REF!</v>
      </c>
      <c r="R28" s="209" t="e">
        <f t="shared" si="14"/>
        <v>#REF!</v>
      </c>
      <c r="S28" s="212" t="e">
        <f t="shared" si="1"/>
        <v>#REF!</v>
      </c>
      <c r="T28" s="212"/>
      <c r="U28" s="213"/>
    </row>
    <row r="29" spans="1:21" s="214" customFormat="1" ht="12.75">
      <c r="A29" s="221">
        <f t="shared" si="15"/>
        <v>17</v>
      </c>
      <c r="B29" s="208"/>
      <c r="C29" s="209" t="e">
        <f>#REF!</f>
        <v>#REF!</v>
      </c>
      <c r="D29" s="212" t="e">
        <f t="shared" si="0"/>
        <v>#REF!</v>
      </c>
      <c r="E29" s="209" t="e">
        <f>#REF!</f>
        <v>#REF!</v>
      </c>
      <c r="F29" s="209" t="e">
        <f t="shared" si="2"/>
        <v>#REF!</v>
      </c>
      <c r="G29" s="209" t="e">
        <f t="shared" si="3"/>
        <v>#REF!</v>
      </c>
      <c r="H29" s="209" t="e">
        <f t="shared" si="4"/>
        <v>#REF!</v>
      </c>
      <c r="I29" s="209" t="e">
        <f t="shared" si="5"/>
        <v>#REF!</v>
      </c>
      <c r="J29" s="209" t="e">
        <f t="shared" si="6"/>
        <v>#REF!</v>
      </c>
      <c r="K29" s="209" t="e">
        <f t="shared" si="7"/>
        <v>#REF!</v>
      </c>
      <c r="L29" s="209" t="e">
        <f t="shared" si="8"/>
        <v>#REF!</v>
      </c>
      <c r="M29" s="209" t="e">
        <f t="shared" si="9"/>
        <v>#REF!</v>
      </c>
      <c r="N29" s="209" t="e">
        <f t="shared" si="10"/>
        <v>#REF!</v>
      </c>
      <c r="O29" s="209" t="e">
        <f t="shared" si="11"/>
        <v>#REF!</v>
      </c>
      <c r="P29" s="209" t="e">
        <f t="shared" si="12"/>
        <v>#REF!</v>
      </c>
      <c r="Q29" s="209" t="e">
        <f t="shared" si="13"/>
        <v>#REF!</v>
      </c>
      <c r="R29" s="209" t="e">
        <f t="shared" si="14"/>
        <v>#REF!</v>
      </c>
      <c r="S29" s="212" t="e">
        <f t="shared" si="1"/>
        <v>#REF!</v>
      </c>
      <c r="T29" s="212"/>
      <c r="U29" s="213"/>
    </row>
    <row r="30" spans="1:21" s="214" customFormat="1" ht="12.75">
      <c r="A30" s="221">
        <f t="shared" si="15"/>
        <v>18</v>
      </c>
      <c r="B30" s="208"/>
      <c r="C30" s="209" t="e">
        <f>#REF!</f>
        <v>#REF!</v>
      </c>
      <c r="D30" s="212" t="e">
        <f t="shared" si="0"/>
        <v>#REF!</v>
      </c>
      <c r="E30" s="209" t="e">
        <f>#REF!</f>
        <v>#REF!</v>
      </c>
      <c r="F30" s="209" t="e">
        <f t="shared" si="2"/>
        <v>#REF!</v>
      </c>
      <c r="G30" s="209" t="e">
        <f t="shared" si="3"/>
        <v>#REF!</v>
      </c>
      <c r="H30" s="209" t="e">
        <f t="shared" si="4"/>
        <v>#REF!</v>
      </c>
      <c r="I30" s="209" t="e">
        <f t="shared" si="5"/>
        <v>#REF!</v>
      </c>
      <c r="J30" s="209" t="e">
        <f t="shared" si="6"/>
        <v>#REF!</v>
      </c>
      <c r="K30" s="209" t="e">
        <f t="shared" si="7"/>
        <v>#REF!</v>
      </c>
      <c r="L30" s="209" t="e">
        <f t="shared" si="8"/>
        <v>#REF!</v>
      </c>
      <c r="M30" s="209" t="e">
        <f t="shared" si="9"/>
        <v>#REF!</v>
      </c>
      <c r="N30" s="209" t="e">
        <f t="shared" si="10"/>
        <v>#REF!</v>
      </c>
      <c r="O30" s="209" t="e">
        <f t="shared" si="11"/>
        <v>#REF!</v>
      </c>
      <c r="P30" s="209" t="e">
        <f t="shared" si="12"/>
        <v>#REF!</v>
      </c>
      <c r="Q30" s="209" t="e">
        <f t="shared" si="13"/>
        <v>#REF!</v>
      </c>
      <c r="R30" s="209" t="e">
        <f t="shared" si="14"/>
        <v>#REF!</v>
      </c>
      <c r="S30" s="212" t="e">
        <f t="shared" si="1"/>
        <v>#REF!</v>
      </c>
      <c r="T30" s="212"/>
      <c r="U30" s="213"/>
    </row>
    <row r="31" spans="1:21" s="214" customFormat="1" ht="12.75">
      <c r="A31" s="221">
        <f t="shared" si="15"/>
        <v>19</v>
      </c>
      <c r="B31" s="211"/>
      <c r="C31" s="209" t="e">
        <f>#REF!</f>
        <v>#REF!</v>
      </c>
      <c r="D31" s="212" t="e">
        <f t="shared" si="0"/>
        <v>#REF!</v>
      </c>
      <c r="E31" s="209" t="e">
        <f>#REF!</f>
        <v>#REF!</v>
      </c>
      <c r="F31" s="209" t="e">
        <f t="shared" si="2"/>
        <v>#REF!</v>
      </c>
      <c r="G31" s="209" t="e">
        <f t="shared" si="3"/>
        <v>#REF!</v>
      </c>
      <c r="H31" s="209" t="e">
        <f t="shared" si="4"/>
        <v>#REF!</v>
      </c>
      <c r="I31" s="209" t="e">
        <f t="shared" si="5"/>
        <v>#REF!</v>
      </c>
      <c r="J31" s="209" t="e">
        <f t="shared" si="6"/>
        <v>#REF!</v>
      </c>
      <c r="K31" s="209" t="e">
        <f t="shared" si="7"/>
        <v>#REF!</v>
      </c>
      <c r="L31" s="209" t="e">
        <f t="shared" si="8"/>
        <v>#REF!</v>
      </c>
      <c r="M31" s="209" t="e">
        <f t="shared" si="9"/>
        <v>#REF!</v>
      </c>
      <c r="N31" s="209" t="e">
        <f t="shared" si="10"/>
        <v>#REF!</v>
      </c>
      <c r="O31" s="209" t="e">
        <f t="shared" si="11"/>
        <v>#REF!</v>
      </c>
      <c r="P31" s="209" t="e">
        <f t="shared" si="12"/>
        <v>#REF!</v>
      </c>
      <c r="Q31" s="209" t="e">
        <f t="shared" si="13"/>
        <v>#REF!</v>
      </c>
      <c r="R31" s="209" t="e">
        <f t="shared" si="14"/>
        <v>#REF!</v>
      </c>
      <c r="S31" s="212" t="e">
        <f t="shared" si="1"/>
        <v>#REF!</v>
      </c>
      <c r="T31" s="212"/>
      <c r="U31" s="213"/>
    </row>
    <row r="32" spans="1:21" s="214" customFormat="1" ht="12.75">
      <c r="A32" s="221">
        <f t="shared" si="15"/>
        <v>20</v>
      </c>
      <c r="B32" s="208"/>
      <c r="C32" s="209" t="e">
        <f>#REF!</f>
        <v>#REF!</v>
      </c>
      <c r="D32" s="212" t="e">
        <f t="shared" si="0"/>
        <v>#REF!</v>
      </c>
      <c r="E32" s="209" t="e">
        <f>#REF!</f>
        <v>#REF!</v>
      </c>
      <c r="F32" s="209" t="e">
        <f t="shared" si="2"/>
        <v>#REF!</v>
      </c>
      <c r="G32" s="209" t="e">
        <f t="shared" si="3"/>
        <v>#REF!</v>
      </c>
      <c r="H32" s="209" t="e">
        <f t="shared" si="4"/>
        <v>#REF!</v>
      </c>
      <c r="I32" s="209" t="e">
        <f t="shared" si="5"/>
        <v>#REF!</v>
      </c>
      <c r="J32" s="209" t="e">
        <f t="shared" si="6"/>
        <v>#REF!</v>
      </c>
      <c r="K32" s="209" t="e">
        <f t="shared" si="7"/>
        <v>#REF!</v>
      </c>
      <c r="L32" s="209" t="e">
        <f t="shared" si="8"/>
        <v>#REF!</v>
      </c>
      <c r="M32" s="209" t="e">
        <f t="shared" si="9"/>
        <v>#REF!</v>
      </c>
      <c r="N32" s="209" t="e">
        <f t="shared" si="10"/>
        <v>#REF!</v>
      </c>
      <c r="O32" s="209" t="e">
        <f t="shared" si="11"/>
        <v>#REF!</v>
      </c>
      <c r="P32" s="209" t="e">
        <f t="shared" si="12"/>
        <v>#REF!</v>
      </c>
      <c r="Q32" s="209" t="e">
        <f t="shared" si="13"/>
        <v>#REF!</v>
      </c>
      <c r="R32" s="209" t="e">
        <f t="shared" si="14"/>
        <v>#REF!</v>
      </c>
      <c r="S32" s="212" t="e">
        <f t="shared" si="1"/>
        <v>#REF!</v>
      </c>
      <c r="T32" s="212"/>
      <c r="U32" s="213"/>
    </row>
    <row r="33" spans="1:21" s="214" customFormat="1" ht="12.75">
      <c r="A33" s="221">
        <f t="shared" si="15"/>
        <v>21</v>
      </c>
      <c r="B33" s="208"/>
      <c r="C33" s="209" t="e">
        <f>#REF!</f>
        <v>#REF!</v>
      </c>
      <c r="D33" s="212" t="e">
        <f t="shared" si="0"/>
        <v>#REF!</v>
      </c>
      <c r="E33" s="209" t="e">
        <f>#REF!</f>
        <v>#REF!</v>
      </c>
      <c r="F33" s="209" t="e">
        <f t="shared" si="2"/>
        <v>#REF!</v>
      </c>
      <c r="G33" s="209" t="e">
        <f t="shared" si="3"/>
        <v>#REF!</v>
      </c>
      <c r="H33" s="209" t="e">
        <f t="shared" si="4"/>
        <v>#REF!</v>
      </c>
      <c r="I33" s="209" t="e">
        <f t="shared" si="5"/>
        <v>#REF!</v>
      </c>
      <c r="J33" s="209" t="e">
        <f t="shared" si="6"/>
        <v>#REF!</v>
      </c>
      <c r="K33" s="209" t="e">
        <f t="shared" si="7"/>
        <v>#REF!</v>
      </c>
      <c r="L33" s="209" t="e">
        <f t="shared" si="8"/>
        <v>#REF!</v>
      </c>
      <c r="M33" s="209" t="e">
        <f t="shared" si="9"/>
        <v>#REF!</v>
      </c>
      <c r="N33" s="209" t="e">
        <f t="shared" si="10"/>
        <v>#REF!</v>
      </c>
      <c r="O33" s="209" t="e">
        <f t="shared" si="11"/>
        <v>#REF!</v>
      </c>
      <c r="P33" s="209" t="e">
        <f t="shared" si="12"/>
        <v>#REF!</v>
      </c>
      <c r="Q33" s="209" t="e">
        <f t="shared" si="13"/>
        <v>#REF!</v>
      </c>
      <c r="R33" s="209" t="e">
        <f t="shared" si="14"/>
        <v>#REF!</v>
      </c>
      <c r="S33" s="212" t="e">
        <f t="shared" si="1"/>
        <v>#REF!</v>
      </c>
      <c r="T33" s="212"/>
      <c r="U33" s="213"/>
    </row>
    <row r="34" spans="1:21" s="214" customFormat="1" ht="12.75">
      <c r="A34" s="221">
        <f t="shared" si="15"/>
        <v>22</v>
      </c>
      <c r="B34" s="208"/>
      <c r="C34" s="209" t="e">
        <f>#REF!</f>
        <v>#REF!</v>
      </c>
      <c r="D34" s="212" t="e">
        <f t="shared" si="0"/>
        <v>#REF!</v>
      </c>
      <c r="E34" s="209" t="e">
        <f>#REF!</f>
        <v>#REF!</v>
      </c>
      <c r="F34" s="209" t="e">
        <f t="shared" si="2"/>
        <v>#REF!</v>
      </c>
      <c r="G34" s="209" t="e">
        <f t="shared" si="3"/>
        <v>#REF!</v>
      </c>
      <c r="H34" s="209" t="e">
        <f t="shared" si="4"/>
        <v>#REF!</v>
      </c>
      <c r="I34" s="209" t="e">
        <f t="shared" si="5"/>
        <v>#REF!</v>
      </c>
      <c r="J34" s="209" t="e">
        <f t="shared" si="6"/>
        <v>#REF!</v>
      </c>
      <c r="K34" s="209" t="e">
        <f t="shared" si="7"/>
        <v>#REF!</v>
      </c>
      <c r="L34" s="209" t="e">
        <f t="shared" si="8"/>
        <v>#REF!</v>
      </c>
      <c r="M34" s="209" t="e">
        <f t="shared" si="9"/>
        <v>#REF!</v>
      </c>
      <c r="N34" s="209" t="e">
        <f t="shared" si="10"/>
        <v>#REF!</v>
      </c>
      <c r="O34" s="209" t="e">
        <f t="shared" si="11"/>
        <v>#REF!</v>
      </c>
      <c r="P34" s="209" t="e">
        <f t="shared" si="12"/>
        <v>#REF!</v>
      </c>
      <c r="Q34" s="209" t="e">
        <f t="shared" si="13"/>
        <v>#REF!</v>
      </c>
      <c r="R34" s="209" t="e">
        <f t="shared" si="14"/>
        <v>#REF!</v>
      </c>
      <c r="S34" s="212" t="e">
        <f t="shared" si="1"/>
        <v>#REF!</v>
      </c>
      <c r="T34" s="212"/>
      <c r="U34" s="213"/>
    </row>
    <row r="35" spans="1:21" s="214" customFormat="1" ht="12.75">
      <c r="A35" s="221">
        <f t="shared" si="15"/>
        <v>23</v>
      </c>
      <c r="B35" s="208"/>
      <c r="C35" s="209" t="e">
        <f>#REF!</f>
        <v>#REF!</v>
      </c>
      <c r="D35" s="212" t="e">
        <f t="shared" si="0"/>
        <v>#REF!</v>
      </c>
      <c r="E35" s="209" t="e">
        <f>#REF!</f>
        <v>#REF!</v>
      </c>
      <c r="F35" s="209" t="e">
        <f t="shared" si="2"/>
        <v>#REF!</v>
      </c>
      <c r="G35" s="209" t="e">
        <f t="shared" si="3"/>
        <v>#REF!</v>
      </c>
      <c r="H35" s="209" t="e">
        <f t="shared" si="4"/>
        <v>#REF!</v>
      </c>
      <c r="I35" s="209" t="e">
        <f t="shared" si="5"/>
        <v>#REF!</v>
      </c>
      <c r="J35" s="209" t="e">
        <f t="shared" si="6"/>
        <v>#REF!</v>
      </c>
      <c r="K35" s="209" t="e">
        <f t="shared" si="7"/>
        <v>#REF!</v>
      </c>
      <c r="L35" s="209" t="e">
        <f t="shared" si="8"/>
        <v>#REF!</v>
      </c>
      <c r="M35" s="209" t="e">
        <f t="shared" si="9"/>
        <v>#REF!</v>
      </c>
      <c r="N35" s="209" t="e">
        <f t="shared" si="10"/>
        <v>#REF!</v>
      </c>
      <c r="O35" s="209" t="e">
        <f t="shared" si="11"/>
        <v>#REF!</v>
      </c>
      <c r="P35" s="209" t="e">
        <f t="shared" si="12"/>
        <v>#REF!</v>
      </c>
      <c r="Q35" s="209" t="e">
        <f t="shared" si="13"/>
        <v>#REF!</v>
      </c>
      <c r="R35" s="209" t="e">
        <f t="shared" si="14"/>
        <v>#REF!</v>
      </c>
      <c r="S35" s="212" t="e">
        <f t="shared" si="1"/>
        <v>#REF!</v>
      </c>
      <c r="T35" s="212"/>
      <c r="U35" s="213"/>
    </row>
    <row r="36" spans="1:21" s="214" customFormat="1" ht="12.75">
      <c r="A36" s="221">
        <f t="shared" si="15"/>
        <v>24</v>
      </c>
      <c r="B36" s="208"/>
      <c r="C36" s="209" t="e">
        <f>#REF!</f>
        <v>#REF!</v>
      </c>
      <c r="D36" s="212" t="e">
        <f t="shared" si="0"/>
        <v>#REF!</v>
      </c>
      <c r="E36" s="209" t="e">
        <f>#REF!</f>
        <v>#REF!</v>
      </c>
      <c r="F36" s="209" t="e">
        <f t="shared" si="2"/>
        <v>#REF!</v>
      </c>
      <c r="G36" s="209" t="e">
        <f t="shared" si="3"/>
        <v>#REF!</v>
      </c>
      <c r="H36" s="209" t="e">
        <f t="shared" si="4"/>
        <v>#REF!</v>
      </c>
      <c r="I36" s="209" t="e">
        <f t="shared" si="5"/>
        <v>#REF!</v>
      </c>
      <c r="J36" s="209" t="e">
        <f t="shared" si="6"/>
        <v>#REF!</v>
      </c>
      <c r="K36" s="209" t="e">
        <f t="shared" si="7"/>
        <v>#REF!</v>
      </c>
      <c r="L36" s="209" t="e">
        <f t="shared" si="8"/>
        <v>#REF!</v>
      </c>
      <c r="M36" s="209" t="e">
        <f t="shared" si="9"/>
        <v>#REF!</v>
      </c>
      <c r="N36" s="209" t="e">
        <f t="shared" si="10"/>
        <v>#REF!</v>
      </c>
      <c r="O36" s="209" t="e">
        <f t="shared" si="11"/>
        <v>#REF!</v>
      </c>
      <c r="P36" s="209" t="e">
        <f t="shared" si="12"/>
        <v>#REF!</v>
      </c>
      <c r="Q36" s="209" t="e">
        <f t="shared" si="13"/>
        <v>#REF!</v>
      </c>
      <c r="R36" s="209" t="e">
        <f t="shared" si="14"/>
        <v>#REF!</v>
      </c>
      <c r="S36" s="212" t="e">
        <f t="shared" si="1"/>
        <v>#REF!</v>
      </c>
      <c r="T36" s="212"/>
      <c r="U36" s="213"/>
    </row>
    <row r="37" spans="1:21" s="214" customFormat="1" ht="12.75">
      <c r="A37" s="221">
        <f t="shared" si="15"/>
        <v>25</v>
      </c>
      <c r="B37" s="208"/>
      <c r="C37" s="209" t="e">
        <f>#REF!</f>
        <v>#REF!</v>
      </c>
      <c r="D37" s="212" t="e">
        <f t="shared" si="0"/>
        <v>#REF!</v>
      </c>
      <c r="E37" s="209" t="e">
        <f>#REF!</f>
        <v>#REF!</v>
      </c>
      <c r="F37" s="209" t="e">
        <f t="shared" si="2"/>
        <v>#REF!</v>
      </c>
      <c r="G37" s="209" t="e">
        <f t="shared" si="3"/>
        <v>#REF!</v>
      </c>
      <c r="H37" s="209" t="e">
        <f t="shared" si="4"/>
        <v>#REF!</v>
      </c>
      <c r="I37" s="209" t="e">
        <f t="shared" si="5"/>
        <v>#REF!</v>
      </c>
      <c r="J37" s="209" t="e">
        <f t="shared" si="6"/>
        <v>#REF!</v>
      </c>
      <c r="K37" s="209" t="e">
        <f t="shared" si="7"/>
        <v>#REF!</v>
      </c>
      <c r="L37" s="209" t="e">
        <f t="shared" si="8"/>
        <v>#REF!</v>
      </c>
      <c r="M37" s="209" t="e">
        <f t="shared" si="9"/>
        <v>#REF!</v>
      </c>
      <c r="N37" s="209" t="e">
        <f t="shared" si="10"/>
        <v>#REF!</v>
      </c>
      <c r="O37" s="209" t="e">
        <f t="shared" si="11"/>
        <v>#REF!</v>
      </c>
      <c r="P37" s="209" t="e">
        <f t="shared" si="12"/>
        <v>#REF!</v>
      </c>
      <c r="Q37" s="209" t="e">
        <f t="shared" si="13"/>
        <v>#REF!</v>
      </c>
      <c r="R37" s="209" t="e">
        <f t="shared" si="14"/>
        <v>#REF!</v>
      </c>
      <c r="S37" s="212" t="e">
        <f t="shared" si="1"/>
        <v>#REF!</v>
      </c>
      <c r="T37" s="212"/>
      <c r="U37" s="213"/>
    </row>
    <row r="38" spans="1:21" s="214" customFormat="1" ht="12.75">
      <c r="A38" s="221">
        <f t="shared" si="15"/>
        <v>26</v>
      </c>
      <c r="B38" s="208"/>
      <c r="C38" s="209" t="e">
        <f>#REF!</f>
        <v>#REF!</v>
      </c>
      <c r="D38" s="212" t="e">
        <f t="shared" si="0"/>
        <v>#REF!</v>
      </c>
      <c r="E38" s="209" t="e">
        <f>#REF!</f>
        <v>#REF!</v>
      </c>
      <c r="F38" s="209" t="e">
        <f t="shared" si="2"/>
        <v>#REF!</v>
      </c>
      <c r="G38" s="209" t="e">
        <f t="shared" si="3"/>
        <v>#REF!</v>
      </c>
      <c r="H38" s="209" t="e">
        <f t="shared" si="4"/>
        <v>#REF!</v>
      </c>
      <c r="I38" s="209" t="e">
        <f t="shared" si="5"/>
        <v>#REF!</v>
      </c>
      <c r="J38" s="209" t="e">
        <f t="shared" si="6"/>
        <v>#REF!</v>
      </c>
      <c r="K38" s="209" t="e">
        <f t="shared" si="7"/>
        <v>#REF!</v>
      </c>
      <c r="L38" s="209" t="e">
        <f t="shared" si="8"/>
        <v>#REF!</v>
      </c>
      <c r="M38" s="209" t="e">
        <f t="shared" si="9"/>
        <v>#REF!</v>
      </c>
      <c r="N38" s="209" t="e">
        <f t="shared" si="10"/>
        <v>#REF!</v>
      </c>
      <c r="O38" s="209" t="e">
        <f t="shared" si="11"/>
        <v>#REF!</v>
      </c>
      <c r="P38" s="209" t="e">
        <f t="shared" si="12"/>
        <v>#REF!</v>
      </c>
      <c r="Q38" s="209" t="e">
        <f t="shared" si="13"/>
        <v>#REF!</v>
      </c>
      <c r="R38" s="209" t="e">
        <f t="shared" si="14"/>
        <v>#REF!</v>
      </c>
      <c r="S38" s="212" t="e">
        <f t="shared" si="1"/>
        <v>#REF!</v>
      </c>
      <c r="T38" s="212"/>
      <c r="U38" s="213"/>
    </row>
    <row r="39" spans="1:21" s="214" customFormat="1" ht="12.75">
      <c r="A39" s="221">
        <f t="shared" si="15"/>
        <v>27</v>
      </c>
      <c r="B39" s="208"/>
      <c r="C39" s="209" t="e">
        <f>#REF!</f>
        <v>#REF!</v>
      </c>
      <c r="D39" s="212" t="e">
        <f t="shared" si="0"/>
        <v>#REF!</v>
      </c>
      <c r="E39" s="209" t="e">
        <f>#REF!</f>
        <v>#REF!</v>
      </c>
      <c r="F39" s="209" t="e">
        <f t="shared" si="2"/>
        <v>#REF!</v>
      </c>
      <c r="G39" s="209" t="e">
        <f t="shared" si="3"/>
        <v>#REF!</v>
      </c>
      <c r="H39" s="209" t="e">
        <f t="shared" si="4"/>
        <v>#REF!</v>
      </c>
      <c r="I39" s="209" t="e">
        <f t="shared" si="5"/>
        <v>#REF!</v>
      </c>
      <c r="J39" s="209" t="e">
        <f t="shared" si="6"/>
        <v>#REF!</v>
      </c>
      <c r="K39" s="209" t="e">
        <f t="shared" si="7"/>
        <v>#REF!</v>
      </c>
      <c r="L39" s="209" t="e">
        <f t="shared" si="8"/>
        <v>#REF!</v>
      </c>
      <c r="M39" s="209" t="e">
        <f t="shared" si="9"/>
        <v>#REF!</v>
      </c>
      <c r="N39" s="209" t="e">
        <f t="shared" si="10"/>
        <v>#REF!</v>
      </c>
      <c r="O39" s="209" t="e">
        <f t="shared" si="11"/>
        <v>#REF!</v>
      </c>
      <c r="P39" s="209" t="e">
        <f t="shared" si="12"/>
        <v>#REF!</v>
      </c>
      <c r="Q39" s="209" t="e">
        <f t="shared" si="13"/>
        <v>#REF!</v>
      </c>
      <c r="R39" s="209" t="e">
        <f t="shared" si="14"/>
        <v>#REF!</v>
      </c>
      <c r="S39" s="212" t="e">
        <f t="shared" si="1"/>
        <v>#REF!</v>
      </c>
      <c r="T39" s="212"/>
      <c r="U39" s="213"/>
    </row>
    <row r="40" spans="1:21" s="214" customFormat="1" ht="12.75">
      <c r="A40" s="221">
        <f t="shared" si="15"/>
        <v>28</v>
      </c>
      <c r="B40" s="208"/>
      <c r="C40" s="209" t="e">
        <f>#REF!</f>
        <v>#REF!</v>
      </c>
      <c r="D40" s="212" t="e">
        <f t="shared" si="0"/>
        <v>#REF!</v>
      </c>
      <c r="E40" s="209" t="e">
        <f>#REF!</f>
        <v>#REF!</v>
      </c>
      <c r="F40" s="209" t="e">
        <f t="shared" si="2"/>
        <v>#REF!</v>
      </c>
      <c r="G40" s="209" t="e">
        <f t="shared" si="3"/>
        <v>#REF!</v>
      </c>
      <c r="H40" s="209" t="e">
        <f t="shared" si="4"/>
        <v>#REF!</v>
      </c>
      <c r="I40" s="209" t="e">
        <f t="shared" si="5"/>
        <v>#REF!</v>
      </c>
      <c r="J40" s="209" t="e">
        <f t="shared" si="6"/>
        <v>#REF!</v>
      </c>
      <c r="K40" s="209" t="e">
        <f t="shared" si="7"/>
        <v>#REF!</v>
      </c>
      <c r="L40" s="209" t="e">
        <f t="shared" si="8"/>
        <v>#REF!</v>
      </c>
      <c r="M40" s="209" t="e">
        <f t="shared" si="9"/>
        <v>#REF!</v>
      </c>
      <c r="N40" s="209" t="e">
        <f t="shared" si="10"/>
        <v>#REF!</v>
      </c>
      <c r="O40" s="209" t="e">
        <f t="shared" si="11"/>
        <v>#REF!</v>
      </c>
      <c r="P40" s="209" t="e">
        <f t="shared" si="12"/>
        <v>#REF!</v>
      </c>
      <c r="Q40" s="209" t="e">
        <f t="shared" si="13"/>
        <v>#REF!</v>
      </c>
      <c r="R40" s="209" t="e">
        <f t="shared" si="14"/>
        <v>#REF!</v>
      </c>
      <c r="S40" s="212" t="e">
        <f t="shared" si="1"/>
        <v>#REF!</v>
      </c>
      <c r="T40" s="212"/>
      <c r="U40" s="213"/>
    </row>
    <row r="41" spans="1:21" ht="12.75">
      <c r="A41" s="221">
        <f t="shared" si="15"/>
        <v>29</v>
      </c>
      <c r="B41" s="211"/>
      <c r="C41" s="209" t="e">
        <f>#REF!</f>
        <v>#REF!</v>
      </c>
      <c r="D41" s="209" t="e">
        <f t="shared" si="0"/>
        <v>#REF!</v>
      </c>
      <c r="E41" s="209" t="e">
        <f>#REF!</f>
        <v>#REF!</v>
      </c>
      <c r="F41" s="209" t="e">
        <f t="shared" si="2"/>
        <v>#REF!</v>
      </c>
      <c r="G41" s="209" t="e">
        <f t="shared" si="3"/>
        <v>#REF!</v>
      </c>
      <c r="H41" s="209" t="e">
        <f t="shared" si="4"/>
        <v>#REF!</v>
      </c>
      <c r="I41" s="209" t="e">
        <f t="shared" si="5"/>
        <v>#REF!</v>
      </c>
      <c r="J41" s="209" t="e">
        <f t="shared" si="6"/>
        <v>#REF!</v>
      </c>
      <c r="K41" s="209" t="e">
        <f t="shared" si="7"/>
        <v>#REF!</v>
      </c>
      <c r="L41" s="209" t="e">
        <f t="shared" si="8"/>
        <v>#REF!</v>
      </c>
      <c r="M41" s="209" t="e">
        <f t="shared" si="9"/>
        <v>#REF!</v>
      </c>
      <c r="N41" s="209" t="e">
        <f t="shared" si="10"/>
        <v>#REF!</v>
      </c>
      <c r="O41" s="209" t="e">
        <f t="shared" si="11"/>
        <v>#REF!</v>
      </c>
      <c r="P41" s="209" t="e">
        <f t="shared" si="12"/>
        <v>#REF!</v>
      </c>
      <c r="Q41" s="209" t="e">
        <f t="shared" si="13"/>
        <v>#REF!</v>
      </c>
      <c r="R41" s="209" t="e">
        <f t="shared" si="14"/>
        <v>#REF!</v>
      </c>
      <c r="S41" s="209" t="e">
        <f t="shared" si="1"/>
        <v>#REF!</v>
      </c>
      <c r="T41" s="209"/>
      <c r="U41" s="210"/>
    </row>
    <row r="42" spans="1:21" ht="12.75">
      <c r="A42" s="221">
        <f t="shared" si="15"/>
        <v>30</v>
      </c>
      <c r="B42" s="208"/>
      <c r="C42" s="209" t="e">
        <f>#REF!</f>
        <v>#REF!</v>
      </c>
      <c r="D42" s="209" t="e">
        <f t="shared" si="0"/>
        <v>#REF!</v>
      </c>
      <c r="E42" s="209" t="e">
        <f>#REF!</f>
        <v>#REF!</v>
      </c>
      <c r="F42" s="209" t="e">
        <f t="shared" si="2"/>
        <v>#REF!</v>
      </c>
      <c r="G42" s="209" t="e">
        <f t="shared" si="3"/>
        <v>#REF!</v>
      </c>
      <c r="H42" s="209" t="e">
        <f t="shared" si="4"/>
        <v>#REF!</v>
      </c>
      <c r="I42" s="209" t="e">
        <f t="shared" si="5"/>
        <v>#REF!</v>
      </c>
      <c r="J42" s="209" t="e">
        <f t="shared" si="6"/>
        <v>#REF!</v>
      </c>
      <c r="K42" s="209" t="e">
        <f t="shared" si="7"/>
        <v>#REF!</v>
      </c>
      <c r="L42" s="209" t="e">
        <f t="shared" si="8"/>
        <v>#REF!</v>
      </c>
      <c r="M42" s="209" t="e">
        <f t="shared" si="9"/>
        <v>#REF!</v>
      </c>
      <c r="N42" s="209" t="e">
        <f t="shared" si="10"/>
        <v>#REF!</v>
      </c>
      <c r="O42" s="209" t="e">
        <f t="shared" si="11"/>
        <v>#REF!</v>
      </c>
      <c r="P42" s="209" t="e">
        <f t="shared" si="12"/>
        <v>#REF!</v>
      </c>
      <c r="Q42" s="209" t="e">
        <f t="shared" si="13"/>
        <v>#REF!</v>
      </c>
      <c r="R42" s="209" t="e">
        <f t="shared" si="14"/>
        <v>#REF!</v>
      </c>
      <c r="S42" s="209" t="e">
        <f t="shared" si="1"/>
        <v>#REF!</v>
      </c>
      <c r="T42" s="209"/>
      <c r="U42" s="210"/>
    </row>
    <row r="43" spans="1:21" ht="12.75">
      <c r="A43" s="221">
        <f t="shared" si="15"/>
        <v>31</v>
      </c>
      <c r="B43" s="208"/>
      <c r="C43" s="209" t="e">
        <f>#REF!</f>
        <v>#REF!</v>
      </c>
      <c r="D43" s="209" t="e">
        <f t="shared" si="0"/>
        <v>#REF!</v>
      </c>
      <c r="E43" s="209" t="e">
        <f>#REF!</f>
        <v>#REF!</v>
      </c>
      <c r="F43" s="209" t="e">
        <f t="shared" si="2"/>
        <v>#REF!</v>
      </c>
      <c r="G43" s="209" t="e">
        <f t="shared" si="3"/>
        <v>#REF!</v>
      </c>
      <c r="H43" s="209" t="e">
        <f t="shared" si="4"/>
        <v>#REF!</v>
      </c>
      <c r="I43" s="209" t="e">
        <f t="shared" si="5"/>
        <v>#REF!</v>
      </c>
      <c r="J43" s="209" t="e">
        <f t="shared" si="6"/>
        <v>#REF!</v>
      </c>
      <c r="K43" s="209" t="e">
        <f t="shared" si="7"/>
        <v>#REF!</v>
      </c>
      <c r="L43" s="209" t="e">
        <f t="shared" si="8"/>
        <v>#REF!</v>
      </c>
      <c r="M43" s="209" t="e">
        <f t="shared" si="9"/>
        <v>#REF!</v>
      </c>
      <c r="N43" s="209" t="e">
        <f t="shared" si="10"/>
        <v>#REF!</v>
      </c>
      <c r="O43" s="209" t="e">
        <f t="shared" si="11"/>
        <v>#REF!</v>
      </c>
      <c r="P43" s="209" t="e">
        <f t="shared" si="12"/>
        <v>#REF!</v>
      </c>
      <c r="Q43" s="209" t="e">
        <f t="shared" si="13"/>
        <v>#REF!</v>
      </c>
      <c r="R43" s="209" t="e">
        <f t="shared" si="14"/>
        <v>#REF!</v>
      </c>
      <c r="S43" s="209" t="e">
        <f t="shared" si="1"/>
        <v>#REF!</v>
      </c>
      <c r="T43" s="209"/>
      <c r="U43" s="210"/>
    </row>
    <row r="44" spans="1:21" ht="12.75">
      <c r="A44" s="221">
        <f t="shared" si="15"/>
        <v>32</v>
      </c>
      <c r="B44" s="208"/>
      <c r="C44" s="209" t="e">
        <f>#REF!</f>
        <v>#REF!</v>
      </c>
      <c r="D44" s="209" t="e">
        <f t="shared" si="0"/>
        <v>#REF!</v>
      </c>
      <c r="E44" s="209" t="e">
        <f>#REF!</f>
        <v>#REF!</v>
      </c>
      <c r="F44" s="209" t="e">
        <f t="shared" si="2"/>
        <v>#REF!</v>
      </c>
      <c r="G44" s="209" t="e">
        <f t="shared" si="3"/>
        <v>#REF!</v>
      </c>
      <c r="H44" s="209" t="e">
        <f t="shared" si="4"/>
        <v>#REF!</v>
      </c>
      <c r="I44" s="209" t="e">
        <f t="shared" si="5"/>
        <v>#REF!</v>
      </c>
      <c r="J44" s="209" t="e">
        <f t="shared" si="6"/>
        <v>#REF!</v>
      </c>
      <c r="K44" s="209" t="e">
        <f t="shared" si="7"/>
        <v>#REF!</v>
      </c>
      <c r="L44" s="209" t="e">
        <f t="shared" si="8"/>
        <v>#REF!</v>
      </c>
      <c r="M44" s="209" t="e">
        <f t="shared" si="9"/>
        <v>#REF!</v>
      </c>
      <c r="N44" s="209" t="e">
        <f t="shared" si="10"/>
        <v>#REF!</v>
      </c>
      <c r="O44" s="209" t="e">
        <f t="shared" si="11"/>
        <v>#REF!</v>
      </c>
      <c r="P44" s="209" t="e">
        <f t="shared" si="12"/>
        <v>#REF!</v>
      </c>
      <c r="Q44" s="209" t="e">
        <f t="shared" si="13"/>
        <v>#REF!</v>
      </c>
      <c r="R44" s="209" t="e">
        <f t="shared" si="14"/>
        <v>#REF!</v>
      </c>
      <c r="S44" s="209" t="e">
        <f t="shared" si="1"/>
        <v>#REF!</v>
      </c>
      <c r="T44" s="209"/>
      <c r="U44" s="210"/>
    </row>
    <row r="45" spans="1:21" ht="12.75">
      <c r="A45" s="221">
        <f t="shared" si="15"/>
        <v>33</v>
      </c>
      <c r="B45" s="208"/>
      <c r="C45" s="209" t="e">
        <f>#REF!</f>
        <v>#REF!</v>
      </c>
      <c r="D45" s="209" t="e">
        <f t="shared" si="0"/>
        <v>#REF!</v>
      </c>
      <c r="E45" s="209" t="e">
        <f>#REF!</f>
        <v>#REF!</v>
      </c>
      <c r="F45" s="209" t="e">
        <f t="shared" si="2"/>
        <v>#REF!</v>
      </c>
      <c r="G45" s="209" t="e">
        <f t="shared" si="3"/>
        <v>#REF!</v>
      </c>
      <c r="H45" s="209" t="e">
        <f t="shared" si="4"/>
        <v>#REF!</v>
      </c>
      <c r="I45" s="209" t="e">
        <f t="shared" si="5"/>
        <v>#REF!</v>
      </c>
      <c r="J45" s="209" t="e">
        <f t="shared" si="6"/>
        <v>#REF!</v>
      </c>
      <c r="K45" s="209" t="e">
        <f t="shared" si="7"/>
        <v>#REF!</v>
      </c>
      <c r="L45" s="209" t="e">
        <f t="shared" si="8"/>
        <v>#REF!</v>
      </c>
      <c r="M45" s="209" t="e">
        <f t="shared" si="9"/>
        <v>#REF!</v>
      </c>
      <c r="N45" s="209" t="e">
        <f t="shared" si="10"/>
        <v>#REF!</v>
      </c>
      <c r="O45" s="209" t="e">
        <f t="shared" si="11"/>
        <v>#REF!</v>
      </c>
      <c r="P45" s="209" t="e">
        <f t="shared" si="12"/>
        <v>#REF!</v>
      </c>
      <c r="Q45" s="209" t="e">
        <f t="shared" si="13"/>
        <v>#REF!</v>
      </c>
      <c r="R45" s="209" t="e">
        <f t="shared" si="14"/>
        <v>#REF!</v>
      </c>
      <c r="S45" s="209" t="e">
        <f t="shared" si="1"/>
        <v>#REF!</v>
      </c>
      <c r="T45" s="209"/>
      <c r="U45" s="210"/>
    </row>
    <row r="46" spans="1:21" ht="12.75">
      <c r="A46" s="221">
        <f t="shared" si="15"/>
        <v>34</v>
      </c>
      <c r="B46" s="211"/>
      <c r="C46" s="209" t="e">
        <f>#REF!</f>
        <v>#REF!</v>
      </c>
      <c r="D46" s="209" t="e">
        <f t="shared" si="0"/>
        <v>#REF!</v>
      </c>
      <c r="E46" s="209" t="e">
        <f>#REF!</f>
        <v>#REF!</v>
      </c>
      <c r="F46" s="209" t="e">
        <f t="shared" si="2"/>
        <v>#REF!</v>
      </c>
      <c r="G46" s="209" t="e">
        <f t="shared" si="3"/>
        <v>#REF!</v>
      </c>
      <c r="H46" s="209" t="e">
        <f t="shared" si="4"/>
        <v>#REF!</v>
      </c>
      <c r="I46" s="209" t="e">
        <f t="shared" si="5"/>
        <v>#REF!</v>
      </c>
      <c r="J46" s="209" t="e">
        <f t="shared" si="6"/>
        <v>#REF!</v>
      </c>
      <c r="K46" s="209" t="e">
        <f t="shared" si="7"/>
        <v>#REF!</v>
      </c>
      <c r="L46" s="209" t="e">
        <f t="shared" si="8"/>
        <v>#REF!</v>
      </c>
      <c r="M46" s="209" t="e">
        <f t="shared" si="9"/>
        <v>#REF!</v>
      </c>
      <c r="N46" s="209" t="e">
        <f t="shared" si="10"/>
        <v>#REF!</v>
      </c>
      <c r="O46" s="209" t="e">
        <f t="shared" si="11"/>
        <v>#REF!</v>
      </c>
      <c r="P46" s="209" t="e">
        <f t="shared" si="12"/>
        <v>#REF!</v>
      </c>
      <c r="Q46" s="209" t="e">
        <f t="shared" si="13"/>
        <v>#REF!</v>
      </c>
      <c r="R46" s="209" t="e">
        <f t="shared" si="14"/>
        <v>#REF!</v>
      </c>
      <c r="S46" s="209" t="e">
        <f t="shared" si="1"/>
        <v>#REF!</v>
      </c>
      <c r="T46" s="209"/>
      <c r="U46" s="210"/>
    </row>
    <row r="47" spans="1:21" ht="12.75">
      <c r="A47" s="221">
        <f t="shared" si="15"/>
        <v>35</v>
      </c>
      <c r="B47" s="208"/>
      <c r="C47" s="209" t="e">
        <f>#REF!</f>
        <v>#REF!</v>
      </c>
      <c r="D47" s="209" t="e">
        <f t="shared" si="0"/>
        <v>#REF!</v>
      </c>
      <c r="E47" s="209" t="e">
        <f>#REF!</f>
        <v>#REF!</v>
      </c>
      <c r="F47" s="209" t="e">
        <f t="shared" si="2"/>
        <v>#REF!</v>
      </c>
      <c r="G47" s="209" t="e">
        <f t="shared" si="3"/>
        <v>#REF!</v>
      </c>
      <c r="H47" s="209" t="e">
        <f t="shared" si="4"/>
        <v>#REF!</v>
      </c>
      <c r="I47" s="209" t="e">
        <f t="shared" si="5"/>
        <v>#REF!</v>
      </c>
      <c r="J47" s="209" t="e">
        <f t="shared" si="6"/>
        <v>#REF!</v>
      </c>
      <c r="K47" s="209" t="e">
        <f t="shared" si="7"/>
        <v>#REF!</v>
      </c>
      <c r="L47" s="209" t="e">
        <f t="shared" si="8"/>
        <v>#REF!</v>
      </c>
      <c r="M47" s="209" t="e">
        <f t="shared" si="9"/>
        <v>#REF!</v>
      </c>
      <c r="N47" s="209" t="e">
        <f t="shared" si="10"/>
        <v>#REF!</v>
      </c>
      <c r="O47" s="209" t="e">
        <f t="shared" si="11"/>
        <v>#REF!</v>
      </c>
      <c r="P47" s="209" t="e">
        <f t="shared" si="12"/>
        <v>#REF!</v>
      </c>
      <c r="Q47" s="209" t="e">
        <f t="shared" si="13"/>
        <v>#REF!</v>
      </c>
      <c r="R47" s="209" t="e">
        <f t="shared" si="14"/>
        <v>#REF!</v>
      </c>
      <c r="S47" s="209" t="e">
        <f t="shared" si="1"/>
        <v>#REF!</v>
      </c>
      <c r="T47" s="209"/>
      <c r="U47" s="210"/>
    </row>
    <row r="48" spans="1:21" ht="12.75">
      <c r="A48" s="221">
        <f t="shared" si="15"/>
        <v>36</v>
      </c>
      <c r="B48" s="211"/>
      <c r="C48" s="209" t="e">
        <f>#REF!</f>
        <v>#REF!</v>
      </c>
      <c r="D48" s="209" t="e">
        <f t="shared" si="0"/>
        <v>#REF!</v>
      </c>
      <c r="E48" s="209" t="e">
        <f>#REF!</f>
        <v>#REF!</v>
      </c>
      <c r="F48" s="209" t="e">
        <f t="shared" si="2"/>
        <v>#REF!</v>
      </c>
      <c r="G48" s="209" t="e">
        <f t="shared" si="3"/>
        <v>#REF!</v>
      </c>
      <c r="H48" s="209" t="e">
        <f t="shared" si="4"/>
        <v>#REF!</v>
      </c>
      <c r="I48" s="209" t="e">
        <f t="shared" si="5"/>
        <v>#REF!</v>
      </c>
      <c r="J48" s="209" t="e">
        <f t="shared" si="6"/>
        <v>#REF!</v>
      </c>
      <c r="K48" s="209" t="e">
        <f t="shared" si="7"/>
        <v>#REF!</v>
      </c>
      <c r="L48" s="209" t="e">
        <f t="shared" si="8"/>
        <v>#REF!</v>
      </c>
      <c r="M48" s="209" t="e">
        <f t="shared" si="9"/>
        <v>#REF!</v>
      </c>
      <c r="N48" s="209" t="e">
        <f t="shared" si="10"/>
        <v>#REF!</v>
      </c>
      <c r="O48" s="209" t="e">
        <f t="shared" si="11"/>
        <v>#REF!</v>
      </c>
      <c r="P48" s="209" t="e">
        <f t="shared" si="12"/>
        <v>#REF!</v>
      </c>
      <c r="Q48" s="209" t="e">
        <f t="shared" si="13"/>
        <v>#REF!</v>
      </c>
      <c r="R48" s="209" t="e">
        <f t="shared" si="14"/>
        <v>#REF!</v>
      </c>
      <c r="S48" s="209" t="e">
        <f t="shared" si="1"/>
        <v>#REF!</v>
      </c>
      <c r="T48" s="209"/>
      <c r="U48" s="210"/>
    </row>
    <row r="49" spans="1:21" ht="12.75">
      <c r="A49" s="221">
        <f t="shared" si="15"/>
        <v>37</v>
      </c>
      <c r="B49" s="208"/>
      <c r="C49" s="209" t="e">
        <f>#REF!</f>
        <v>#REF!</v>
      </c>
      <c r="D49" s="209" t="e">
        <f t="shared" si="0"/>
        <v>#REF!</v>
      </c>
      <c r="E49" s="209" t="e">
        <f>#REF!</f>
        <v>#REF!</v>
      </c>
      <c r="F49" s="209" t="e">
        <f t="shared" si="2"/>
        <v>#REF!</v>
      </c>
      <c r="G49" s="209" t="e">
        <f t="shared" si="3"/>
        <v>#REF!</v>
      </c>
      <c r="H49" s="209" t="e">
        <f t="shared" si="4"/>
        <v>#REF!</v>
      </c>
      <c r="I49" s="209" t="e">
        <f t="shared" si="5"/>
        <v>#REF!</v>
      </c>
      <c r="J49" s="209" t="e">
        <f t="shared" si="6"/>
        <v>#REF!</v>
      </c>
      <c r="K49" s="209" t="e">
        <f t="shared" si="7"/>
        <v>#REF!</v>
      </c>
      <c r="L49" s="209" t="e">
        <f t="shared" si="8"/>
        <v>#REF!</v>
      </c>
      <c r="M49" s="209" t="e">
        <f t="shared" si="9"/>
        <v>#REF!</v>
      </c>
      <c r="N49" s="209" t="e">
        <f t="shared" si="10"/>
        <v>#REF!</v>
      </c>
      <c r="O49" s="209" t="e">
        <f t="shared" si="11"/>
        <v>#REF!</v>
      </c>
      <c r="P49" s="209" t="e">
        <f t="shared" si="12"/>
        <v>#REF!</v>
      </c>
      <c r="Q49" s="209" t="e">
        <f t="shared" si="13"/>
        <v>#REF!</v>
      </c>
      <c r="R49" s="209" t="e">
        <f t="shared" si="14"/>
        <v>#REF!</v>
      </c>
      <c r="S49" s="209" t="e">
        <f t="shared" si="1"/>
        <v>#REF!</v>
      </c>
      <c r="T49" s="209"/>
      <c r="U49" s="210"/>
    </row>
    <row r="50" spans="1:21" ht="12.75">
      <c r="A50" s="221">
        <f t="shared" si="15"/>
        <v>38</v>
      </c>
      <c r="B50" s="208"/>
      <c r="C50" s="209" t="e">
        <f>#REF!</f>
        <v>#REF!</v>
      </c>
      <c r="D50" s="209" t="e">
        <f t="shared" si="0"/>
        <v>#REF!</v>
      </c>
      <c r="E50" s="209" t="e">
        <f>#REF!</f>
        <v>#REF!</v>
      </c>
      <c r="F50" s="209" t="e">
        <f t="shared" si="2"/>
        <v>#REF!</v>
      </c>
      <c r="G50" s="209" t="e">
        <f t="shared" si="3"/>
        <v>#REF!</v>
      </c>
      <c r="H50" s="209" t="e">
        <f t="shared" si="4"/>
        <v>#REF!</v>
      </c>
      <c r="I50" s="209" t="e">
        <f t="shared" si="5"/>
        <v>#REF!</v>
      </c>
      <c r="J50" s="209" t="e">
        <f t="shared" si="6"/>
        <v>#REF!</v>
      </c>
      <c r="K50" s="209" t="e">
        <f t="shared" si="7"/>
        <v>#REF!</v>
      </c>
      <c r="L50" s="209" t="e">
        <f t="shared" si="8"/>
        <v>#REF!</v>
      </c>
      <c r="M50" s="209" t="e">
        <f t="shared" si="9"/>
        <v>#REF!</v>
      </c>
      <c r="N50" s="209" t="e">
        <f t="shared" si="10"/>
        <v>#REF!</v>
      </c>
      <c r="O50" s="209" t="e">
        <f t="shared" si="11"/>
        <v>#REF!</v>
      </c>
      <c r="P50" s="209" t="e">
        <f t="shared" si="12"/>
        <v>#REF!</v>
      </c>
      <c r="Q50" s="209" t="e">
        <f t="shared" si="13"/>
        <v>#REF!</v>
      </c>
      <c r="R50" s="209" t="e">
        <f t="shared" si="14"/>
        <v>#REF!</v>
      </c>
      <c r="S50" s="209" t="e">
        <f t="shared" si="1"/>
        <v>#REF!</v>
      </c>
      <c r="T50" s="209"/>
      <c r="U50" s="210"/>
    </row>
    <row r="51" spans="1:21" ht="12.75">
      <c r="A51" s="221">
        <f t="shared" si="15"/>
        <v>39</v>
      </c>
      <c r="B51" s="208"/>
      <c r="C51" s="209" t="e">
        <f>#REF!</f>
        <v>#REF!</v>
      </c>
      <c r="D51" s="209" t="e">
        <f t="shared" si="0"/>
        <v>#REF!</v>
      </c>
      <c r="E51" s="209" t="e">
        <f>#REF!</f>
        <v>#REF!</v>
      </c>
      <c r="F51" s="209" t="e">
        <f t="shared" si="2"/>
        <v>#REF!</v>
      </c>
      <c r="G51" s="209" t="e">
        <f t="shared" si="3"/>
        <v>#REF!</v>
      </c>
      <c r="H51" s="209" t="e">
        <f t="shared" si="4"/>
        <v>#REF!</v>
      </c>
      <c r="I51" s="209" t="e">
        <f t="shared" si="5"/>
        <v>#REF!</v>
      </c>
      <c r="J51" s="209" t="e">
        <f t="shared" si="6"/>
        <v>#REF!</v>
      </c>
      <c r="K51" s="209" t="e">
        <f t="shared" si="7"/>
        <v>#REF!</v>
      </c>
      <c r="L51" s="209" t="e">
        <f t="shared" si="8"/>
        <v>#REF!</v>
      </c>
      <c r="M51" s="209" t="e">
        <f t="shared" si="9"/>
        <v>#REF!</v>
      </c>
      <c r="N51" s="209" t="e">
        <f t="shared" si="10"/>
        <v>#REF!</v>
      </c>
      <c r="O51" s="209" t="e">
        <f t="shared" si="11"/>
        <v>#REF!</v>
      </c>
      <c r="P51" s="209" t="e">
        <f t="shared" si="12"/>
        <v>#REF!</v>
      </c>
      <c r="Q51" s="209" t="e">
        <f t="shared" si="13"/>
        <v>#REF!</v>
      </c>
      <c r="R51" s="209" t="e">
        <f t="shared" si="14"/>
        <v>#REF!</v>
      </c>
      <c r="S51" s="209" t="e">
        <f t="shared" si="1"/>
        <v>#REF!</v>
      </c>
      <c r="T51" s="209"/>
      <c r="U51" s="210"/>
    </row>
    <row r="52" spans="1:21" s="204" customFormat="1" ht="19.5" customHeight="1" thickBot="1">
      <c r="A52" s="68"/>
      <c r="B52" s="215" t="s">
        <v>228</v>
      </c>
      <c r="C52" s="216" t="e">
        <f>SUM(C13:C51)</f>
        <v>#REF!</v>
      </c>
      <c r="D52" s="216" t="e">
        <f aca="true" t="shared" si="16" ref="D52:U52">SUM(D13:D51)</f>
        <v>#REF!</v>
      </c>
      <c r="E52" s="216" t="e">
        <f>SUM(E13:E51)</f>
        <v>#REF!</v>
      </c>
      <c r="F52" s="216" t="e">
        <f>SUM(F13:F51)</f>
        <v>#REF!</v>
      </c>
      <c r="G52" s="216" t="e">
        <f t="shared" si="16"/>
        <v>#REF!</v>
      </c>
      <c r="H52" s="216" t="e">
        <f t="shared" si="16"/>
        <v>#REF!</v>
      </c>
      <c r="I52" s="216" t="e">
        <f t="shared" si="16"/>
        <v>#REF!</v>
      </c>
      <c r="J52" s="216" t="e">
        <f t="shared" si="16"/>
        <v>#REF!</v>
      </c>
      <c r="K52" s="216" t="e">
        <f t="shared" si="16"/>
        <v>#REF!</v>
      </c>
      <c r="L52" s="216" t="e">
        <f t="shared" si="16"/>
        <v>#REF!</v>
      </c>
      <c r="M52" s="216" t="e">
        <f t="shared" si="16"/>
        <v>#REF!</v>
      </c>
      <c r="N52" s="216" t="e">
        <f t="shared" si="16"/>
        <v>#REF!</v>
      </c>
      <c r="O52" s="216" t="e">
        <f t="shared" si="16"/>
        <v>#REF!</v>
      </c>
      <c r="P52" s="216" t="e">
        <f t="shared" si="16"/>
        <v>#REF!</v>
      </c>
      <c r="Q52" s="216" t="e">
        <f t="shared" si="16"/>
        <v>#REF!</v>
      </c>
      <c r="R52" s="216" t="e">
        <f t="shared" si="16"/>
        <v>#REF!</v>
      </c>
      <c r="S52" s="216" t="e">
        <f t="shared" si="16"/>
        <v>#REF!</v>
      </c>
      <c r="T52" s="216">
        <f t="shared" si="16"/>
        <v>0</v>
      </c>
      <c r="U52" s="216">
        <f t="shared" si="16"/>
        <v>0</v>
      </c>
    </row>
    <row r="55" ht="12.75">
      <c r="B55" s="217" t="s">
        <v>229</v>
      </c>
    </row>
    <row r="56" ht="12.75">
      <c r="B56" s="217" t="s">
        <v>230</v>
      </c>
    </row>
  </sheetData>
  <sheetProtection/>
  <mergeCells count="7">
    <mergeCell ref="C10:D10"/>
    <mergeCell ref="G9:S9"/>
    <mergeCell ref="C9:D9"/>
    <mergeCell ref="C6:K6"/>
    <mergeCell ref="D7:L7"/>
    <mergeCell ref="D4:L4"/>
    <mergeCell ref="D5:L5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9"/>
  <sheetViews>
    <sheetView zoomScalePageLayoutView="0" workbookViewId="0" topLeftCell="A1">
      <selection activeCell="I91" sqref="I91"/>
    </sheetView>
  </sheetViews>
  <sheetFormatPr defaultColWidth="9.00390625" defaultRowHeight="12.75"/>
  <cols>
    <col min="1" max="1" width="40.00390625" style="0" customWidth="1"/>
    <col min="2" max="2" width="5.50390625" style="0" customWidth="1"/>
    <col min="4" max="4" width="8.00390625" style="0" customWidth="1"/>
    <col min="5" max="5" width="10.375" style="0" customWidth="1"/>
    <col min="6" max="6" width="6.625" style="0" customWidth="1"/>
    <col min="9" max="9" width="10.00390625" style="0" customWidth="1"/>
    <col min="10" max="11" width="11.50390625" style="0" customWidth="1"/>
    <col min="13" max="13" width="10.50390625" style="0" bestFit="1" customWidth="1"/>
  </cols>
  <sheetData>
    <row r="2" spans="1:11" ht="12.75">
      <c r="A2" s="1"/>
      <c r="B2" s="1"/>
      <c r="C2" s="670" t="s">
        <v>172</v>
      </c>
      <c r="D2" s="670"/>
      <c r="E2" s="1"/>
      <c r="F2" s="1"/>
      <c r="G2" s="1"/>
      <c r="H2" s="1"/>
      <c r="I2" s="1"/>
      <c r="J2" s="1"/>
      <c r="K2" s="1"/>
    </row>
    <row r="3" spans="1:11" ht="12.75">
      <c r="A3" s="670" t="s">
        <v>643</v>
      </c>
      <c r="B3" s="670"/>
      <c r="C3" s="670"/>
      <c r="D3" s="670"/>
      <c r="E3" s="670"/>
      <c r="F3" s="670"/>
      <c r="G3" s="670"/>
      <c r="H3" s="670"/>
      <c r="I3" s="670"/>
      <c r="J3" s="670"/>
      <c r="K3" s="2"/>
    </row>
    <row r="4" spans="1:11" ht="12.75">
      <c r="A4" s="1"/>
      <c r="B4" s="670" t="s">
        <v>469</v>
      </c>
      <c r="C4" s="670"/>
      <c r="D4" s="670"/>
      <c r="E4" s="670"/>
      <c r="F4" s="670"/>
      <c r="G4" s="670"/>
      <c r="H4" s="1"/>
      <c r="I4" s="1"/>
      <c r="J4" s="1"/>
      <c r="K4" s="1"/>
    </row>
    <row r="6" spans="1:11" ht="57" customHeight="1">
      <c r="A6" s="530" t="s">
        <v>470</v>
      </c>
      <c r="B6" s="531" t="s">
        <v>471</v>
      </c>
      <c r="C6" s="530" t="s">
        <v>628</v>
      </c>
      <c r="D6" s="530" t="s">
        <v>622</v>
      </c>
      <c r="E6" s="530" t="s">
        <v>623</v>
      </c>
      <c r="F6" s="532" t="s">
        <v>545</v>
      </c>
      <c r="G6" s="530" t="s">
        <v>625</v>
      </c>
      <c r="H6" s="530" t="s">
        <v>624</v>
      </c>
      <c r="I6" s="530" t="s">
        <v>626</v>
      </c>
      <c r="J6" s="530" t="s">
        <v>627</v>
      </c>
      <c r="K6" s="636"/>
    </row>
    <row r="7" spans="1:11" ht="12.75">
      <c r="A7" s="225" t="s">
        <v>472</v>
      </c>
      <c r="B7" s="161"/>
      <c r="C7" s="161"/>
      <c r="D7" s="161"/>
      <c r="E7" s="161"/>
      <c r="F7" s="161"/>
      <c r="G7" s="161"/>
      <c r="H7" s="161"/>
      <c r="I7" s="161"/>
      <c r="J7" s="161"/>
      <c r="K7" s="3"/>
    </row>
    <row r="8" spans="1:11" ht="12.75">
      <c r="A8" s="161" t="s">
        <v>473</v>
      </c>
      <c r="B8" s="161" t="s">
        <v>474</v>
      </c>
      <c r="C8" s="161">
        <v>80</v>
      </c>
      <c r="D8" s="161">
        <v>1.32</v>
      </c>
      <c r="E8" s="527">
        <f>C8/D8</f>
        <v>60.6</v>
      </c>
      <c r="F8" s="161">
        <v>4</v>
      </c>
      <c r="G8" s="161">
        <v>0.688</v>
      </c>
      <c r="H8" s="228">
        <f>G8*8</f>
        <v>5.5</v>
      </c>
      <c r="I8" s="228">
        <f>E8*H8</f>
        <v>333.3</v>
      </c>
      <c r="J8" s="228">
        <f>I8*7.8</f>
        <v>2599.74</v>
      </c>
      <c r="K8" s="292"/>
    </row>
    <row r="9" spans="1:11" ht="12.75">
      <c r="A9" s="161" t="s">
        <v>475</v>
      </c>
      <c r="B9" s="161" t="s">
        <v>474</v>
      </c>
      <c r="C9" s="161">
        <v>645</v>
      </c>
      <c r="D9" s="161">
        <v>1.04</v>
      </c>
      <c r="E9" s="527">
        <f aca="true" t="shared" si="0" ref="E9:E74">C9/D9</f>
        <v>620.2</v>
      </c>
      <c r="F9" s="161">
        <v>4</v>
      </c>
      <c r="G9" s="161">
        <v>0.688</v>
      </c>
      <c r="H9" s="228">
        <f aca="true" t="shared" si="1" ref="H9:H74">G9*8</f>
        <v>5.5</v>
      </c>
      <c r="I9" s="228">
        <f>E9*H9</f>
        <v>3411.1</v>
      </c>
      <c r="J9" s="228">
        <f>I9*7.8</f>
        <v>26606.58</v>
      </c>
      <c r="K9" s="292"/>
    </row>
    <row r="10" spans="1:11" ht="12.75">
      <c r="A10" s="161" t="s">
        <v>476</v>
      </c>
      <c r="B10" s="161" t="s">
        <v>474</v>
      </c>
      <c r="C10" s="225">
        <f>C12+C14+C16+C18+C20+C22</f>
        <v>649.6</v>
      </c>
      <c r="D10" s="161"/>
      <c r="E10" s="161"/>
      <c r="F10" s="161"/>
      <c r="G10" s="161"/>
      <c r="H10" s="161"/>
      <c r="I10" s="161"/>
      <c r="J10" s="161"/>
      <c r="K10" s="3"/>
    </row>
    <row r="11" spans="1:11" ht="12.75">
      <c r="A11" s="161" t="s">
        <v>477</v>
      </c>
      <c r="B11" s="161" t="s">
        <v>478</v>
      </c>
      <c r="C11" s="225">
        <f>C13+C15+C17+C19+C21+C23</f>
        <v>10884</v>
      </c>
      <c r="D11" s="161"/>
      <c r="E11" s="527"/>
      <c r="F11" s="161"/>
      <c r="G11" s="161"/>
      <c r="H11" s="228"/>
      <c r="I11" s="228"/>
      <c r="J11" s="228"/>
      <c r="K11" s="292"/>
    </row>
    <row r="12" spans="1:11" ht="12.75">
      <c r="A12" s="161" t="s">
        <v>479</v>
      </c>
      <c r="B12" s="161" t="s">
        <v>474</v>
      </c>
      <c r="C12" s="161">
        <v>41.2</v>
      </c>
      <c r="D12" s="161"/>
      <c r="E12" s="527"/>
      <c r="F12" s="161"/>
      <c r="G12" s="161"/>
      <c r="H12" s="228"/>
      <c r="I12" s="228"/>
      <c r="J12" s="228"/>
      <c r="K12" s="292"/>
    </row>
    <row r="13" spans="1:11" ht="12.75">
      <c r="A13" s="161" t="s">
        <v>477</v>
      </c>
      <c r="B13" s="161" t="s">
        <v>478</v>
      </c>
      <c r="C13" s="161">
        <v>639</v>
      </c>
      <c r="D13" s="161">
        <v>0.78</v>
      </c>
      <c r="E13" s="527">
        <f t="shared" si="0"/>
        <v>819.2</v>
      </c>
      <c r="F13" s="161">
        <v>3</v>
      </c>
      <c r="G13" s="227">
        <v>0.984</v>
      </c>
      <c r="H13" s="228">
        <f t="shared" si="1"/>
        <v>7.87</v>
      </c>
      <c r="I13" s="228">
        <f>E13*H13</f>
        <v>6447.1</v>
      </c>
      <c r="J13" s="228">
        <f>I13*7.8</f>
        <v>50287.38</v>
      </c>
      <c r="K13" s="292"/>
    </row>
    <row r="14" spans="1:11" ht="12.75">
      <c r="A14" s="161" t="s">
        <v>480</v>
      </c>
      <c r="B14" s="161" t="s">
        <v>474</v>
      </c>
      <c r="C14" s="161">
        <v>153.7</v>
      </c>
      <c r="D14" s="161"/>
      <c r="E14" s="527"/>
      <c r="F14" s="161"/>
      <c r="G14" s="161"/>
      <c r="H14" s="228"/>
      <c r="I14" s="228"/>
      <c r="J14" s="228"/>
      <c r="K14" s="292"/>
    </row>
    <row r="15" spans="1:11" ht="12.75">
      <c r="A15" s="161" t="s">
        <v>481</v>
      </c>
      <c r="B15" s="161" t="s">
        <v>478</v>
      </c>
      <c r="C15" s="161">
        <v>1146</v>
      </c>
      <c r="D15" s="161">
        <v>1.3</v>
      </c>
      <c r="E15" s="527">
        <f t="shared" si="0"/>
        <v>881.5</v>
      </c>
      <c r="F15" s="161">
        <v>5</v>
      </c>
      <c r="G15" s="161">
        <v>1.314</v>
      </c>
      <c r="H15" s="228">
        <f t="shared" si="1"/>
        <v>10.51</v>
      </c>
      <c r="I15" s="228">
        <f>E15*H15</f>
        <v>9264.57</v>
      </c>
      <c r="J15" s="228">
        <f>I15*7.8</f>
        <v>72263.65</v>
      </c>
      <c r="K15" s="292"/>
    </row>
    <row r="16" spans="1:11" ht="12.75">
      <c r="A16" s="161" t="s">
        <v>482</v>
      </c>
      <c r="B16" s="161" t="s">
        <v>474</v>
      </c>
      <c r="C16" s="161">
        <v>124.5</v>
      </c>
      <c r="D16" s="161"/>
      <c r="E16" s="527"/>
      <c r="F16" s="161"/>
      <c r="G16" s="161"/>
      <c r="H16" s="228"/>
      <c r="I16" s="228"/>
      <c r="J16" s="228"/>
      <c r="K16" s="292"/>
    </row>
    <row r="17" spans="1:11" ht="12.75">
      <c r="A17" s="161" t="s">
        <v>481</v>
      </c>
      <c r="B17" s="161" t="s">
        <v>478</v>
      </c>
      <c r="C17" s="227">
        <v>2281</v>
      </c>
      <c r="D17" s="161">
        <v>1.7</v>
      </c>
      <c r="E17" s="527">
        <f t="shared" si="0"/>
        <v>1341.8</v>
      </c>
      <c r="F17" s="161">
        <v>6</v>
      </c>
      <c r="G17" s="161">
        <v>1.53</v>
      </c>
      <c r="H17" s="228">
        <f t="shared" si="1"/>
        <v>12.24</v>
      </c>
      <c r="I17" s="228">
        <f>E17*H17</f>
        <v>16423.63</v>
      </c>
      <c r="J17" s="228">
        <f>I17*7.8</f>
        <v>128104.31</v>
      </c>
      <c r="K17" s="292"/>
    </row>
    <row r="18" spans="1:11" ht="12.75">
      <c r="A18" s="161" t="s">
        <v>483</v>
      </c>
      <c r="B18" s="161" t="s">
        <v>474</v>
      </c>
      <c r="C18" s="227">
        <v>148.9</v>
      </c>
      <c r="D18" s="161"/>
      <c r="E18" s="527"/>
      <c r="F18" s="161"/>
      <c r="G18" s="161"/>
      <c r="H18" s="228"/>
      <c r="I18" s="228"/>
      <c r="J18" s="228"/>
      <c r="K18" s="292"/>
    </row>
    <row r="19" spans="1:11" ht="12.75">
      <c r="A19" s="161" t="s">
        <v>481</v>
      </c>
      <c r="B19" s="161" t="s">
        <v>478</v>
      </c>
      <c r="C19" s="227">
        <v>2994</v>
      </c>
      <c r="D19" s="161">
        <v>2.55</v>
      </c>
      <c r="E19" s="527">
        <f t="shared" si="0"/>
        <v>1174.1</v>
      </c>
      <c r="F19" s="161">
        <v>6</v>
      </c>
      <c r="G19" s="161">
        <v>1.53</v>
      </c>
      <c r="H19" s="228">
        <f t="shared" si="1"/>
        <v>12.24</v>
      </c>
      <c r="I19" s="228">
        <f>E19*H19</f>
        <v>14370.98</v>
      </c>
      <c r="J19" s="228">
        <f>I19*7.8</f>
        <v>112093.64</v>
      </c>
      <c r="K19" s="292"/>
    </row>
    <row r="20" spans="1:11" ht="12.75">
      <c r="A20" s="161" t="s">
        <v>484</v>
      </c>
      <c r="B20" s="161" t="s">
        <v>474</v>
      </c>
      <c r="C20" s="227">
        <v>166.3</v>
      </c>
      <c r="D20" s="161"/>
      <c r="E20" s="527"/>
      <c r="F20" s="161"/>
      <c r="G20" s="161"/>
      <c r="H20" s="228"/>
      <c r="I20" s="228"/>
      <c r="J20" s="228"/>
      <c r="K20" s="292"/>
    </row>
    <row r="21" spans="1:11" ht="12.75">
      <c r="A21" s="161" t="s">
        <v>481</v>
      </c>
      <c r="B21" s="161" t="s">
        <v>478</v>
      </c>
      <c r="C21" s="227">
        <v>3164</v>
      </c>
      <c r="D21" s="527">
        <v>4</v>
      </c>
      <c r="E21" s="527">
        <f t="shared" si="0"/>
        <v>791</v>
      </c>
      <c r="F21" s="161">
        <v>6</v>
      </c>
      <c r="G21" s="161">
        <v>1.53</v>
      </c>
      <c r="H21" s="228">
        <f t="shared" si="1"/>
        <v>12.24</v>
      </c>
      <c r="I21" s="228">
        <f>E21*H21</f>
        <v>9681.84</v>
      </c>
      <c r="J21" s="228">
        <f>I21*7.8</f>
        <v>75518.35</v>
      </c>
      <c r="K21" s="292"/>
    </row>
    <row r="22" spans="1:11" ht="12.75">
      <c r="A22" s="161" t="s">
        <v>485</v>
      </c>
      <c r="B22" s="161" t="s">
        <v>474</v>
      </c>
      <c r="C22" s="227">
        <v>15</v>
      </c>
      <c r="D22" s="161"/>
      <c r="E22" s="527"/>
      <c r="F22" s="161"/>
      <c r="G22" s="161"/>
      <c r="H22" s="228"/>
      <c r="I22" s="228"/>
      <c r="J22" s="228"/>
      <c r="K22" s="292"/>
    </row>
    <row r="23" spans="1:11" ht="12.75">
      <c r="A23" s="161" t="s">
        <v>481</v>
      </c>
      <c r="B23" s="161" t="s">
        <v>478</v>
      </c>
      <c r="C23" s="227">
        <v>660</v>
      </c>
      <c r="D23" s="161">
        <v>2.82</v>
      </c>
      <c r="E23" s="527">
        <f t="shared" si="0"/>
        <v>234</v>
      </c>
      <c r="F23" s="161">
        <v>6</v>
      </c>
      <c r="G23" s="161">
        <v>1.53</v>
      </c>
      <c r="H23" s="228">
        <f t="shared" si="1"/>
        <v>12.24</v>
      </c>
      <c r="I23" s="228">
        <f>E23*H23</f>
        <v>2864.16</v>
      </c>
      <c r="J23" s="228">
        <f>I23*7.8</f>
        <v>22340.45</v>
      </c>
      <c r="K23" s="292"/>
    </row>
    <row r="24" spans="1:11" ht="12.75">
      <c r="A24" s="161" t="s">
        <v>486</v>
      </c>
      <c r="B24" s="161" t="s">
        <v>474</v>
      </c>
      <c r="C24" s="619">
        <f>C26+C28+C30+C32+C34+C36</f>
        <v>88.6</v>
      </c>
      <c r="D24" s="161"/>
      <c r="E24" s="527"/>
      <c r="F24" s="161"/>
      <c r="G24" s="161"/>
      <c r="H24" s="228"/>
      <c r="I24" s="228"/>
      <c r="J24" s="228"/>
      <c r="K24" s="292"/>
    </row>
    <row r="25" spans="1:11" ht="12.75">
      <c r="A25" s="161" t="s">
        <v>481</v>
      </c>
      <c r="B25" s="161" t="s">
        <v>478</v>
      </c>
      <c r="C25" s="619">
        <f>C27+C29+C31+C33+C35+C37</f>
        <v>10207</v>
      </c>
      <c r="D25" s="161"/>
      <c r="E25" s="527"/>
      <c r="F25" s="161"/>
      <c r="G25" s="161"/>
      <c r="H25" s="228"/>
      <c r="I25" s="228"/>
      <c r="J25" s="228"/>
      <c r="K25" s="292"/>
    </row>
    <row r="26" spans="1:11" ht="12.75">
      <c r="A26" s="161" t="s">
        <v>487</v>
      </c>
      <c r="B26" s="161" t="s">
        <v>474</v>
      </c>
      <c r="C26" s="227">
        <v>75.8</v>
      </c>
      <c r="D26" s="161"/>
      <c r="E26" s="527"/>
      <c r="F26" s="161"/>
      <c r="G26" s="161"/>
      <c r="H26" s="228"/>
      <c r="I26" s="228"/>
      <c r="J26" s="228"/>
      <c r="K26" s="292"/>
    </row>
    <row r="27" spans="1:11" ht="12.75">
      <c r="A27" s="161" t="s">
        <v>481</v>
      </c>
      <c r="B27" s="161" t="s">
        <v>478</v>
      </c>
      <c r="C27" s="161">
        <v>8950</v>
      </c>
      <c r="D27" s="161">
        <v>3.8</v>
      </c>
      <c r="E27" s="527">
        <f t="shared" si="0"/>
        <v>2355.3</v>
      </c>
      <c r="F27" s="161">
        <v>6</v>
      </c>
      <c r="G27" s="161">
        <v>1.53</v>
      </c>
      <c r="H27" s="228">
        <f t="shared" si="1"/>
        <v>12.24</v>
      </c>
      <c r="I27" s="228">
        <f>E27*H27</f>
        <v>28828.87</v>
      </c>
      <c r="J27" s="228">
        <f>I27*7.8</f>
        <v>224865.19</v>
      </c>
      <c r="K27" s="292"/>
    </row>
    <row r="28" spans="1:11" ht="12.75">
      <c r="A28" s="161" t="s">
        <v>488</v>
      </c>
      <c r="B28" s="161" t="s">
        <v>474</v>
      </c>
      <c r="C28" s="161">
        <v>0</v>
      </c>
      <c r="D28" s="161"/>
      <c r="E28" s="527"/>
      <c r="F28" s="161"/>
      <c r="G28" s="161"/>
      <c r="H28" s="228"/>
      <c r="I28" s="228"/>
      <c r="J28" s="228"/>
      <c r="K28" s="292"/>
    </row>
    <row r="29" spans="1:11" ht="12.75">
      <c r="A29" s="161" t="s">
        <v>481</v>
      </c>
      <c r="B29" s="161" t="s">
        <v>478</v>
      </c>
      <c r="C29" s="161">
        <v>700</v>
      </c>
      <c r="D29" s="161">
        <v>1.8</v>
      </c>
      <c r="E29" s="527">
        <f t="shared" si="0"/>
        <v>388.9</v>
      </c>
      <c r="F29" s="161">
        <v>6</v>
      </c>
      <c r="G29" s="161">
        <v>1.53</v>
      </c>
      <c r="H29" s="228">
        <f t="shared" si="1"/>
        <v>12.24</v>
      </c>
      <c r="I29" s="228">
        <f>E29*H29</f>
        <v>4760.14</v>
      </c>
      <c r="J29" s="228">
        <f>I29*7.8</f>
        <v>37129.09</v>
      </c>
      <c r="K29" s="292"/>
    </row>
    <row r="30" spans="1:11" ht="12.75">
      <c r="A30" s="161" t="s">
        <v>489</v>
      </c>
      <c r="B30" s="161" t="s">
        <v>474</v>
      </c>
      <c r="C30" s="161">
        <v>6</v>
      </c>
      <c r="D30" s="161"/>
      <c r="E30" s="527"/>
      <c r="F30" s="161"/>
      <c r="G30" s="161"/>
      <c r="H30" s="228"/>
      <c r="I30" s="228"/>
      <c r="J30" s="228"/>
      <c r="K30" s="292"/>
    </row>
    <row r="31" spans="1:11" ht="12.75">
      <c r="A31" s="161" t="s">
        <v>481</v>
      </c>
      <c r="B31" s="161" t="s">
        <v>478</v>
      </c>
      <c r="C31" s="161">
        <v>166</v>
      </c>
      <c r="D31" s="161">
        <v>1.54</v>
      </c>
      <c r="E31" s="527">
        <f t="shared" si="0"/>
        <v>107.8</v>
      </c>
      <c r="F31" s="161">
        <v>6</v>
      </c>
      <c r="G31" s="161">
        <v>1.53</v>
      </c>
      <c r="H31" s="228">
        <f t="shared" si="1"/>
        <v>12.24</v>
      </c>
      <c r="I31" s="228">
        <f>E31*H31</f>
        <v>1319.47</v>
      </c>
      <c r="J31" s="228">
        <f>I31*7.8</f>
        <v>10291.87</v>
      </c>
      <c r="K31" s="292"/>
    </row>
    <row r="32" spans="1:11" ht="12.75">
      <c r="A32" s="161" t="s">
        <v>490</v>
      </c>
      <c r="B32" s="161" t="s">
        <v>474</v>
      </c>
      <c r="C32" s="161">
        <v>4</v>
      </c>
      <c r="D32" s="161"/>
      <c r="E32" s="527"/>
      <c r="F32" s="161"/>
      <c r="G32" s="161"/>
      <c r="H32" s="228"/>
      <c r="I32" s="228"/>
      <c r="J32" s="228"/>
      <c r="K32" s="292"/>
    </row>
    <row r="33" spans="1:11" ht="12.75">
      <c r="A33" s="161" t="s">
        <v>481</v>
      </c>
      <c r="B33" s="161" t="s">
        <v>478</v>
      </c>
      <c r="C33" s="161">
        <v>220</v>
      </c>
      <c r="D33" s="161">
        <v>3.36</v>
      </c>
      <c r="E33" s="527">
        <f t="shared" si="0"/>
        <v>65.5</v>
      </c>
      <c r="F33" s="161">
        <v>6</v>
      </c>
      <c r="G33" s="161">
        <v>1.53</v>
      </c>
      <c r="H33" s="228">
        <f t="shared" si="1"/>
        <v>12.24</v>
      </c>
      <c r="I33" s="228">
        <f>E33*H33</f>
        <v>801.72</v>
      </c>
      <c r="J33" s="228">
        <f>I33*7.8</f>
        <v>6253.42</v>
      </c>
      <c r="K33" s="292"/>
    </row>
    <row r="34" spans="1:11" ht="12.75">
      <c r="A34" s="161" t="s">
        <v>491</v>
      </c>
      <c r="B34" s="161" t="s">
        <v>474</v>
      </c>
      <c r="C34" s="161">
        <v>1.3</v>
      </c>
      <c r="D34" s="161"/>
      <c r="E34" s="527"/>
      <c r="F34" s="161"/>
      <c r="G34" s="161"/>
      <c r="H34" s="228"/>
      <c r="I34" s="228"/>
      <c r="J34" s="228"/>
      <c r="K34" s="292"/>
    </row>
    <row r="35" spans="1:11" ht="12.75">
      <c r="A35" s="161" t="s">
        <v>481</v>
      </c>
      <c r="B35" s="161" t="s">
        <v>478</v>
      </c>
      <c r="C35" s="161">
        <v>51</v>
      </c>
      <c r="D35" s="161">
        <v>1.12</v>
      </c>
      <c r="E35" s="527">
        <f t="shared" si="0"/>
        <v>45.5</v>
      </c>
      <c r="F35" s="161">
        <v>5</v>
      </c>
      <c r="G35" s="161">
        <v>0.774</v>
      </c>
      <c r="H35" s="228">
        <f t="shared" si="1"/>
        <v>6.19</v>
      </c>
      <c r="I35" s="228">
        <f>E35*H35</f>
        <v>281.65</v>
      </c>
      <c r="J35" s="228">
        <f>I35*7.8</f>
        <v>2196.87</v>
      </c>
      <c r="K35" s="292"/>
    </row>
    <row r="36" spans="1:11" ht="12.75">
      <c r="A36" s="161" t="s">
        <v>492</v>
      </c>
      <c r="B36" s="161" t="s">
        <v>474</v>
      </c>
      <c r="C36" s="161">
        <v>1.5</v>
      </c>
      <c r="D36" s="161"/>
      <c r="E36" s="527"/>
      <c r="F36" s="161"/>
      <c r="G36" s="161"/>
      <c r="H36" s="228"/>
      <c r="I36" s="228"/>
      <c r="J36" s="228"/>
      <c r="K36" s="292"/>
    </row>
    <row r="37" spans="1:11" ht="12.75">
      <c r="A37" s="161" t="s">
        <v>481</v>
      </c>
      <c r="B37" s="161" t="s">
        <v>478</v>
      </c>
      <c r="C37" s="161">
        <v>120</v>
      </c>
      <c r="D37" s="161">
        <v>1.3</v>
      </c>
      <c r="E37" s="527">
        <f t="shared" si="0"/>
        <v>92.3</v>
      </c>
      <c r="F37" s="161">
        <v>6</v>
      </c>
      <c r="G37" s="161">
        <v>1.53</v>
      </c>
      <c r="H37" s="228">
        <f t="shared" si="1"/>
        <v>12.24</v>
      </c>
      <c r="I37" s="228">
        <f>E37*H37</f>
        <v>1129.75</v>
      </c>
      <c r="J37" s="228">
        <f>I37*7.8</f>
        <v>8812.05</v>
      </c>
      <c r="K37" s="292"/>
    </row>
    <row r="38" spans="1:11" ht="12.75">
      <c r="A38" s="161" t="s">
        <v>493</v>
      </c>
      <c r="B38" s="161" t="s">
        <v>494</v>
      </c>
      <c r="C38" s="161">
        <v>22.5</v>
      </c>
      <c r="D38" s="161"/>
      <c r="E38" s="527"/>
      <c r="F38" s="161"/>
      <c r="G38" s="161"/>
      <c r="H38" s="228"/>
      <c r="I38" s="228"/>
      <c r="J38" s="228"/>
      <c r="K38" s="292"/>
    </row>
    <row r="39" spans="1:11" ht="12.75">
      <c r="A39" s="161"/>
      <c r="B39" s="161" t="s">
        <v>478</v>
      </c>
      <c r="C39" s="161">
        <v>254</v>
      </c>
      <c r="D39" s="161">
        <v>0.54</v>
      </c>
      <c r="E39" s="527">
        <f t="shared" si="0"/>
        <v>470.4</v>
      </c>
      <c r="F39" s="161">
        <v>3</v>
      </c>
      <c r="G39" s="161">
        <v>0.984</v>
      </c>
      <c r="H39" s="228">
        <f t="shared" si="1"/>
        <v>7.87</v>
      </c>
      <c r="I39" s="228">
        <f>E39*H39</f>
        <v>3702.05</v>
      </c>
      <c r="J39" s="228">
        <f>I39*7.8</f>
        <v>28875.99</v>
      </c>
      <c r="K39" s="292"/>
    </row>
    <row r="40" spans="1:11" ht="12.75">
      <c r="A40" s="161" t="s">
        <v>495</v>
      </c>
      <c r="B40" s="161" t="s">
        <v>75</v>
      </c>
      <c r="C40" s="161">
        <v>135</v>
      </c>
      <c r="D40" s="161">
        <v>5</v>
      </c>
      <c r="E40" s="527">
        <f t="shared" si="0"/>
        <v>27</v>
      </c>
      <c r="F40" s="161">
        <v>5</v>
      </c>
      <c r="G40" s="161">
        <v>0.774</v>
      </c>
      <c r="H40" s="228">
        <f t="shared" si="1"/>
        <v>6.19</v>
      </c>
      <c r="I40" s="228">
        <f>E40*H40</f>
        <v>167.13</v>
      </c>
      <c r="J40" s="228">
        <f>I40*7.8</f>
        <v>1303.61</v>
      </c>
      <c r="K40" s="292"/>
    </row>
    <row r="41" spans="1:11" ht="12.75">
      <c r="A41" s="161" t="s">
        <v>630</v>
      </c>
      <c r="B41" s="161" t="s">
        <v>478</v>
      </c>
      <c r="C41" s="161">
        <v>500</v>
      </c>
      <c r="D41" s="161">
        <v>7.2</v>
      </c>
      <c r="E41" s="527">
        <f t="shared" si="0"/>
        <v>69.4</v>
      </c>
      <c r="F41" s="161">
        <v>6</v>
      </c>
      <c r="G41" s="161">
        <v>1.53</v>
      </c>
      <c r="H41" s="228">
        <f t="shared" si="1"/>
        <v>12.24</v>
      </c>
      <c r="I41" s="228">
        <f>E41*H41</f>
        <v>849.46</v>
      </c>
      <c r="J41" s="228">
        <f>I41*7.8</f>
        <v>6625.79</v>
      </c>
      <c r="K41" s="292"/>
    </row>
    <row r="42" spans="1:11" ht="12.75">
      <c r="A42" s="161" t="s">
        <v>631</v>
      </c>
      <c r="B42" s="161" t="s">
        <v>478</v>
      </c>
      <c r="C42" s="161">
        <v>4570</v>
      </c>
      <c r="D42" s="161">
        <v>16</v>
      </c>
      <c r="E42" s="527">
        <f t="shared" si="0"/>
        <v>285.6</v>
      </c>
      <c r="F42" s="161">
        <v>6</v>
      </c>
      <c r="G42" s="161">
        <v>1.35</v>
      </c>
      <c r="H42" s="228">
        <f t="shared" si="1"/>
        <v>10.8</v>
      </c>
      <c r="I42" s="228">
        <f>E42*H42</f>
        <v>3084.48</v>
      </c>
      <c r="J42" s="228">
        <f>I42*7.8</f>
        <v>24058.94</v>
      </c>
      <c r="K42" s="292"/>
    </row>
    <row r="43" spans="1:11" ht="12.75">
      <c r="A43" s="225" t="s">
        <v>632</v>
      </c>
      <c r="B43" s="161"/>
      <c r="C43" s="161"/>
      <c r="D43" s="161"/>
      <c r="E43" s="533">
        <f>SUM(E8:E42)</f>
        <v>9830.1</v>
      </c>
      <c r="F43" s="225"/>
      <c r="G43" s="225"/>
      <c r="H43" s="230"/>
      <c r="I43" s="230">
        <f>SUM(I8:I42)</f>
        <v>107721.4</v>
      </c>
      <c r="J43" s="230">
        <f>SUM(J8:J42)</f>
        <v>840226.92</v>
      </c>
      <c r="K43" s="637"/>
    </row>
    <row r="44" spans="1:11" ht="12.75">
      <c r="A44" s="161"/>
      <c r="B44" s="161"/>
      <c r="C44" s="161"/>
      <c r="D44" s="161"/>
      <c r="E44" s="527"/>
      <c r="F44" s="161"/>
      <c r="G44" s="161"/>
      <c r="H44" s="228"/>
      <c r="I44" s="228"/>
      <c r="J44" s="228"/>
      <c r="K44" s="292"/>
    </row>
    <row r="45" spans="1:11" ht="12.75">
      <c r="A45" s="225" t="s">
        <v>496</v>
      </c>
      <c r="B45" s="161"/>
      <c r="C45" s="161"/>
      <c r="D45" s="161"/>
      <c r="E45" s="527"/>
      <c r="F45" s="161"/>
      <c r="G45" s="161"/>
      <c r="H45" s="228"/>
      <c r="I45" s="228"/>
      <c r="J45" s="228"/>
      <c r="K45" s="292"/>
    </row>
    <row r="46" spans="1:11" ht="12.75">
      <c r="A46" s="161" t="s">
        <v>497</v>
      </c>
      <c r="B46" s="161" t="s">
        <v>474</v>
      </c>
      <c r="C46" s="161">
        <v>150</v>
      </c>
      <c r="D46" s="161">
        <v>0.023</v>
      </c>
      <c r="E46" s="527">
        <f t="shared" si="0"/>
        <v>6521.7</v>
      </c>
      <c r="F46" s="161">
        <v>4</v>
      </c>
      <c r="G46" s="161">
        <v>0.688</v>
      </c>
      <c r="H46" s="228">
        <f t="shared" si="1"/>
        <v>5.5</v>
      </c>
      <c r="I46" s="228">
        <f>E46*H46</f>
        <v>35869.35</v>
      </c>
      <c r="J46" s="228">
        <f>I46*7.8</f>
        <v>279780.93</v>
      </c>
      <c r="K46" s="292"/>
    </row>
    <row r="47" spans="1:11" ht="12.75">
      <c r="A47" s="161" t="s">
        <v>498</v>
      </c>
      <c r="B47" s="161" t="s">
        <v>474</v>
      </c>
      <c r="C47" s="161">
        <v>58</v>
      </c>
      <c r="D47" s="161">
        <v>0.054</v>
      </c>
      <c r="E47" s="527">
        <f t="shared" si="0"/>
        <v>1074.1</v>
      </c>
      <c r="F47" s="161">
        <v>4</v>
      </c>
      <c r="G47" s="161">
        <v>0.688</v>
      </c>
      <c r="H47" s="228">
        <f t="shared" si="1"/>
        <v>5.5</v>
      </c>
      <c r="I47" s="228">
        <f>E47*H47</f>
        <v>5907.55</v>
      </c>
      <c r="J47" s="228">
        <f>I47*7.8</f>
        <v>46078.89</v>
      </c>
      <c r="K47" s="292"/>
    </row>
    <row r="48" spans="1:11" ht="12.75">
      <c r="A48" s="161" t="s">
        <v>499</v>
      </c>
      <c r="B48" s="161" t="s">
        <v>474</v>
      </c>
      <c r="C48" s="161">
        <v>51</v>
      </c>
      <c r="D48" s="161">
        <v>0.04</v>
      </c>
      <c r="E48" s="527">
        <f t="shared" si="0"/>
        <v>1275</v>
      </c>
      <c r="F48" s="161">
        <v>3</v>
      </c>
      <c r="G48" s="161">
        <v>0.984</v>
      </c>
      <c r="H48" s="228">
        <f t="shared" si="1"/>
        <v>7.87</v>
      </c>
      <c r="I48" s="228">
        <f>E48*H48</f>
        <v>10034.25</v>
      </c>
      <c r="J48" s="228">
        <f>I48*7.8</f>
        <v>78267.15</v>
      </c>
      <c r="K48" s="292"/>
    </row>
    <row r="49" spans="1:11" ht="12.75">
      <c r="A49" s="161" t="s">
        <v>500</v>
      </c>
      <c r="B49" s="161" t="s">
        <v>474</v>
      </c>
      <c r="C49" s="161">
        <f>C50+C51</f>
        <v>1545</v>
      </c>
      <c r="D49" s="161"/>
      <c r="E49" s="527"/>
      <c r="F49" s="161"/>
      <c r="G49" s="161"/>
      <c r="H49" s="228"/>
      <c r="I49" s="228"/>
      <c r="J49" s="228"/>
      <c r="K49" s="292"/>
    </row>
    <row r="50" spans="1:11" ht="12.75">
      <c r="A50" s="161" t="s">
        <v>501</v>
      </c>
      <c r="B50" s="161" t="s">
        <v>474</v>
      </c>
      <c r="C50" s="161">
        <v>525</v>
      </c>
      <c r="D50" s="161">
        <v>3.3</v>
      </c>
      <c r="E50" s="527">
        <f t="shared" si="0"/>
        <v>159.1</v>
      </c>
      <c r="F50" s="161">
        <v>6</v>
      </c>
      <c r="G50" s="161">
        <v>1.35</v>
      </c>
      <c r="H50" s="228">
        <f t="shared" si="1"/>
        <v>10.8</v>
      </c>
      <c r="I50" s="228">
        <f>E50*H50</f>
        <v>1718.28</v>
      </c>
      <c r="J50" s="228">
        <f>I50*7.8</f>
        <v>13402.58</v>
      </c>
      <c r="K50" s="292"/>
    </row>
    <row r="51" spans="1:14" ht="12.75">
      <c r="A51" s="161" t="s">
        <v>502</v>
      </c>
      <c r="B51" s="161" t="s">
        <v>474</v>
      </c>
      <c r="C51" s="161">
        <v>1020</v>
      </c>
      <c r="D51" s="161">
        <v>0.15</v>
      </c>
      <c r="E51" s="527">
        <f t="shared" si="0"/>
        <v>6800</v>
      </c>
      <c r="F51" s="161">
        <v>2</v>
      </c>
      <c r="G51" s="161">
        <v>0.54</v>
      </c>
      <c r="H51" s="228">
        <f t="shared" si="1"/>
        <v>4.32</v>
      </c>
      <c r="I51" s="228">
        <f>E51*H51</f>
        <v>29376</v>
      </c>
      <c r="J51" s="228">
        <f>I51*7.8</f>
        <v>229132.8</v>
      </c>
      <c r="K51" s="292"/>
      <c r="M51">
        <f>C50*10</f>
        <v>5250</v>
      </c>
      <c r="N51">
        <f>M51*10</f>
        <v>52500</v>
      </c>
    </row>
    <row r="52" spans="1:11" ht="12.75">
      <c r="A52" s="161" t="s">
        <v>503</v>
      </c>
      <c r="B52" s="161" t="s">
        <v>474</v>
      </c>
      <c r="C52" s="161">
        <v>164</v>
      </c>
      <c r="D52" s="161">
        <v>0.08</v>
      </c>
      <c r="E52" s="527">
        <f t="shared" si="0"/>
        <v>2050</v>
      </c>
      <c r="F52" s="161">
        <v>3</v>
      </c>
      <c r="G52" s="161">
        <v>0.61</v>
      </c>
      <c r="H52" s="228">
        <f t="shared" si="1"/>
        <v>4.88</v>
      </c>
      <c r="I52" s="228">
        <f>E52*H52</f>
        <v>10004</v>
      </c>
      <c r="J52" s="228">
        <f>I52*7.8</f>
        <v>78031.2</v>
      </c>
      <c r="K52" s="292"/>
    </row>
    <row r="53" spans="1:11" ht="12.75">
      <c r="A53" s="161" t="s">
        <v>504</v>
      </c>
      <c r="B53" s="161" t="s">
        <v>474</v>
      </c>
      <c r="C53" s="161">
        <v>157</v>
      </c>
      <c r="D53" s="161"/>
      <c r="E53" s="527"/>
      <c r="F53" s="161"/>
      <c r="G53" s="161"/>
      <c r="H53" s="228"/>
      <c r="I53" s="228"/>
      <c r="J53" s="228"/>
      <c r="K53" s="292"/>
    </row>
    <row r="54" spans="1:11" ht="12.75">
      <c r="A54" s="161" t="s">
        <v>505</v>
      </c>
      <c r="B54" s="161" t="s">
        <v>474</v>
      </c>
      <c r="C54" s="161">
        <v>7</v>
      </c>
      <c r="D54" s="161">
        <v>1.5</v>
      </c>
      <c r="E54" s="527">
        <f t="shared" si="0"/>
        <v>4.7</v>
      </c>
      <c r="F54" s="161">
        <v>6</v>
      </c>
      <c r="G54" s="161">
        <v>1.35</v>
      </c>
      <c r="H54" s="228">
        <f t="shared" si="1"/>
        <v>10.8</v>
      </c>
      <c r="I54" s="228">
        <f aca="true" t="shared" si="2" ref="I54:I60">E54*H54</f>
        <v>50.76</v>
      </c>
      <c r="J54" s="228">
        <f aca="true" t="shared" si="3" ref="J54:J60">I54*7.8</f>
        <v>395.93</v>
      </c>
      <c r="K54" s="292"/>
    </row>
    <row r="55" spans="1:14" ht="12.75">
      <c r="A55" s="161" t="s">
        <v>506</v>
      </c>
      <c r="B55" s="161" t="s">
        <v>474</v>
      </c>
      <c r="C55" s="161">
        <v>154.2</v>
      </c>
      <c r="D55" s="161">
        <v>3.48</v>
      </c>
      <c r="E55" s="527">
        <f t="shared" si="0"/>
        <v>44.3</v>
      </c>
      <c r="F55" s="161">
        <v>4</v>
      </c>
      <c r="G55" s="161">
        <v>0.688</v>
      </c>
      <c r="H55" s="228">
        <f t="shared" si="1"/>
        <v>5.5</v>
      </c>
      <c r="I55" s="228">
        <f t="shared" si="2"/>
        <v>243.65</v>
      </c>
      <c r="J55" s="228">
        <f t="shared" si="3"/>
        <v>1900.47</v>
      </c>
      <c r="K55" s="292"/>
      <c r="M55">
        <f>87*30</f>
        <v>2610</v>
      </c>
      <c r="N55">
        <f>M55*10</f>
        <v>26100</v>
      </c>
    </row>
    <row r="56" spans="1:11" ht="12.75">
      <c r="A56" s="161" t="s">
        <v>507</v>
      </c>
      <c r="B56" s="161" t="s">
        <v>444</v>
      </c>
      <c r="C56" s="161">
        <v>1975</v>
      </c>
      <c r="D56" s="161">
        <v>1.96</v>
      </c>
      <c r="E56" s="527">
        <f t="shared" si="0"/>
        <v>1007.7</v>
      </c>
      <c r="F56" s="161">
        <v>4</v>
      </c>
      <c r="G56" s="161">
        <v>0.688</v>
      </c>
      <c r="H56" s="228">
        <f t="shared" si="1"/>
        <v>5.5</v>
      </c>
      <c r="I56" s="228">
        <f t="shared" si="2"/>
        <v>5542.35</v>
      </c>
      <c r="J56" s="228">
        <f t="shared" si="3"/>
        <v>43230.33</v>
      </c>
      <c r="K56" s="292"/>
    </row>
    <row r="57" spans="1:11" ht="12.75">
      <c r="A57" s="161" t="s">
        <v>508</v>
      </c>
      <c r="B57" s="161" t="s">
        <v>474</v>
      </c>
      <c r="C57" s="161">
        <v>2.2</v>
      </c>
      <c r="D57" s="161">
        <v>0.15</v>
      </c>
      <c r="E57" s="527">
        <f t="shared" si="0"/>
        <v>14.7</v>
      </c>
      <c r="F57" s="161">
        <v>5</v>
      </c>
      <c r="G57" s="161">
        <v>0.774</v>
      </c>
      <c r="H57" s="228">
        <f t="shared" si="1"/>
        <v>6.19</v>
      </c>
      <c r="I57" s="228">
        <f t="shared" si="2"/>
        <v>90.99</v>
      </c>
      <c r="J57" s="228">
        <f t="shared" si="3"/>
        <v>709.72</v>
      </c>
      <c r="K57" s="292"/>
    </row>
    <row r="58" spans="1:14" ht="12.75">
      <c r="A58" s="161" t="s">
        <v>509</v>
      </c>
      <c r="B58" s="161" t="s">
        <v>510</v>
      </c>
      <c r="C58" s="161">
        <v>900</v>
      </c>
      <c r="D58" s="161">
        <v>0.48</v>
      </c>
      <c r="E58" s="527">
        <f t="shared" si="0"/>
        <v>1875</v>
      </c>
      <c r="F58" s="161">
        <v>4</v>
      </c>
      <c r="G58" s="161">
        <v>0.688</v>
      </c>
      <c r="H58" s="228">
        <f t="shared" si="1"/>
        <v>5.5</v>
      </c>
      <c r="I58" s="228">
        <f t="shared" si="2"/>
        <v>10312.5</v>
      </c>
      <c r="J58" s="228">
        <f t="shared" si="3"/>
        <v>80437.5</v>
      </c>
      <c r="K58" s="292"/>
      <c r="M58">
        <v>100</v>
      </c>
      <c r="N58">
        <v>1000</v>
      </c>
    </row>
    <row r="59" spans="1:11" ht="12.75">
      <c r="A59" s="161" t="s">
        <v>511</v>
      </c>
      <c r="B59" s="161" t="s">
        <v>474</v>
      </c>
      <c r="C59" s="161">
        <v>5</v>
      </c>
      <c r="D59" s="161">
        <v>0.023</v>
      </c>
      <c r="E59" s="527">
        <f t="shared" si="0"/>
        <v>217.4</v>
      </c>
      <c r="F59" s="161">
        <v>4</v>
      </c>
      <c r="G59" s="161">
        <v>0.688</v>
      </c>
      <c r="H59" s="228">
        <f t="shared" si="1"/>
        <v>5.5</v>
      </c>
      <c r="I59" s="228">
        <f t="shared" si="2"/>
        <v>1195.7</v>
      </c>
      <c r="J59" s="228">
        <f t="shared" si="3"/>
        <v>9326.46</v>
      </c>
      <c r="K59" s="292"/>
    </row>
    <row r="60" spans="1:11" ht="12.75">
      <c r="A60" s="161" t="s">
        <v>512</v>
      </c>
      <c r="B60" s="161" t="s">
        <v>510</v>
      </c>
      <c r="C60" s="161">
        <v>110</v>
      </c>
      <c r="D60" s="161">
        <v>0.024</v>
      </c>
      <c r="E60" s="527">
        <f t="shared" si="0"/>
        <v>4583.3</v>
      </c>
      <c r="F60" s="161">
        <v>4</v>
      </c>
      <c r="G60" s="161">
        <v>0.958</v>
      </c>
      <c r="H60" s="228">
        <f t="shared" si="1"/>
        <v>7.66</v>
      </c>
      <c r="I60" s="228">
        <f t="shared" si="2"/>
        <v>35108.08</v>
      </c>
      <c r="J60" s="228">
        <f t="shared" si="3"/>
        <v>273843.02</v>
      </c>
      <c r="K60" s="292"/>
    </row>
    <row r="61" spans="1:11" ht="12.75">
      <c r="A61" s="161" t="s">
        <v>513</v>
      </c>
      <c r="B61" s="161" t="s">
        <v>474</v>
      </c>
      <c r="C61" s="161">
        <v>87</v>
      </c>
      <c r="D61" s="161" t="s">
        <v>629</v>
      </c>
      <c r="E61" s="527"/>
      <c r="F61" s="161"/>
      <c r="G61" s="161"/>
      <c r="H61" s="228"/>
      <c r="I61" s="228"/>
      <c r="J61" s="228"/>
      <c r="K61" s="292"/>
    </row>
    <row r="62" spans="1:11" ht="12.75">
      <c r="A62" s="161" t="s">
        <v>514</v>
      </c>
      <c r="B62" s="161" t="s">
        <v>474</v>
      </c>
      <c r="C62" s="161">
        <v>34</v>
      </c>
      <c r="D62" s="161" t="s">
        <v>629</v>
      </c>
      <c r="E62" s="527"/>
      <c r="F62" s="161"/>
      <c r="G62" s="161"/>
      <c r="H62" s="228"/>
      <c r="I62" s="228"/>
      <c r="J62" s="228"/>
      <c r="K62" s="292"/>
    </row>
    <row r="63" spans="1:11" ht="12.75">
      <c r="A63" s="534" t="s">
        <v>228</v>
      </c>
      <c r="B63" s="161"/>
      <c r="C63" s="161"/>
      <c r="D63" s="161"/>
      <c r="E63" s="533">
        <f>SUM(E46:E62)</f>
        <v>25627</v>
      </c>
      <c r="F63" s="533"/>
      <c r="G63" s="533"/>
      <c r="H63" s="533"/>
      <c r="I63" s="533">
        <f>SUM(I46:I62)</f>
        <v>145453.5</v>
      </c>
      <c r="J63" s="230">
        <f>SUM(J46:J62)</f>
        <v>1134536.98</v>
      </c>
      <c r="K63" s="637"/>
    </row>
    <row r="64" spans="1:11" ht="12.75">
      <c r="A64" s="161"/>
      <c r="B64" s="161"/>
      <c r="C64" s="161"/>
      <c r="D64" s="161"/>
      <c r="E64" s="527"/>
      <c r="F64" s="161"/>
      <c r="G64" s="161"/>
      <c r="H64" s="228"/>
      <c r="I64" s="228"/>
      <c r="J64" s="228"/>
      <c r="K64" s="292"/>
    </row>
    <row r="65" spans="1:11" ht="12.75">
      <c r="A65" s="225" t="s">
        <v>515</v>
      </c>
      <c r="B65" s="161"/>
      <c r="C65" s="161"/>
      <c r="D65" s="161"/>
      <c r="E65" s="527"/>
      <c r="F65" s="161"/>
      <c r="G65" s="161"/>
      <c r="H65" s="228"/>
      <c r="I65" s="228"/>
      <c r="J65" s="228"/>
      <c r="K65" s="292"/>
    </row>
    <row r="66" spans="1:11" ht="12.75">
      <c r="A66" s="161" t="s">
        <v>516</v>
      </c>
      <c r="B66" s="161" t="s">
        <v>517</v>
      </c>
      <c r="C66" s="161">
        <v>10</v>
      </c>
      <c r="D66" s="161">
        <v>0.11</v>
      </c>
      <c r="E66" s="527">
        <f t="shared" si="0"/>
        <v>90.9</v>
      </c>
      <c r="F66" s="161">
        <v>4</v>
      </c>
      <c r="G66" s="161">
        <v>0.688</v>
      </c>
      <c r="H66" s="228">
        <f t="shared" si="1"/>
        <v>5.5</v>
      </c>
      <c r="I66" s="228">
        <f>E66*H66</f>
        <v>499.95</v>
      </c>
      <c r="J66" s="228">
        <f>I66*7.8</f>
        <v>3899.61</v>
      </c>
      <c r="K66" s="292"/>
    </row>
    <row r="67" spans="1:11" ht="27.75" customHeight="1">
      <c r="A67" s="531" t="s">
        <v>518</v>
      </c>
      <c r="B67" s="161" t="s">
        <v>519</v>
      </c>
      <c r="C67" s="161">
        <v>320</v>
      </c>
      <c r="D67" s="161">
        <v>5</v>
      </c>
      <c r="E67" s="527">
        <f t="shared" si="0"/>
        <v>64</v>
      </c>
      <c r="F67" s="535">
        <v>5</v>
      </c>
      <c r="G67" s="161">
        <v>0.774</v>
      </c>
      <c r="H67" s="228">
        <f t="shared" si="1"/>
        <v>6.19</v>
      </c>
      <c r="I67" s="228">
        <f>E67*H67</f>
        <v>396.16</v>
      </c>
      <c r="J67" s="228">
        <f>I67*7.8</f>
        <v>3090.05</v>
      </c>
      <c r="K67" s="292"/>
    </row>
    <row r="68" spans="1:11" ht="12.75" customHeight="1">
      <c r="A68" s="536" t="s">
        <v>228</v>
      </c>
      <c r="B68" s="161"/>
      <c r="C68" s="161"/>
      <c r="D68" s="161"/>
      <c r="E68" s="533">
        <f>SUM(E66:E67)</f>
        <v>154.9</v>
      </c>
      <c r="F68" s="533"/>
      <c r="G68" s="533"/>
      <c r="H68" s="533"/>
      <c r="I68" s="533">
        <f>SUM(I66:I67)</f>
        <v>896.1</v>
      </c>
      <c r="J68" s="230">
        <f>SUM(J66:J67)</f>
        <v>6989.66</v>
      </c>
      <c r="K68" s="637"/>
    </row>
    <row r="69" spans="1:11" ht="15" customHeight="1">
      <c r="A69" s="531"/>
      <c r="B69" s="161"/>
      <c r="C69" s="161"/>
      <c r="D69" s="161"/>
      <c r="E69" s="527"/>
      <c r="F69" s="535"/>
      <c r="G69" s="161"/>
      <c r="H69" s="228"/>
      <c r="I69" s="228"/>
      <c r="J69" s="228"/>
      <c r="K69" s="292"/>
    </row>
    <row r="70" spans="1:11" ht="12.75">
      <c r="A70" s="225" t="s">
        <v>520</v>
      </c>
      <c r="B70" s="161"/>
      <c r="C70" s="161"/>
      <c r="D70" s="161"/>
      <c r="E70" s="527"/>
      <c r="F70" s="161"/>
      <c r="G70" s="161"/>
      <c r="H70" s="228"/>
      <c r="I70" s="228"/>
      <c r="J70" s="228"/>
      <c r="K70" s="292"/>
    </row>
    <row r="71" spans="1:11" ht="12.75">
      <c r="A71" s="161" t="s">
        <v>521</v>
      </c>
      <c r="B71" s="161" t="s">
        <v>494</v>
      </c>
      <c r="C71" s="161">
        <v>16</v>
      </c>
      <c r="D71" s="161">
        <v>0.029</v>
      </c>
      <c r="E71" s="527">
        <f t="shared" si="0"/>
        <v>551.7</v>
      </c>
      <c r="F71" s="161">
        <v>5</v>
      </c>
      <c r="G71" s="161">
        <v>0.774</v>
      </c>
      <c r="H71" s="228">
        <f t="shared" si="1"/>
        <v>6.19</v>
      </c>
      <c r="I71" s="228">
        <f>E71*H71</f>
        <v>3415.02</v>
      </c>
      <c r="J71" s="228">
        <f>I71*7.8</f>
        <v>26637.16</v>
      </c>
      <c r="K71" s="292"/>
    </row>
    <row r="72" spans="1:11" ht="12.75">
      <c r="A72" s="161" t="s">
        <v>522</v>
      </c>
      <c r="B72" s="161" t="s">
        <v>494</v>
      </c>
      <c r="C72" s="161">
        <v>360</v>
      </c>
      <c r="D72" s="161">
        <v>3.85</v>
      </c>
      <c r="E72" s="527">
        <f t="shared" si="0"/>
        <v>93.5</v>
      </c>
      <c r="F72" s="161">
        <v>5</v>
      </c>
      <c r="G72" s="161">
        <v>1.138</v>
      </c>
      <c r="H72" s="228">
        <f t="shared" si="1"/>
        <v>9.1</v>
      </c>
      <c r="I72" s="228">
        <f>E72*H72</f>
        <v>850.85</v>
      </c>
      <c r="J72" s="228">
        <f>I72*7.8</f>
        <v>6636.63</v>
      </c>
      <c r="K72" s="292"/>
    </row>
    <row r="73" spans="1:11" ht="12.75">
      <c r="A73" s="161" t="s">
        <v>523</v>
      </c>
      <c r="B73" s="161" t="s">
        <v>524</v>
      </c>
      <c r="C73" s="161">
        <v>7500</v>
      </c>
      <c r="D73" s="161">
        <v>1</v>
      </c>
      <c r="E73" s="527">
        <f t="shared" si="0"/>
        <v>7500</v>
      </c>
      <c r="F73" s="161">
        <v>3</v>
      </c>
      <c r="G73" s="161">
        <v>0.554</v>
      </c>
      <c r="H73" s="228">
        <f t="shared" si="1"/>
        <v>4.43</v>
      </c>
      <c r="I73" s="228">
        <f>E73*H73</f>
        <v>33225</v>
      </c>
      <c r="J73" s="228">
        <f>I73*7.8</f>
        <v>259155</v>
      </c>
      <c r="K73" s="292"/>
    </row>
    <row r="74" spans="1:11" ht="12.75">
      <c r="A74" s="161" t="s">
        <v>525</v>
      </c>
      <c r="B74" s="161" t="s">
        <v>75</v>
      </c>
      <c r="C74" s="161">
        <v>50</v>
      </c>
      <c r="D74" s="161">
        <v>0.11</v>
      </c>
      <c r="E74" s="527">
        <f t="shared" si="0"/>
        <v>454.5</v>
      </c>
      <c r="F74" s="161">
        <v>5</v>
      </c>
      <c r="G74" s="161">
        <v>0.774</v>
      </c>
      <c r="H74" s="228">
        <f t="shared" si="1"/>
        <v>6.19</v>
      </c>
      <c r="I74" s="228">
        <f>E74*H74</f>
        <v>2813.36</v>
      </c>
      <c r="J74" s="228">
        <f>I74*7.8</f>
        <v>21944.21</v>
      </c>
      <c r="K74" s="292"/>
    </row>
    <row r="75" spans="1:11" ht="12.75">
      <c r="A75" s="161" t="s">
        <v>526</v>
      </c>
      <c r="B75" s="161" t="s">
        <v>270</v>
      </c>
      <c r="C75" s="161">
        <v>55200</v>
      </c>
      <c r="D75" s="161"/>
      <c r="E75" s="527">
        <v>2160</v>
      </c>
      <c r="F75" s="161"/>
      <c r="G75" s="161"/>
      <c r="H75" s="228"/>
      <c r="I75" s="228">
        <f>J75/7.1</f>
        <v>7774.65</v>
      </c>
      <c r="J75" s="228">
        <v>55200</v>
      </c>
      <c r="K75" s="292"/>
    </row>
    <row r="76" spans="1:11" ht="12.75">
      <c r="A76" s="161" t="s">
        <v>527</v>
      </c>
      <c r="B76" s="161" t="s">
        <v>270</v>
      </c>
      <c r="C76" s="161">
        <v>59000</v>
      </c>
      <c r="D76" s="161"/>
      <c r="E76" s="527">
        <v>737</v>
      </c>
      <c r="F76" s="161"/>
      <c r="G76" s="161"/>
      <c r="H76" s="228"/>
      <c r="I76" s="228">
        <f>J76/7.1</f>
        <v>8309.86</v>
      </c>
      <c r="J76" s="228">
        <v>59000</v>
      </c>
      <c r="K76" s="292"/>
    </row>
    <row r="77" spans="1:12" ht="26.25">
      <c r="A77" s="531" t="s">
        <v>528</v>
      </c>
      <c r="B77" s="161" t="s">
        <v>11</v>
      </c>
      <c r="C77" s="161">
        <v>63500</v>
      </c>
      <c r="D77" s="161"/>
      <c r="E77" s="527">
        <v>800</v>
      </c>
      <c r="F77" s="161"/>
      <c r="G77" s="161"/>
      <c r="H77" s="228"/>
      <c r="I77" s="228">
        <f>J77/7.1</f>
        <v>8943.66</v>
      </c>
      <c r="J77" s="228">
        <v>63500</v>
      </c>
      <c r="K77" s="292"/>
      <c r="L77">
        <f>J77/E77</f>
        <v>79.375</v>
      </c>
    </row>
    <row r="78" spans="1:11" ht="12.75">
      <c r="A78" s="161" t="s">
        <v>529</v>
      </c>
      <c r="B78" s="161" t="s">
        <v>524</v>
      </c>
      <c r="C78" s="161">
        <v>660</v>
      </c>
      <c r="D78" s="161">
        <v>1</v>
      </c>
      <c r="E78" s="527">
        <f aca="true" t="shared" si="4" ref="E78:E90">C78/D78</f>
        <v>660</v>
      </c>
      <c r="F78" s="161">
        <v>3</v>
      </c>
      <c r="G78" s="161">
        <v>0.554</v>
      </c>
      <c r="H78" s="228">
        <f aca="true" t="shared" si="5" ref="H78:H90">G78*8</f>
        <v>4.43</v>
      </c>
      <c r="I78" s="228">
        <f>E78*H78</f>
        <v>2923.8</v>
      </c>
      <c r="J78" s="228">
        <f>I78*7.8</f>
        <v>22805.64</v>
      </c>
      <c r="K78" s="292"/>
    </row>
    <row r="79" spans="1:11" ht="12.75">
      <c r="A79" s="161" t="s">
        <v>530</v>
      </c>
      <c r="B79" s="161" t="s">
        <v>75</v>
      </c>
      <c r="C79" s="161">
        <v>26</v>
      </c>
      <c r="D79" s="161"/>
      <c r="E79" s="533"/>
      <c r="F79" s="161"/>
      <c r="G79" s="161"/>
      <c r="H79" s="228"/>
      <c r="I79" s="228">
        <f>J79/7.1</f>
        <v>3661.97</v>
      </c>
      <c r="J79" s="228">
        <v>26000</v>
      </c>
      <c r="K79" s="292"/>
    </row>
    <row r="80" spans="1:11" ht="12.75">
      <c r="A80" s="534" t="s">
        <v>228</v>
      </c>
      <c r="B80" s="161"/>
      <c r="C80" s="161"/>
      <c r="D80" s="161"/>
      <c r="E80" s="533">
        <f>SUM(E71:E79)</f>
        <v>12956.7</v>
      </c>
      <c r="F80" s="533"/>
      <c r="G80" s="533"/>
      <c r="H80" s="533"/>
      <c r="I80" s="533">
        <f>SUM(I71:I79)</f>
        <v>71918.2</v>
      </c>
      <c r="J80" s="230">
        <f>SUM(J71:J79)</f>
        <v>540878.64</v>
      </c>
      <c r="K80" s="637"/>
    </row>
    <row r="81" spans="1:11" ht="12.75">
      <c r="A81" s="161"/>
      <c r="B81" s="161"/>
      <c r="C81" s="161"/>
      <c r="D81" s="161"/>
      <c r="E81" s="527"/>
      <c r="F81" s="161"/>
      <c r="G81" s="161"/>
      <c r="H81" s="228"/>
      <c r="I81" s="228"/>
      <c r="J81" s="228"/>
      <c r="K81" s="292"/>
    </row>
    <row r="82" spans="1:11" ht="12.75">
      <c r="A82" s="225" t="s">
        <v>531</v>
      </c>
      <c r="B82" s="161"/>
      <c r="C82" s="161"/>
      <c r="D82" s="161"/>
      <c r="E82" s="533"/>
      <c r="F82" s="161"/>
      <c r="G82" s="161"/>
      <c r="H82" s="228"/>
      <c r="I82" s="228"/>
      <c r="J82" s="228"/>
      <c r="K82" s="292"/>
    </row>
    <row r="83" spans="1:11" ht="12.75">
      <c r="A83" s="161" t="s">
        <v>532</v>
      </c>
      <c r="B83" s="161" t="s">
        <v>474</v>
      </c>
      <c r="C83" s="161">
        <v>0</v>
      </c>
      <c r="D83" s="161">
        <v>3</v>
      </c>
      <c r="E83" s="527">
        <f t="shared" si="4"/>
        <v>0</v>
      </c>
      <c r="F83" s="161">
        <v>5</v>
      </c>
      <c r="G83" s="161">
        <v>1.138</v>
      </c>
      <c r="H83" s="228">
        <f t="shared" si="5"/>
        <v>9.1</v>
      </c>
      <c r="I83" s="228">
        <f>E83*H83</f>
        <v>0</v>
      </c>
      <c r="J83" s="228">
        <f>I83*7.8</f>
        <v>0</v>
      </c>
      <c r="K83" s="292"/>
    </row>
    <row r="84" spans="1:11" ht="12.75">
      <c r="A84" s="161" t="s">
        <v>533</v>
      </c>
      <c r="B84" s="161" t="s">
        <v>474</v>
      </c>
      <c r="C84" s="161">
        <v>0</v>
      </c>
      <c r="D84" s="161">
        <v>3</v>
      </c>
      <c r="E84" s="527">
        <f t="shared" si="4"/>
        <v>0</v>
      </c>
      <c r="F84" s="161">
        <v>5</v>
      </c>
      <c r="G84" s="161">
        <v>1.138</v>
      </c>
      <c r="H84" s="228">
        <f t="shared" si="5"/>
        <v>9.1</v>
      </c>
      <c r="I84" s="228">
        <f>E84*H84</f>
        <v>0</v>
      </c>
      <c r="J84" s="228">
        <f>I84*7.8</f>
        <v>0</v>
      </c>
      <c r="K84" s="292"/>
    </row>
    <row r="85" spans="1:11" ht="12.75">
      <c r="A85" s="161" t="s">
        <v>1115</v>
      </c>
      <c r="B85" s="161" t="s">
        <v>534</v>
      </c>
      <c r="C85" s="161">
        <v>13.2</v>
      </c>
      <c r="D85" s="161">
        <v>0.074</v>
      </c>
      <c r="E85" s="527">
        <f t="shared" si="4"/>
        <v>178.4</v>
      </c>
      <c r="F85" s="161">
        <v>2</v>
      </c>
      <c r="G85" s="161">
        <v>0.54</v>
      </c>
      <c r="H85" s="228">
        <f t="shared" si="5"/>
        <v>4.32</v>
      </c>
      <c r="I85" s="228">
        <f>E85*H85</f>
        <v>770.69</v>
      </c>
      <c r="J85" s="228">
        <f>I85*7.8</f>
        <v>6011.38</v>
      </c>
      <c r="K85" s="292"/>
    </row>
    <row r="86" spans="1:11" ht="12.75">
      <c r="A86" s="161" t="s">
        <v>1116</v>
      </c>
      <c r="B86" s="161" t="s">
        <v>535</v>
      </c>
      <c r="C86" s="161">
        <v>0</v>
      </c>
      <c r="D86" s="161">
        <v>0.06</v>
      </c>
      <c r="E86" s="527">
        <f t="shared" si="4"/>
        <v>0</v>
      </c>
      <c r="F86" s="161">
        <v>2</v>
      </c>
      <c r="G86" s="161">
        <v>0.54</v>
      </c>
      <c r="H86" s="228">
        <f t="shared" si="5"/>
        <v>4.32</v>
      </c>
      <c r="I86" s="228">
        <f>E86*H86</f>
        <v>0</v>
      </c>
      <c r="J86" s="228">
        <f>I86*7.8</f>
        <v>0</v>
      </c>
      <c r="K86" s="292"/>
    </row>
    <row r="87" spans="1:11" ht="12.75">
      <c r="A87" s="161" t="s">
        <v>1117</v>
      </c>
      <c r="B87" s="161" t="s">
        <v>534</v>
      </c>
      <c r="C87" s="161">
        <v>13.2</v>
      </c>
      <c r="D87" s="161" t="s">
        <v>629</v>
      </c>
      <c r="E87" s="527"/>
      <c r="F87" s="161"/>
      <c r="G87" s="161"/>
      <c r="H87" s="228"/>
      <c r="I87" s="228"/>
      <c r="J87" s="228"/>
      <c r="K87" s="292"/>
    </row>
    <row r="88" spans="1:11" ht="12.75">
      <c r="A88" s="161" t="s">
        <v>536</v>
      </c>
      <c r="B88" s="161" t="s">
        <v>535</v>
      </c>
      <c r="C88" s="161">
        <v>0</v>
      </c>
      <c r="D88" s="161" t="s">
        <v>629</v>
      </c>
      <c r="E88" s="527"/>
      <c r="F88" s="161"/>
      <c r="G88" s="161"/>
      <c r="H88" s="228"/>
      <c r="I88" s="228"/>
      <c r="J88" s="228"/>
      <c r="K88" s="292"/>
    </row>
    <row r="89" spans="1:11" ht="12.75">
      <c r="A89" s="161" t="s">
        <v>1118</v>
      </c>
      <c r="B89" s="161" t="s">
        <v>75</v>
      </c>
      <c r="C89" s="161">
        <v>5</v>
      </c>
      <c r="D89" s="161">
        <v>1</v>
      </c>
      <c r="E89" s="527">
        <f t="shared" si="4"/>
        <v>5</v>
      </c>
      <c r="F89" s="161">
        <v>5</v>
      </c>
      <c r="G89" s="161">
        <v>0.774</v>
      </c>
      <c r="H89" s="228">
        <f t="shared" si="5"/>
        <v>6.19</v>
      </c>
      <c r="I89" s="228">
        <f>E89*H89</f>
        <v>30.95</v>
      </c>
      <c r="J89" s="228">
        <f>I89*7.8</f>
        <v>241.41</v>
      </c>
      <c r="K89" s="292"/>
    </row>
    <row r="90" spans="1:11" ht="12.75">
      <c r="A90" s="161" t="s">
        <v>1119</v>
      </c>
      <c r="B90" s="161" t="s">
        <v>75</v>
      </c>
      <c r="C90" s="161">
        <v>20</v>
      </c>
      <c r="D90" s="161">
        <v>0.75</v>
      </c>
      <c r="E90" s="527">
        <f t="shared" si="4"/>
        <v>26.7</v>
      </c>
      <c r="F90" s="161">
        <v>5</v>
      </c>
      <c r="G90" s="161">
        <v>0.774</v>
      </c>
      <c r="H90" s="228">
        <f t="shared" si="5"/>
        <v>6.19</v>
      </c>
      <c r="I90" s="228">
        <f>E90*H90</f>
        <v>165.27</v>
      </c>
      <c r="J90" s="228">
        <f>I90*7.8</f>
        <v>1289.11</v>
      </c>
      <c r="K90" s="292"/>
    </row>
    <row r="91" spans="1:11" ht="12.75">
      <c r="A91" s="161" t="s">
        <v>1120</v>
      </c>
      <c r="B91" s="161" t="s">
        <v>444</v>
      </c>
      <c r="C91" s="161">
        <v>15000</v>
      </c>
      <c r="D91" s="161" t="s">
        <v>629</v>
      </c>
      <c r="E91" s="527"/>
      <c r="F91" s="161"/>
      <c r="G91" s="161"/>
      <c r="H91" s="228"/>
      <c r="I91" s="228"/>
      <c r="J91" s="228"/>
      <c r="K91" s="292"/>
    </row>
    <row r="92" spans="1:11" ht="12.75">
      <c r="A92" s="534" t="s">
        <v>228</v>
      </c>
      <c r="B92" s="161"/>
      <c r="C92" s="161"/>
      <c r="D92" s="161"/>
      <c r="E92" s="533">
        <f>SUM(E83:E91)</f>
        <v>210.1</v>
      </c>
      <c r="F92" s="533"/>
      <c r="G92" s="533"/>
      <c r="H92" s="533"/>
      <c r="I92" s="533">
        <f>SUM(I83:I91)</f>
        <v>966.9</v>
      </c>
      <c r="J92" s="230">
        <f>SUM(J83:J91)</f>
        <v>7541.9</v>
      </c>
      <c r="K92" s="637"/>
    </row>
    <row r="93" spans="1:13" ht="12.75">
      <c r="A93" s="534" t="s">
        <v>252</v>
      </c>
      <c r="B93" s="161"/>
      <c r="C93" s="161"/>
      <c r="D93" s="161"/>
      <c r="E93" s="533">
        <f>E43+E63+E68+E80+E92</f>
        <v>48778.8</v>
      </c>
      <c r="F93" s="533"/>
      <c r="G93" s="533"/>
      <c r="H93" s="533"/>
      <c r="I93" s="533">
        <f>I43+I63+I68+I80+I92</f>
        <v>326956.1</v>
      </c>
      <c r="J93" s="230">
        <f>J43+J63+J68+J80+J92</f>
        <v>2530174.1</v>
      </c>
      <c r="K93" s="637"/>
      <c r="M93" s="463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 t="s">
        <v>168</v>
      </c>
      <c r="J95" s="1" t="s">
        <v>11</v>
      </c>
      <c r="K95" s="1"/>
    </row>
    <row r="96" spans="1:13" ht="12.75">
      <c r="A96" s="1" t="s">
        <v>1108</v>
      </c>
      <c r="B96" s="1"/>
      <c r="C96" s="1"/>
      <c r="D96" s="1"/>
      <c r="E96" s="537"/>
      <c r="F96" s="1" t="s">
        <v>633</v>
      </c>
      <c r="G96" s="1"/>
      <c r="H96" s="1"/>
      <c r="I96" s="537">
        <f>I93</f>
        <v>326956.1</v>
      </c>
      <c r="J96" s="538">
        <f>J93</f>
        <v>2530174.1</v>
      </c>
      <c r="K96" s="538"/>
      <c r="M96" s="463"/>
    </row>
    <row r="97" spans="1:11" ht="12.75">
      <c r="A97" s="1" t="s">
        <v>1114</v>
      </c>
      <c r="B97" s="1"/>
      <c r="C97" s="1"/>
      <c r="D97" s="1"/>
      <c r="E97" s="1"/>
      <c r="F97" s="1" t="s">
        <v>21</v>
      </c>
      <c r="G97" s="1"/>
      <c r="H97" s="1"/>
      <c r="I97" s="1">
        <f>I96*0.5</f>
        <v>163478.05</v>
      </c>
      <c r="J97" s="1">
        <f>J96*0.5</f>
        <v>1265087.05</v>
      </c>
      <c r="K97" s="1"/>
    </row>
    <row r="98" spans="1:11" ht="12.75">
      <c r="A98" s="1" t="s">
        <v>1121</v>
      </c>
      <c r="B98" s="1"/>
      <c r="C98" s="1"/>
      <c r="D98" s="1"/>
      <c r="E98" s="1"/>
      <c r="F98" s="1" t="s">
        <v>634</v>
      </c>
      <c r="G98" s="1"/>
      <c r="H98" s="1"/>
      <c r="I98" s="538">
        <f>I96*0.1667</f>
        <v>54503.58</v>
      </c>
      <c r="J98" s="538">
        <f>J96*0.1667</f>
        <v>421780.02</v>
      </c>
      <c r="K98" s="538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3" ht="12.75">
      <c r="A100" s="1"/>
      <c r="B100" s="1"/>
      <c r="C100" s="1"/>
      <c r="D100" s="1"/>
      <c r="E100" s="1"/>
      <c r="F100" s="1" t="s">
        <v>635</v>
      </c>
      <c r="G100" s="1"/>
      <c r="H100" s="1"/>
      <c r="I100" s="537">
        <f>SUM(I96:I99)</f>
        <v>544937.7</v>
      </c>
      <c r="J100" s="537">
        <f>SUM(J96:J99)</f>
        <v>4217041.2</v>
      </c>
      <c r="K100" s="537"/>
      <c r="M100" s="463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 t="s">
        <v>636</v>
      </c>
      <c r="G102" s="1"/>
      <c r="H102" s="1"/>
      <c r="I102" s="538">
        <f>I96/12</f>
        <v>27246.34</v>
      </c>
      <c r="J102" s="538">
        <f>J96/12</f>
        <v>210847.84</v>
      </c>
      <c r="K102" s="538"/>
    </row>
    <row r="103" spans="1:11" ht="12.75">
      <c r="A103" s="1"/>
      <c r="B103" s="1"/>
      <c r="C103" s="1"/>
      <c r="D103" s="1"/>
      <c r="E103" s="1"/>
      <c r="F103" s="1" t="s">
        <v>21</v>
      </c>
      <c r="G103" s="1"/>
      <c r="H103" s="1"/>
      <c r="I103" s="538">
        <f>I102*0.5</f>
        <v>13623.17</v>
      </c>
      <c r="J103" s="538">
        <f>J102*0.5</f>
        <v>105423.92</v>
      </c>
      <c r="K103" s="538"/>
    </row>
    <row r="104" spans="1:11" ht="12.75">
      <c r="A104" s="1"/>
      <c r="B104" s="1"/>
      <c r="C104" s="1"/>
      <c r="D104" s="1"/>
      <c r="E104" s="1"/>
      <c r="F104" s="1" t="s">
        <v>634</v>
      </c>
      <c r="G104" s="1"/>
      <c r="H104" s="1"/>
      <c r="I104" s="538">
        <f>I102*0.1667</f>
        <v>4541.96</v>
      </c>
      <c r="J104" s="538">
        <f>J102*0.1667</f>
        <v>35148.33</v>
      </c>
      <c r="K104" s="538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 t="s">
        <v>637</v>
      </c>
      <c r="G106" s="1"/>
      <c r="H106" s="1"/>
      <c r="I106" s="538">
        <f>SUM(I102:I105)</f>
        <v>45411.47</v>
      </c>
      <c r="J106" s="538">
        <f>SUM(J102:J105)</f>
        <v>351420.09</v>
      </c>
      <c r="K106" s="538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9" spans="1:2" ht="12.75">
      <c r="A109" s="1" t="s">
        <v>1103</v>
      </c>
      <c r="B109" s="1"/>
    </row>
  </sheetData>
  <sheetProtection/>
  <mergeCells count="3">
    <mergeCell ref="C2:D2"/>
    <mergeCell ref="A3:J3"/>
    <mergeCell ref="B4:G4"/>
  </mergeCells>
  <printOptions/>
  <pageMargins left="0.7086614173228347" right="0.11811023622047245" top="0.7480314960629921" bottom="0.7480314960629921" header="0.31496062992125984" footer="0.31496062992125984"/>
  <pageSetup fitToHeight="2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4">
      <selection activeCell="B14" sqref="B14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8.625" style="0" customWidth="1"/>
    <col min="4" max="4" width="10.625" style="0" customWidth="1"/>
    <col min="8" max="8" width="9.875" style="0" customWidth="1"/>
    <col min="9" max="9" width="12.50390625" style="0" customWidth="1"/>
  </cols>
  <sheetData>
    <row r="2" spans="1:9" ht="12.75">
      <c r="A2" s="670" t="s">
        <v>650</v>
      </c>
      <c r="B2" s="670"/>
      <c r="C2" s="670"/>
      <c r="D2" s="670"/>
      <c r="E2" s="670"/>
      <c r="F2" s="670"/>
      <c r="G2" s="670"/>
      <c r="H2" s="670"/>
      <c r="I2" s="670"/>
    </row>
    <row r="3" spans="1:9" ht="12.75">
      <c r="A3" s="670" t="s">
        <v>668</v>
      </c>
      <c r="B3" s="670"/>
      <c r="C3" s="670"/>
      <c r="D3" s="670"/>
      <c r="E3" s="670"/>
      <c r="F3" s="670"/>
      <c r="G3" s="670"/>
      <c r="H3" s="670"/>
      <c r="I3" s="670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226" t="s">
        <v>16</v>
      </c>
      <c r="B5" s="802" t="s">
        <v>651</v>
      </c>
      <c r="C5" s="802"/>
      <c r="D5" s="802"/>
      <c r="E5" s="802" t="s">
        <v>652</v>
      </c>
      <c r="F5" s="802"/>
      <c r="G5" s="802"/>
      <c r="H5" s="226"/>
      <c r="I5" s="161" t="s">
        <v>6</v>
      </c>
    </row>
    <row r="6" spans="1:9" ht="26.25">
      <c r="A6" s="161"/>
      <c r="B6" s="531" t="s">
        <v>653</v>
      </c>
      <c r="C6" s="531" t="s">
        <v>654</v>
      </c>
      <c r="D6" s="531" t="s">
        <v>655</v>
      </c>
      <c r="E6" s="620" t="s">
        <v>653</v>
      </c>
      <c r="F6" s="531" t="s">
        <v>654</v>
      </c>
      <c r="G6" s="531" t="s">
        <v>655</v>
      </c>
      <c r="H6" s="161" t="s">
        <v>656</v>
      </c>
      <c r="I6" s="161" t="s">
        <v>11</v>
      </c>
    </row>
    <row r="7" spans="1:9" ht="13.5">
      <c r="A7" s="554" t="s">
        <v>657</v>
      </c>
      <c r="B7" s="161"/>
      <c r="C7" s="161"/>
      <c r="D7" s="161"/>
      <c r="E7" s="161"/>
      <c r="F7" s="161"/>
      <c r="G7" s="161"/>
      <c r="H7" s="161"/>
      <c r="I7" s="161"/>
    </row>
    <row r="8" spans="1:9" ht="12.75">
      <c r="A8" s="161" t="s">
        <v>658</v>
      </c>
      <c r="B8" s="161"/>
      <c r="C8" s="161"/>
      <c r="D8" s="161"/>
      <c r="E8" s="161">
        <v>867</v>
      </c>
      <c r="F8" s="161">
        <v>100</v>
      </c>
      <c r="G8" s="161">
        <v>86700</v>
      </c>
      <c r="H8" s="161"/>
      <c r="I8" s="161">
        <v>86700</v>
      </c>
    </row>
    <row r="9" spans="1:9" ht="12.75">
      <c r="A9" s="161" t="s">
        <v>659</v>
      </c>
      <c r="B9" s="161"/>
      <c r="C9" s="161"/>
      <c r="D9" s="161"/>
      <c r="E9" s="161"/>
      <c r="F9" s="161"/>
      <c r="G9" s="161"/>
      <c r="H9" s="161"/>
      <c r="I9" s="161"/>
    </row>
    <row r="10" spans="1:9" ht="12.75">
      <c r="A10" s="161" t="s">
        <v>660</v>
      </c>
      <c r="B10" s="161"/>
      <c r="C10" s="161"/>
      <c r="D10" s="161">
        <v>0</v>
      </c>
      <c r="E10" s="161">
        <v>84</v>
      </c>
      <c r="F10" s="161">
        <v>70.91</v>
      </c>
      <c r="G10" s="161">
        <v>5956.44</v>
      </c>
      <c r="H10" s="161"/>
      <c r="I10" s="161">
        <v>5956.44</v>
      </c>
    </row>
    <row r="11" spans="1:9" ht="12.75">
      <c r="A11" s="161" t="s">
        <v>661</v>
      </c>
      <c r="B11" s="161">
        <v>190</v>
      </c>
      <c r="C11" s="161">
        <v>125.19</v>
      </c>
      <c r="D11" s="161">
        <v>23786.1</v>
      </c>
      <c r="E11" s="161">
        <v>3089</v>
      </c>
      <c r="F11" s="161">
        <v>70.91</v>
      </c>
      <c r="G11" s="161">
        <v>219040.99</v>
      </c>
      <c r="H11" s="161"/>
      <c r="I11" s="161">
        <v>242827.09</v>
      </c>
    </row>
    <row r="12" spans="1:9" ht="12.75">
      <c r="A12" s="161" t="s">
        <v>662</v>
      </c>
      <c r="B12" s="161"/>
      <c r="C12" s="161"/>
      <c r="D12" s="161">
        <v>0</v>
      </c>
      <c r="E12" s="161"/>
      <c r="F12" s="161"/>
      <c r="G12" s="161"/>
      <c r="H12" s="161"/>
      <c r="I12" s="161">
        <v>0</v>
      </c>
    </row>
    <row r="13" spans="1:9" ht="12.75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ht="12.75">
      <c r="A14" s="161" t="s">
        <v>663</v>
      </c>
      <c r="B14" s="161">
        <v>190</v>
      </c>
      <c r="C14" s="161"/>
      <c r="D14" s="161">
        <v>23786.1</v>
      </c>
      <c r="E14" s="161">
        <v>4040</v>
      </c>
      <c r="F14" s="161"/>
      <c r="G14" s="161">
        <v>311697.43</v>
      </c>
      <c r="H14" s="161"/>
      <c r="I14" s="161">
        <v>335483.53</v>
      </c>
    </row>
    <row r="15" spans="1:9" ht="12.75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 ht="12.75">
      <c r="A16" s="161" t="s">
        <v>664</v>
      </c>
      <c r="B16" s="161"/>
      <c r="C16" s="161"/>
      <c r="D16" s="161"/>
      <c r="E16" s="161"/>
      <c r="F16" s="161"/>
      <c r="G16" s="161"/>
      <c r="H16" s="161">
        <v>558042.72</v>
      </c>
      <c r="I16" s="161">
        <v>558042.72</v>
      </c>
    </row>
    <row r="17" spans="1:9" ht="12.7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ht="13.5">
      <c r="A18" s="161" t="s">
        <v>665</v>
      </c>
      <c r="B18" s="161"/>
      <c r="C18" s="161"/>
      <c r="D18" s="161"/>
      <c r="E18" s="161"/>
      <c r="F18" s="161"/>
      <c r="G18" s="161"/>
      <c r="H18" s="161"/>
      <c r="I18" s="554">
        <f>I14+I16</f>
        <v>893526.25</v>
      </c>
    </row>
    <row r="19" spans="1:9" ht="12.75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ht="13.5">
      <c r="A20" s="554" t="s">
        <v>264</v>
      </c>
      <c r="B20" s="161"/>
      <c r="C20" s="161"/>
      <c r="D20" s="161"/>
      <c r="E20" s="161"/>
      <c r="F20" s="161"/>
      <c r="G20" s="161"/>
      <c r="H20" s="161"/>
      <c r="I20" s="161"/>
    </row>
    <row r="21" spans="1:9" ht="12.75">
      <c r="A21" s="161" t="s">
        <v>658</v>
      </c>
      <c r="B21" s="161"/>
      <c r="C21" s="161"/>
      <c r="D21" s="161"/>
      <c r="E21" s="161">
        <v>465</v>
      </c>
      <c r="F21" s="161">
        <v>100</v>
      </c>
      <c r="G21" s="161">
        <f>E21*F21</f>
        <v>46500</v>
      </c>
      <c r="H21" s="161"/>
      <c r="I21" s="226">
        <f>D21+G21</f>
        <v>46500</v>
      </c>
    </row>
    <row r="22" spans="1:9" ht="12.75">
      <c r="A22" s="161" t="s">
        <v>659</v>
      </c>
      <c r="B22" s="161"/>
      <c r="C22" s="161"/>
      <c r="D22" s="161"/>
      <c r="E22" s="161"/>
      <c r="F22" s="161"/>
      <c r="G22" s="161">
        <v>0</v>
      </c>
      <c r="H22" s="161"/>
      <c r="I22" s="226"/>
    </row>
    <row r="23" spans="1:9" ht="12.75">
      <c r="A23" s="161" t="s">
        <v>660</v>
      </c>
      <c r="B23" s="161"/>
      <c r="C23" s="161"/>
      <c r="D23" s="161"/>
      <c r="E23" s="161">
        <v>17</v>
      </c>
      <c r="F23" s="161">
        <v>70.91</v>
      </c>
      <c r="G23" s="161">
        <f>E23*F23</f>
        <v>1205.47</v>
      </c>
      <c r="H23" s="161"/>
      <c r="I23" s="226">
        <f>D23+G23</f>
        <v>1205.47</v>
      </c>
    </row>
    <row r="24" spans="1:9" ht="12.75">
      <c r="A24" s="161" t="s">
        <v>661</v>
      </c>
      <c r="B24" s="161">
        <v>109</v>
      </c>
      <c r="C24" s="161">
        <v>125.19</v>
      </c>
      <c r="D24" s="228">
        <f>B24*C24</f>
        <v>13645.71</v>
      </c>
      <c r="E24" s="161">
        <v>915</v>
      </c>
      <c r="F24" s="161">
        <v>70.91</v>
      </c>
      <c r="G24" s="161">
        <f>E24*F24</f>
        <v>64882.65</v>
      </c>
      <c r="H24" s="161"/>
      <c r="I24" s="621">
        <f>D24+G24</f>
        <v>78528.36</v>
      </c>
    </row>
    <row r="25" spans="1:9" ht="12.75">
      <c r="A25" s="161" t="s">
        <v>662</v>
      </c>
      <c r="B25" s="161"/>
      <c r="C25" s="161"/>
      <c r="D25" s="161"/>
      <c r="E25" s="161">
        <v>170</v>
      </c>
      <c r="F25" s="161">
        <v>70.91</v>
      </c>
      <c r="G25" s="161">
        <f>E25*F25</f>
        <v>12054.7</v>
      </c>
      <c r="H25" s="161"/>
      <c r="I25" s="226">
        <f>D25+G25</f>
        <v>12054.7</v>
      </c>
    </row>
    <row r="26" spans="1:9" ht="12.75">
      <c r="A26" s="161"/>
      <c r="B26" s="161"/>
      <c r="C26" s="161"/>
      <c r="D26" s="161"/>
      <c r="E26" s="161"/>
      <c r="F26" s="161"/>
      <c r="G26" s="161"/>
      <c r="H26" s="161"/>
      <c r="I26" s="226"/>
    </row>
    <row r="27" spans="1:9" ht="13.5">
      <c r="A27" s="161" t="s">
        <v>663</v>
      </c>
      <c r="B27" s="161">
        <f>B24</f>
        <v>109</v>
      </c>
      <c r="C27" s="161"/>
      <c r="D27" s="228">
        <f>D24</f>
        <v>13645.71</v>
      </c>
      <c r="E27" s="161">
        <f>E21+E23+E24</f>
        <v>1397</v>
      </c>
      <c r="F27" s="161"/>
      <c r="G27" s="161">
        <f>SUM(G21:G26)</f>
        <v>124642.82</v>
      </c>
      <c r="H27" s="161"/>
      <c r="I27" s="622">
        <f>SUM(I21:I26)</f>
        <v>138288.53</v>
      </c>
    </row>
    <row r="28" spans="1:9" ht="12.75">
      <c r="A28" s="161"/>
      <c r="B28" s="161"/>
      <c r="C28" s="161"/>
      <c r="D28" s="161"/>
      <c r="E28" s="161"/>
      <c r="F28" s="161"/>
      <c r="G28" s="161"/>
      <c r="H28" s="226"/>
      <c r="I28" s="161"/>
    </row>
    <row r="29" spans="1:9" ht="12.75">
      <c r="A29" s="161" t="s">
        <v>664</v>
      </c>
      <c r="B29" s="161"/>
      <c r="C29" s="161"/>
      <c r="D29" s="161"/>
      <c r="E29" s="161"/>
      <c r="F29" s="161"/>
      <c r="G29" s="161"/>
      <c r="H29" s="226">
        <v>52982</v>
      </c>
      <c r="I29" s="226">
        <f>H29</f>
        <v>52982</v>
      </c>
    </row>
    <row r="30" spans="1:9" ht="12.75">
      <c r="A30" s="161" t="s">
        <v>666</v>
      </c>
      <c r="B30" s="161"/>
      <c r="C30" s="161"/>
      <c r="D30" s="161"/>
      <c r="E30" s="161"/>
      <c r="F30" s="161"/>
      <c r="G30" s="161"/>
      <c r="H30" s="226">
        <v>28973</v>
      </c>
      <c r="I30" s="226">
        <f>H30</f>
        <v>28973</v>
      </c>
    </row>
    <row r="31" spans="1:9" ht="13.5">
      <c r="A31" s="161" t="s">
        <v>665</v>
      </c>
      <c r="B31" s="161"/>
      <c r="C31" s="161"/>
      <c r="D31" s="161"/>
      <c r="E31" s="161"/>
      <c r="F31" s="161"/>
      <c r="G31" s="161"/>
      <c r="H31" s="226"/>
      <c r="I31" s="622">
        <f>I27+I29+I30</f>
        <v>220243.53</v>
      </c>
    </row>
    <row r="32" spans="1:9" ht="13.5">
      <c r="A32" s="554" t="s">
        <v>263</v>
      </c>
      <c r="B32" s="226"/>
      <c r="C32" s="226"/>
      <c r="D32" s="226"/>
      <c r="E32" s="226"/>
      <c r="F32" s="226"/>
      <c r="G32" s="226"/>
      <c r="H32" s="226"/>
      <c r="I32" s="226"/>
    </row>
    <row r="33" spans="1:9" ht="12.75">
      <c r="A33" s="161" t="s">
        <v>658</v>
      </c>
      <c r="B33" s="226"/>
      <c r="C33" s="226"/>
      <c r="D33" s="226"/>
      <c r="E33" s="226">
        <v>420</v>
      </c>
      <c r="F33" s="226">
        <v>100</v>
      </c>
      <c r="G33" s="226">
        <f>E33*F33</f>
        <v>42000</v>
      </c>
      <c r="H33" s="226"/>
      <c r="I33" s="226">
        <f>G33</f>
        <v>42000</v>
      </c>
    </row>
    <row r="34" spans="1:9" ht="12.75">
      <c r="A34" s="161" t="s">
        <v>659</v>
      </c>
      <c r="B34" s="226"/>
      <c r="C34" s="226"/>
      <c r="D34" s="226"/>
      <c r="E34" s="226"/>
      <c r="F34" s="226"/>
      <c r="G34" s="226"/>
      <c r="H34" s="226"/>
      <c r="I34" s="226"/>
    </row>
    <row r="35" spans="1:9" ht="12.75">
      <c r="A35" s="161" t="s">
        <v>660</v>
      </c>
      <c r="B35" s="226"/>
      <c r="C35" s="226"/>
      <c r="D35" s="226">
        <v>0</v>
      </c>
      <c r="E35" s="226">
        <v>17</v>
      </c>
      <c r="F35" s="226">
        <v>70.91</v>
      </c>
      <c r="G35" s="226">
        <f>E35*F35</f>
        <v>1205.47</v>
      </c>
      <c r="H35" s="226"/>
      <c r="I35" s="226">
        <f>G35</f>
        <v>1205.47</v>
      </c>
    </row>
    <row r="36" spans="1:9" ht="12.75">
      <c r="A36" s="161" t="s">
        <v>661</v>
      </c>
      <c r="B36" s="226">
        <v>1450</v>
      </c>
      <c r="C36" s="226">
        <v>125.19</v>
      </c>
      <c r="D36" s="621">
        <f>B36*C36</f>
        <v>181525.5</v>
      </c>
      <c r="E36" s="226">
        <v>4390</v>
      </c>
      <c r="F36" s="226">
        <v>70.91</v>
      </c>
      <c r="G36" s="226">
        <f>E36*F36</f>
        <v>311294.9</v>
      </c>
      <c r="H36" s="226"/>
      <c r="I36" s="621">
        <f>G36+D36</f>
        <v>492820.4</v>
      </c>
    </row>
    <row r="37" spans="1:9" ht="12.75">
      <c r="A37" s="161" t="s">
        <v>662</v>
      </c>
      <c r="B37" s="226"/>
      <c r="C37" s="226"/>
      <c r="D37" s="226">
        <v>0</v>
      </c>
      <c r="E37" s="226">
        <f>660+300</f>
        <v>960</v>
      </c>
      <c r="F37" s="226">
        <v>70.91</v>
      </c>
      <c r="G37" s="226">
        <f>E37*F37</f>
        <v>68073.6</v>
      </c>
      <c r="H37" s="226"/>
      <c r="I37" s="621">
        <f>G37+D37</f>
        <v>68073.6</v>
      </c>
    </row>
    <row r="38" spans="1:9" ht="12.75">
      <c r="A38" s="161"/>
      <c r="B38" s="226"/>
      <c r="C38" s="226"/>
      <c r="D38" s="226"/>
      <c r="E38" s="226"/>
      <c r="F38" s="226"/>
      <c r="G38" s="226"/>
      <c r="H38" s="226"/>
      <c r="I38" s="226"/>
    </row>
    <row r="39" spans="1:9" ht="12.75">
      <c r="A39" s="161" t="s">
        <v>663</v>
      </c>
      <c r="B39" s="226">
        <f>B36</f>
        <v>1450</v>
      </c>
      <c r="C39" s="226"/>
      <c r="D39" s="621">
        <f>D36</f>
        <v>181525.5</v>
      </c>
      <c r="E39" s="226">
        <f>E33+E35+E36+E37</f>
        <v>5787</v>
      </c>
      <c r="F39" s="226"/>
      <c r="G39" s="226">
        <f>G33+G35+G36</f>
        <v>354500.37</v>
      </c>
      <c r="H39" s="226"/>
      <c r="I39" s="621">
        <f>I33+I35+I36+I37</f>
        <v>604099.47</v>
      </c>
    </row>
    <row r="40" spans="1:9" ht="12.75">
      <c r="A40" s="161"/>
      <c r="B40" s="226"/>
      <c r="C40" s="226"/>
      <c r="D40" s="226"/>
      <c r="E40" s="226"/>
      <c r="F40" s="226"/>
      <c r="G40" s="226"/>
      <c r="H40" s="226"/>
      <c r="I40" s="226"/>
    </row>
    <row r="41" spans="1:9" ht="12.75">
      <c r="A41" s="161" t="s">
        <v>664</v>
      </c>
      <c r="B41" s="226"/>
      <c r="C41" s="226"/>
      <c r="D41" s="226"/>
      <c r="E41" s="226"/>
      <c r="F41" s="226"/>
      <c r="G41" s="226"/>
      <c r="H41" s="621">
        <v>129930.31</v>
      </c>
      <c r="I41" s="226">
        <f>H41</f>
        <v>129930.31</v>
      </c>
    </row>
    <row r="42" spans="1:9" ht="12.75">
      <c r="A42" s="161" t="s">
        <v>666</v>
      </c>
      <c r="B42" s="226"/>
      <c r="C42" s="226"/>
      <c r="D42" s="226"/>
      <c r="E42" s="226"/>
      <c r="F42" s="226"/>
      <c r="G42" s="226"/>
      <c r="H42" s="226">
        <f>2838.55+2025+75000+4000</f>
        <v>83863.55</v>
      </c>
      <c r="I42" s="226">
        <f>H42</f>
        <v>83863.55</v>
      </c>
    </row>
    <row r="43" spans="1:9" ht="13.5">
      <c r="A43" s="161" t="s">
        <v>665</v>
      </c>
      <c r="B43" s="226"/>
      <c r="C43" s="226"/>
      <c r="D43" s="226"/>
      <c r="E43" s="226"/>
      <c r="F43" s="226"/>
      <c r="G43" s="226"/>
      <c r="H43" s="226"/>
      <c r="I43" s="622">
        <f>I39+I41+I42</f>
        <v>817893.33</v>
      </c>
    </row>
    <row r="44" spans="1:9" ht="12.75">
      <c r="A44" s="161"/>
      <c r="B44" s="226"/>
      <c r="C44" s="226"/>
      <c r="D44" s="226"/>
      <c r="E44" s="226"/>
      <c r="F44" s="226"/>
      <c r="G44" s="226"/>
      <c r="H44" s="226"/>
      <c r="I44" s="621"/>
    </row>
    <row r="45" spans="1:9" ht="13.5">
      <c r="A45" s="161" t="s">
        <v>667</v>
      </c>
      <c r="B45" s="226"/>
      <c r="C45" s="226"/>
      <c r="D45" s="226"/>
      <c r="E45" s="226"/>
      <c r="F45" s="226"/>
      <c r="G45" s="226"/>
      <c r="H45" s="226"/>
      <c r="I45" s="622">
        <f>I18+I31+I43</f>
        <v>1931663.11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ht="12.75">
      <c r="A48" t="s">
        <v>1105</v>
      </c>
    </row>
  </sheetData>
  <sheetProtection/>
  <mergeCells count="4">
    <mergeCell ref="A2:I2"/>
    <mergeCell ref="A3:I3"/>
    <mergeCell ref="B5:D5"/>
    <mergeCell ref="E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1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.50390625" style="0" customWidth="1"/>
    <col min="2" max="2" width="32.375" style="0" customWidth="1"/>
    <col min="3" max="3" width="17.625" style="0" customWidth="1"/>
    <col min="4" max="4" width="14.125" style="0" customWidth="1"/>
    <col min="6" max="6" width="12.00390625" style="0" customWidth="1"/>
  </cols>
  <sheetData>
    <row r="2" spans="1:6" ht="12.75">
      <c r="A2" s="803" t="s">
        <v>941</v>
      </c>
      <c r="B2" s="803"/>
      <c r="C2" s="803"/>
      <c r="D2" s="803"/>
      <c r="E2" s="803"/>
      <c r="F2" s="803"/>
    </row>
    <row r="3" spans="1:6" ht="13.5" thickBot="1">
      <c r="A3" s="1"/>
      <c r="B3" s="1"/>
      <c r="C3" s="1"/>
      <c r="D3" s="1"/>
      <c r="E3" s="1"/>
      <c r="F3" s="1"/>
    </row>
    <row r="4" spans="1:6" ht="39.75" thickBot="1">
      <c r="A4" s="573" t="s">
        <v>174</v>
      </c>
      <c r="B4" s="574" t="s">
        <v>16</v>
      </c>
      <c r="C4" s="574" t="s">
        <v>669</v>
      </c>
      <c r="D4" s="574" t="s">
        <v>670</v>
      </c>
      <c r="E4" s="574" t="s">
        <v>671</v>
      </c>
      <c r="F4" s="575" t="s">
        <v>672</v>
      </c>
    </row>
    <row r="5" spans="1:6" ht="13.5" thickBot="1">
      <c r="A5" s="576">
        <v>1</v>
      </c>
      <c r="B5" s="577">
        <v>2</v>
      </c>
      <c r="C5" s="577">
        <v>3</v>
      </c>
      <c r="D5" s="577">
        <v>4</v>
      </c>
      <c r="E5" s="577">
        <v>5</v>
      </c>
      <c r="F5" s="578">
        <v>7</v>
      </c>
    </row>
    <row r="6" spans="1:6" ht="12.75">
      <c r="A6" s="804" t="s">
        <v>673</v>
      </c>
      <c r="B6" s="804"/>
      <c r="C6" s="804"/>
      <c r="D6" s="804"/>
      <c r="E6" s="804"/>
      <c r="F6" s="804"/>
    </row>
    <row r="7" spans="1:6" ht="12.75">
      <c r="A7" s="555">
        <v>1</v>
      </c>
      <c r="B7" s="555" t="s">
        <v>674</v>
      </c>
      <c r="C7" s="555" t="s">
        <v>675</v>
      </c>
      <c r="D7" s="555" t="s">
        <v>676</v>
      </c>
      <c r="E7" s="555">
        <v>143048</v>
      </c>
      <c r="F7" s="555">
        <v>4.01</v>
      </c>
    </row>
    <row r="8" spans="1:6" ht="12.75">
      <c r="A8" s="555">
        <v>2</v>
      </c>
      <c r="B8" s="555" t="s">
        <v>677</v>
      </c>
      <c r="C8" s="555" t="s">
        <v>675</v>
      </c>
      <c r="D8" s="555" t="s">
        <v>676</v>
      </c>
      <c r="E8" s="555">
        <v>143049</v>
      </c>
      <c r="F8" s="555">
        <v>522.45</v>
      </c>
    </row>
    <row r="9" spans="1:6" ht="12.75">
      <c r="A9" s="555">
        <v>3</v>
      </c>
      <c r="B9" s="555" t="s">
        <v>677</v>
      </c>
      <c r="C9" s="555" t="s">
        <v>675</v>
      </c>
      <c r="D9" s="555" t="s">
        <v>676</v>
      </c>
      <c r="E9" s="555">
        <v>143050</v>
      </c>
      <c r="F9" s="555">
        <v>336.96</v>
      </c>
    </row>
    <row r="10" spans="1:6" ht="12.75">
      <c r="A10" s="555">
        <v>4</v>
      </c>
      <c r="B10" s="555" t="s">
        <v>678</v>
      </c>
      <c r="C10" s="555" t="s">
        <v>679</v>
      </c>
      <c r="D10" s="555" t="s">
        <v>680</v>
      </c>
      <c r="E10" s="555">
        <v>143083</v>
      </c>
      <c r="F10" s="555">
        <v>4800</v>
      </c>
    </row>
    <row r="11" spans="1:6" ht="12.75">
      <c r="A11" s="555">
        <v>5</v>
      </c>
      <c r="B11" s="555" t="s">
        <v>678</v>
      </c>
      <c r="C11" s="555" t="s">
        <v>679</v>
      </c>
      <c r="D11" s="555" t="s">
        <v>680</v>
      </c>
      <c r="E11" s="555">
        <v>143084</v>
      </c>
      <c r="F11" s="555">
        <v>4800</v>
      </c>
    </row>
    <row r="12" spans="1:6" ht="12.75">
      <c r="A12" s="555">
        <v>6</v>
      </c>
      <c r="B12" s="555" t="s">
        <v>681</v>
      </c>
      <c r="C12" s="555" t="s">
        <v>682</v>
      </c>
      <c r="D12" s="555" t="s">
        <v>683</v>
      </c>
      <c r="E12" s="555">
        <v>143091</v>
      </c>
      <c r="F12" s="555">
        <v>8500</v>
      </c>
    </row>
    <row r="13" spans="1:6" ht="12.75">
      <c r="A13" s="555">
        <v>7</v>
      </c>
      <c r="B13" s="555" t="s">
        <v>684</v>
      </c>
      <c r="C13" s="555" t="s">
        <v>675</v>
      </c>
      <c r="D13" s="555" t="s">
        <v>685</v>
      </c>
      <c r="E13" s="555">
        <v>143130</v>
      </c>
      <c r="F13" s="555">
        <v>25036</v>
      </c>
    </row>
    <row r="14" spans="1:6" ht="12.75">
      <c r="A14" s="555">
        <v>8</v>
      </c>
      <c r="B14" s="555" t="s">
        <v>686</v>
      </c>
      <c r="C14" s="555" t="s">
        <v>687</v>
      </c>
      <c r="D14" s="555">
        <v>1982</v>
      </c>
      <c r="E14" s="555">
        <v>20</v>
      </c>
      <c r="F14" s="555">
        <v>1499.01</v>
      </c>
    </row>
    <row r="15" spans="1:6" ht="12.75">
      <c r="A15" s="555">
        <v>9</v>
      </c>
      <c r="B15" s="555" t="s">
        <v>688</v>
      </c>
      <c r="C15" s="555" t="s">
        <v>687</v>
      </c>
      <c r="D15" s="555">
        <v>1995</v>
      </c>
      <c r="E15" s="556" t="s">
        <v>689</v>
      </c>
      <c r="F15" s="555">
        <v>251.1</v>
      </c>
    </row>
    <row r="16" spans="1:6" ht="12.75">
      <c r="A16" s="555">
        <v>10</v>
      </c>
      <c r="B16" s="555" t="s">
        <v>690</v>
      </c>
      <c r="C16" s="555" t="s">
        <v>691</v>
      </c>
      <c r="D16" s="555">
        <v>1983</v>
      </c>
      <c r="E16" s="555">
        <v>77</v>
      </c>
      <c r="F16" s="555">
        <v>1718.6</v>
      </c>
    </row>
    <row r="17" spans="1:6" ht="12.75">
      <c r="A17" s="555">
        <v>11</v>
      </c>
      <c r="B17" s="555" t="s">
        <v>692</v>
      </c>
      <c r="C17" s="555" t="s">
        <v>687</v>
      </c>
      <c r="D17" s="555">
        <v>1988</v>
      </c>
      <c r="E17" s="555">
        <v>27</v>
      </c>
      <c r="F17" s="555">
        <v>1837.7</v>
      </c>
    </row>
    <row r="18" spans="1:6" ht="12.75">
      <c r="A18" s="555">
        <v>12</v>
      </c>
      <c r="B18" s="555" t="s">
        <v>693</v>
      </c>
      <c r="C18" s="555" t="s">
        <v>687</v>
      </c>
      <c r="D18" s="555">
        <v>2004</v>
      </c>
      <c r="E18" s="555">
        <v>122</v>
      </c>
      <c r="F18" s="555">
        <v>771.46</v>
      </c>
    </row>
    <row r="19" spans="1:6" ht="12.75">
      <c r="A19" s="555">
        <v>13</v>
      </c>
      <c r="B19" s="555" t="s">
        <v>694</v>
      </c>
      <c r="C19" s="555" t="s">
        <v>687</v>
      </c>
      <c r="D19" s="555">
        <v>2003</v>
      </c>
      <c r="E19" s="555">
        <v>117</v>
      </c>
      <c r="F19" s="555">
        <v>18168.13</v>
      </c>
    </row>
    <row r="20" spans="1:6" ht="12.75">
      <c r="A20" s="555">
        <v>14</v>
      </c>
      <c r="B20" s="555" t="s">
        <v>695</v>
      </c>
      <c r="C20" s="555" t="s">
        <v>687</v>
      </c>
      <c r="D20" s="555">
        <v>2000</v>
      </c>
      <c r="E20" s="555">
        <v>118</v>
      </c>
      <c r="F20" s="555">
        <v>316.73</v>
      </c>
    </row>
    <row r="21" spans="1:6" ht="12.75">
      <c r="A21" s="555">
        <v>15</v>
      </c>
      <c r="B21" s="555" t="s">
        <v>695</v>
      </c>
      <c r="C21" s="555" t="s">
        <v>687</v>
      </c>
      <c r="D21" s="555">
        <v>2000</v>
      </c>
      <c r="E21" s="555">
        <v>119</v>
      </c>
      <c r="F21" s="555">
        <v>484.51</v>
      </c>
    </row>
    <row r="22" spans="1:6" ht="12.75">
      <c r="A22" s="555">
        <v>16</v>
      </c>
      <c r="B22" s="555" t="s">
        <v>695</v>
      </c>
      <c r="C22" s="555" t="s">
        <v>687</v>
      </c>
      <c r="D22" s="555">
        <v>2000</v>
      </c>
      <c r="E22" s="555">
        <v>120</v>
      </c>
      <c r="F22" s="555">
        <v>484.51</v>
      </c>
    </row>
    <row r="23" spans="1:6" ht="12.75">
      <c r="A23" s="555">
        <v>17</v>
      </c>
      <c r="B23" s="555" t="s">
        <v>695</v>
      </c>
      <c r="C23" s="555" t="s">
        <v>687</v>
      </c>
      <c r="D23" s="555">
        <v>2000</v>
      </c>
      <c r="E23" s="555">
        <v>121</v>
      </c>
      <c r="F23" s="555">
        <v>484.51</v>
      </c>
    </row>
    <row r="24" spans="1:6" ht="12.75">
      <c r="A24" s="555">
        <v>18</v>
      </c>
      <c r="B24" s="555" t="s">
        <v>696</v>
      </c>
      <c r="C24" s="555" t="s">
        <v>687</v>
      </c>
      <c r="D24" s="555">
        <v>2004</v>
      </c>
      <c r="E24" s="555">
        <v>125</v>
      </c>
      <c r="F24" s="555">
        <v>2195.2</v>
      </c>
    </row>
    <row r="25" spans="1:6" ht="12.75">
      <c r="A25" s="555">
        <v>19</v>
      </c>
      <c r="B25" s="555" t="s">
        <v>697</v>
      </c>
      <c r="C25" s="555" t="s">
        <v>687</v>
      </c>
      <c r="D25" s="555">
        <v>2005</v>
      </c>
      <c r="E25" s="555">
        <v>143</v>
      </c>
      <c r="F25" s="555">
        <v>738.53</v>
      </c>
    </row>
    <row r="26" spans="1:6" ht="12.75">
      <c r="A26" s="555">
        <v>20</v>
      </c>
      <c r="B26" s="555" t="s">
        <v>698</v>
      </c>
      <c r="C26" s="555" t="s">
        <v>687</v>
      </c>
      <c r="D26" s="555">
        <v>2005</v>
      </c>
      <c r="E26" s="555">
        <v>144</v>
      </c>
      <c r="F26" s="555">
        <v>10329.98</v>
      </c>
    </row>
    <row r="27" spans="1:6" ht="12.75">
      <c r="A27" s="555">
        <v>21</v>
      </c>
      <c r="B27" s="555" t="s">
        <v>699</v>
      </c>
      <c r="C27" s="555" t="s">
        <v>687</v>
      </c>
      <c r="D27" s="555">
        <v>2007</v>
      </c>
      <c r="E27" s="555">
        <v>146</v>
      </c>
      <c r="F27" s="555">
        <v>3676.96</v>
      </c>
    </row>
    <row r="28" spans="1:6" ht="12.75">
      <c r="A28" s="555">
        <v>22</v>
      </c>
      <c r="B28" s="555" t="s">
        <v>700</v>
      </c>
      <c r="C28" s="555" t="s">
        <v>687</v>
      </c>
      <c r="D28" s="555">
        <v>1973</v>
      </c>
      <c r="E28" s="555">
        <v>28</v>
      </c>
      <c r="F28" s="555">
        <v>1117.98</v>
      </c>
    </row>
    <row r="29" spans="1:6" ht="12.75">
      <c r="A29" s="555">
        <v>23</v>
      </c>
      <c r="B29" s="555" t="s">
        <v>701</v>
      </c>
      <c r="C29" s="555" t="s">
        <v>687</v>
      </c>
      <c r="D29" s="555">
        <v>1979</v>
      </c>
      <c r="E29" s="555">
        <v>29</v>
      </c>
      <c r="F29" s="555">
        <v>2441.65</v>
      </c>
    </row>
    <row r="30" spans="1:6" ht="12.75">
      <c r="A30" s="555">
        <v>24</v>
      </c>
      <c r="B30" s="555" t="s">
        <v>702</v>
      </c>
      <c r="C30" s="555" t="s">
        <v>687</v>
      </c>
      <c r="D30" s="555">
        <v>1980</v>
      </c>
      <c r="E30" s="555">
        <v>30</v>
      </c>
      <c r="F30" s="555">
        <v>1735.78</v>
      </c>
    </row>
    <row r="31" spans="1:6" ht="12.75">
      <c r="A31" s="555">
        <v>25</v>
      </c>
      <c r="B31" s="555" t="s">
        <v>703</v>
      </c>
      <c r="C31" s="555" t="s">
        <v>687</v>
      </c>
      <c r="D31" s="555">
        <v>1984</v>
      </c>
      <c r="E31" s="555">
        <v>32</v>
      </c>
      <c r="F31" s="555">
        <v>7454.2</v>
      </c>
    </row>
    <row r="32" spans="1:6" ht="12.75">
      <c r="A32" s="555">
        <v>26</v>
      </c>
      <c r="B32" s="555" t="s">
        <v>704</v>
      </c>
      <c r="C32" s="555" t="s">
        <v>687</v>
      </c>
      <c r="D32" s="555">
        <v>1985</v>
      </c>
      <c r="E32" s="555">
        <v>35</v>
      </c>
      <c r="F32" s="555">
        <v>5368.83</v>
      </c>
    </row>
    <row r="33" spans="1:6" ht="12.75">
      <c r="A33" s="555">
        <v>27</v>
      </c>
      <c r="B33" s="555" t="s">
        <v>705</v>
      </c>
      <c r="C33" s="555" t="s">
        <v>687</v>
      </c>
      <c r="D33" s="555">
        <v>1985</v>
      </c>
      <c r="E33" s="555">
        <v>37</v>
      </c>
      <c r="F33" s="555">
        <v>948.64</v>
      </c>
    </row>
    <row r="34" spans="1:6" ht="12.75">
      <c r="A34" s="555">
        <v>28</v>
      </c>
      <c r="B34" s="555" t="s">
        <v>706</v>
      </c>
      <c r="C34" s="555" t="s">
        <v>687</v>
      </c>
      <c r="D34" s="555">
        <v>1969</v>
      </c>
      <c r="E34" s="555">
        <v>38</v>
      </c>
      <c r="F34" s="555">
        <v>889.06</v>
      </c>
    </row>
    <row r="35" spans="1:6" ht="12.75">
      <c r="A35" s="555">
        <v>29</v>
      </c>
      <c r="B35" s="555" t="s">
        <v>707</v>
      </c>
      <c r="C35" s="555" t="s">
        <v>687</v>
      </c>
      <c r="D35" s="555">
        <v>1972</v>
      </c>
      <c r="E35" s="555">
        <v>39</v>
      </c>
      <c r="F35" s="555">
        <v>998.82</v>
      </c>
    </row>
    <row r="36" spans="1:6" ht="12.75">
      <c r="A36" s="555">
        <v>30</v>
      </c>
      <c r="B36" s="555" t="s">
        <v>708</v>
      </c>
      <c r="C36" s="555" t="s">
        <v>687</v>
      </c>
      <c r="D36" s="555">
        <v>1984</v>
      </c>
      <c r="E36" s="555">
        <v>40</v>
      </c>
      <c r="F36" s="555">
        <v>75.3</v>
      </c>
    </row>
    <row r="37" spans="1:6" ht="12.75">
      <c r="A37" s="555">
        <v>31</v>
      </c>
      <c r="B37" s="555" t="s">
        <v>709</v>
      </c>
      <c r="C37" s="555" t="s">
        <v>687</v>
      </c>
      <c r="D37" s="555">
        <v>1985</v>
      </c>
      <c r="E37" s="555">
        <v>41</v>
      </c>
      <c r="F37" s="555">
        <v>116.7</v>
      </c>
    </row>
    <row r="38" spans="1:6" ht="12.75">
      <c r="A38" s="555">
        <v>32</v>
      </c>
      <c r="B38" s="555" t="s">
        <v>710</v>
      </c>
      <c r="C38" s="555" t="s">
        <v>687</v>
      </c>
      <c r="D38" s="555">
        <v>1986</v>
      </c>
      <c r="E38" s="555">
        <v>43</v>
      </c>
      <c r="F38" s="555">
        <v>1198.05</v>
      </c>
    </row>
    <row r="39" spans="1:6" ht="12.75">
      <c r="A39" s="555">
        <v>33</v>
      </c>
      <c r="B39" s="555" t="s">
        <v>709</v>
      </c>
      <c r="C39" s="555" t="s">
        <v>687</v>
      </c>
      <c r="D39" s="555">
        <v>1986</v>
      </c>
      <c r="E39" s="555">
        <v>44</v>
      </c>
      <c r="F39" s="555">
        <v>116.7</v>
      </c>
    </row>
    <row r="40" spans="1:6" ht="12.75">
      <c r="A40" s="555">
        <v>34</v>
      </c>
      <c r="B40" s="555" t="s">
        <v>711</v>
      </c>
      <c r="C40" s="555" t="s">
        <v>687</v>
      </c>
      <c r="D40" s="555">
        <v>1986</v>
      </c>
      <c r="E40" s="555">
        <v>45</v>
      </c>
      <c r="F40" s="555">
        <v>101.25</v>
      </c>
    </row>
    <row r="41" spans="1:6" ht="12.75">
      <c r="A41" s="555">
        <v>35</v>
      </c>
      <c r="B41" s="555" t="s">
        <v>712</v>
      </c>
      <c r="C41" s="555" t="s">
        <v>687</v>
      </c>
      <c r="D41" s="555">
        <v>1986</v>
      </c>
      <c r="E41" s="555">
        <v>46</v>
      </c>
      <c r="F41" s="555">
        <v>173.4</v>
      </c>
    </row>
    <row r="42" spans="1:6" ht="12.75">
      <c r="A42" s="555">
        <v>36</v>
      </c>
      <c r="B42" s="555" t="s">
        <v>713</v>
      </c>
      <c r="C42" s="555" t="s">
        <v>687</v>
      </c>
      <c r="D42" s="555">
        <v>1981</v>
      </c>
      <c r="E42" s="555">
        <v>47</v>
      </c>
      <c r="F42" s="555">
        <v>78.6</v>
      </c>
    </row>
    <row r="43" spans="1:6" ht="12.75">
      <c r="A43" s="555">
        <v>37</v>
      </c>
      <c r="B43" s="555" t="s">
        <v>713</v>
      </c>
      <c r="C43" s="555" t="s">
        <v>687</v>
      </c>
      <c r="D43" s="555">
        <v>1988</v>
      </c>
      <c r="E43" s="555">
        <v>49</v>
      </c>
      <c r="F43" s="555">
        <v>157.2</v>
      </c>
    </row>
    <row r="44" spans="1:6" ht="12.75">
      <c r="A44" s="555">
        <v>38</v>
      </c>
      <c r="B44" s="555" t="s">
        <v>714</v>
      </c>
      <c r="C44" s="555" t="s">
        <v>687</v>
      </c>
      <c r="D44" s="555">
        <v>1989</v>
      </c>
      <c r="E44" s="555">
        <v>50</v>
      </c>
      <c r="F44" s="555">
        <v>233.25</v>
      </c>
    </row>
    <row r="45" spans="1:6" ht="12.75">
      <c r="A45" s="555">
        <v>39</v>
      </c>
      <c r="B45" s="555" t="s">
        <v>715</v>
      </c>
      <c r="C45" s="555" t="s">
        <v>687</v>
      </c>
      <c r="D45" s="555">
        <v>1988</v>
      </c>
      <c r="E45" s="555">
        <v>53</v>
      </c>
      <c r="F45" s="555">
        <v>142.5</v>
      </c>
    </row>
    <row r="46" spans="1:6" ht="12.75">
      <c r="A46" s="555">
        <v>40</v>
      </c>
      <c r="B46" s="555" t="s">
        <v>716</v>
      </c>
      <c r="C46" s="555" t="s">
        <v>691</v>
      </c>
      <c r="D46" s="555">
        <v>1989</v>
      </c>
      <c r="E46" s="555">
        <v>79</v>
      </c>
      <c r="F46" s="555">
        <v>465.75</v>
      </c>
    </row>
    <row r="47" spans="1:6" ht="12.75">
      <c r="A47" s="555">
        <v>41</v>
      </c>
      <c r="B47" s="555" t="s">
        <v>717</v>
      </c>
      <c r="C47" s="555" t="s">
        <v>687</v>
      </c>
      <c r="D47" s="555">
        <v>1988</v>
      </c>
      <c r="E47" s="555">
        <v>56</v>
      </c>
      <c r="F47" s="555">
        <v>18271.9</v>
      </c>
    </row>
    <row r="48" spans="1:6" ht="12.75">
      <c r="A48" s="555">
        <v>42</v>
      </c>
      <c r="B48" s="555" t="s">
        <v>718</v>
      </c>
      <c r="C48" s="555" t="s">
        <v>687</v>
      </c>
      <c r="D48" s="555">
        <v>1990</v>
      </c>
      <c r="E48" s="555">
        <v>99</v>
      </c>
      <c r="F48" s="555">
        <v>6384.9</v>
      </c>
    </row>
    <row r="49" spans="1:6" ht="12.75">
      <c r="A49" s="555">
        <v>43</v>
      </c>
      <c r="B49" s="555" t="s">
        <v>719</v>
      </c>
      <c r="C49" s="555" t="s">
        <v>687</v>
      </c>
      <c r="D49" s="555">
        <v>1989</v>
      </c>
      <c r="E49" s="555">
        <v>57</v>
      </c>
      <c r="F49" s="555">
        <v>200.96</v>
      </c>
    </row>
    <row r="50" spans="1:6" ht="12.75">
      <c r="A50" s="555">
        <v>44</v>
      </c>
      <c r="B50" s="555" t="s">
        <v>720</v>
      </c>
      <c r="C50" s="555" t="s">
        <v>687</v>
      </c>
      <c r="D50" s="555">
        <v>2009</v>
      </c>
      <c r="E50" s="555"/>
      <c r="F50" s="555">
        <v>5607</v>
      </c>
    </row>
    <row r="51" spans="1:6" ht="12.75">
      <c r="A51" s="555">
        <v>45</v>
      </c>
      <c r="B51" s="555" t="s">
        <v>721</v>
      </c>
      <c r="C51" s="555" t="s">
        <v>687</v>
      </c>
      <c r="D51" s="555">
        <v>2008</v>
      </c>
      <c r="E51" s="555">
        <v>148</v>
      </c>
      <c r="F51" s="555">
        <v>4116</v>
      </c>
    </row>
    <row r="52" spans="1:6" ht="12.75">
      <c r="A52" s="555">
        <v>46</v>
      </c>
      <c r="B52" s="555" t="s">
        <v>722</v>
      </c>
      <c r="C52" s="555" t="s">
        <v>687</v>
      </c>
      <c r="D52" s="555">
        <v>2010</v>
      </c>
      <c r="E52" s="555">
        <v>159</v>
      </c>
      <c r="F52" s="555">
        <v>14800</v>
      </c>
    </row>
    <row r="53" spans="1:6" ht="12.75">
      <c r="A53" s="555">
        <v>47</v>
      </c>
      <c r="B53" s="555" t="s">
        <v>723</v>
      </c>
      <c r="C53" s="555" t="s">
        <v>687</v>
      </c>
      <c r="D53" s="555">
        <v>2010</v>
      </c>
      <c r="E53" s="555">
        <v>158</v>
      </c>
      <c r="F53" s="555">
        <v>13000</v>
      </c>
    </row>
    <row r="54" spans="1:6" ht="12.75">
      <c r="A54" s="555">
        <v>48</v>
      </c>
      <c r="B54" s="555" t="s">
        <v>724</v>
      </c>
      <c r="C54" s="555" t="s">
        <v>687</v>
      </c>
      <c r="D54" s="555">
        <v>2010</v>
      </c>
      <c r="E54" s="555">
        <v>160</v>
      </c>
      <c r="F54" s="555">
        <v>18200</v>
      </c>
    </row>
    <row r="55" spans="1:6" ht="12.75">
      <c r="A55" s="555">
        <v>49</v>
      </c>
      <c r="B55" s="555" t="s">
        <v>725</v>
      </c>
      <c r="C55" s="555" t="s">
        <v>687</v>
      </c>
      <c r="D55" s="555">
        <v>2010</v>
      </c>
      <c r="E55" s="555">
        <v>161</v>
      </c>
      <c r="F55" s="555">
        <v>3600</v>
      </c>
    </row>
    <row r="56" spans="1:6" ht="12.75">
      <c r="A56" s="555">
        <v>50</v>
      </c>
      <c r="B56" s="555" t="s">
        <v>725</v>
      </c>
      <c r="C56" s="555" t="s">
        <v>687</v>
      </c>
      <c r="D56" s="555">
        <v>2010</v>
      </c>
      <c r="E56" s="555">
        <v>162</v>
      </c>
      <c r="F56" s="555">
        <v>3150</v>
      </c>
    </row>
    <row r="57" spans="1:6" ht="12.75">
      <c r="A57" s="555">
        <v>51</v>
      </c>
      <c r="B57" s="555" t="s">
        <v>726</v>
      </c>
      <c r="C57" s="555" t="s">
        <v>687</v>
      </c>
      <c r="D57" s="555">
        <v>2009</v>
      </c>
      <c r="E57" s="555">
        <v>167</v>
      </c>
      <c r="F57" s="555">
        <v>13564.61</v>
      </c>
    </row>
    <row r="58" spans="1:6" ht="12.75">
      <c r="A58" s="555">
        <v>52</v>
      </c>
      <c r="B58" s="555" t="s">
        <v>727</v>
      </c>
      <c r="C58" s="555" t="s">
        <v>687</v>
      </c>
      <c r="D58" s="555">
        <v>2011</v>
      </c>
      <c r="E58" s="555">
        <v>170</v>
      </c>
      <c r="F58" s="555">
        <v>14396.48</v>
      </c>
    </row>
    <row r="59" spans="1:6" ht="12.75">
      <c r="A59" s="555">
        <v>53</v>
      </c>
      <c r="B59" s="555" t="s">
        <v>728</v>
      </c>
      <c r="C59" s="555" t="s">
        <v>687</v>
      </c>
      <c r="D59" s="555">
        <v>2011</v>
      </c>
      <c r="E59" s="555"/>
      <c r="F59" s="555">
        <v>1400</v>
      </c>
    </row>
    <row r="60" spans="1:6" ht="12.75">
      <c r="A60" s="555">
        <v>54</v>
      </c>
      <c r="B60" s="555" t="s">
        <v>729</v>
      </c>
      <c r="C60" s="555" t="s">
        <v>687</v>
      </c>
      <c r="D60" s="555">
        <v>2011</v>
      </c>
      <c r="E60" s="555"/>
      <c r="F60" s="555">
        <v>650</v>
      </c>
    </row>
    <row r="61" spans="1:6" ht="12.75">
      <c r="A61" s="555">
        <v>55</v>
      </c>
      <c r="B61" s="555" t="s">
        <v>730</v>
      </c>
      <c r="C61" s="555" t="s">
        <v>687</v>
      </c>
      <c r="D61" s="555">
        <v>2011</v>
      </c>
      <c r="E61" s="555"/>
      <c r="F61" s="555">
        <v>15160</v>
      </c>
    </row>
    <row r="62" spans="1:6" ht="12.75">
      <c r="A62" s="555">
        <v>56</v>
      </c>
      <c r="B62" s="555" t="s">
        <v>731</v>
      </c>
      <c r="C62" s="555" t="s">
        <v>687</v>
      </c>
      <c r="D62" s="555">
        <v>2011</v>
      </c>
      <c r="E62" s="555">
        <v>165</v>
      </c>
      <c r="F62" s="555">
        <v>11600</v>
      </c>
    </row>
    <row r="63" spans="1:6" ht="12.75">
      <c r="A63" s="555">
        <v>57</v>
      </c>
      <c r="B63" s="555" t="s">
        <v>732</v>
      </c>
      <c r="C63" s="555" t="s">
        <v>687</v>
      </c>
      <c r="D63" s="555">
        <v>2009</v>
      </c>
      <c r="E63" s="555"/>
      <c r="F63" s="555">
        <v>2590</v>
      </c>
    </row>
    <row r="64" spans="1:6" ht="12.75">
      <c r="A64" s="555">
        <v>58</v>
      </c>
      <c r="B64" s="555" t="s">
        <v>733</v>
      </c>
      <c r="C64" s="555" t="s">
        <v>687</v>
      </c>
      <c r="D64" s="555">
        <v>2011</v>
      </c>
      <c r="E64" s="555"/>
      <c r="F64" s="555">
        <v>11259</v>
      </c>
    </row>
    <row r="65" spans="1:6" ht="12.75">
      <c r="A65" s="555">
        <v>59</v>
      </c>
      <c r="B65" s="555" t="s">
        <v>734</v>
      </c>
      <c r="C65" s="555" t="s">
        <v>687</v>
      </c>
      <c r="D65" s="555">
        <v>2014</v>
      </c>
      <c r="E65" s="555"/>
      <c r="F65" s="555">
        <v>312.91</v>
      </c>
    </row>
    <row r="66" spans="1:6" ht="12.75">
      <c r="A66" s="555">
        <v>60</v>
      </c>
      <c r="B66" s="555" t="s">
        <v>735</v>
      </c>
      <c r="C66" s="555" t="s">
        <v>687</v>
      </c>
      <c r="D66" s="555">
        <v>2011</v>
      </c>
      <c r="E66" s="555"/>
      <c r="F66" s="555">
        <v>528.61</v>
      </c>
    </row>
    <row r="67" spans="1:6" ht="12.75">
      <c r="A67" s="555">
        <v>61</v>
      </c>
      <c r="B67" s="555" t="s">
        <v>736</v>
      </c>
      <c r="C67" s="555" t="s">
        <v>687</v>
      </c>
      <c r="D67" s="555">
        <v>2014</v>
      </c>
      <c r="E67" s="555"/>
      <c r="F67" s="555">
        <v>496.8</v>
      </c>
    </row>
    <row r="68" spans="1:6" ht="12.75">
      <c r="A68" s="555">
        <v>62</v>
      </c>
      <c r="B68" s="557" t="s">
        <v>737</v>
      </c>
      <c r="C68" s="557" t="s">
        <v>687</v>
      </c>
      <c r="D68" s="557">
        <v>1988</v>
      </c>
      <c r="E68" s="558">
        <v>51</v>
      </c>
      <c r="F68" s="558">
        <v>78.6</v>
      </c>
    </row>
    <row r="69" spans="1:6" ht="12.75">
      <c r="A69" s="555">
        <v>63</v>
      </c>
      <c r="B69" s="555" t="s">
        <v>720</v>
      </c>
      <c r="C69" s="555" t="s">
        <v>687</v>
      </c>
      <c r="D69" s="555">
        <v>2009</v>
      </c>
      <c r="E69" s="555">
        <v>145</v>
      </c>
      <c r="F69" s="555">
        <v>4526</v>
      </c>
    </row>
    <row r="70" spans="1:6" ht="12.75">
      <c r="A70" s="555">
        <v>64</v>
      </c>
      <c r="B70" s="559" t="s">
        <v>738</v>
      </c>
      <c r="C70" s="560" t="s">
        <v>739</v>
      </c>
      <c r="D70" s="559">
        <v>1978</v>
      </c>
      <c r="E70" s="559">
        <v>481</v>
      </c>
      <c r="F70" s="561">
        <v>44.98</v>
      </c>
    </row>
    <row r="71" spans="1:6" ht="12.75">
      <c r="A71" s="555">
        <v>65</v>
      </c>
      <c r="B71" s="559" t="s">
        <v>740</v>
      </c>
      <c r="C71" s="560" t="s">
        <v>739</v>
      </c>
      <c r="D71" s="559">
        <v>1978</v>
      </c>
      <c r="E71" s="559">
        <v>158</v>
      </c>
      <c r="F71" s="561">
        <v>44.98</v>
      </c>
    </row>
    <row r="72" spans="1:6" ht="12.75">
      <c r="A72" s="555">
        <v>66</v>
      </c>
      <c r="B72" s="559" t="s">
        <v>741</v>
      </c>
      <c r="C72" s="560" t="s">
        <v>739</v>
      </c>
      <c r="D72" s="559">
        <v>1980</v>
      </c>
      <c r="E72" s="559">
        <v>890</v>
      </c>
      <c r="F72" s="561">
        <v>26.75</v>
      </c>
    </row>
    <row r="73" spans="1:6" ht="12.75">
      <c r="A73" s="555">
        <v>67</v>
      </c>
      <c r="B73" s="559" t="s">
        <v>742</v>
      </c>
      <c r="C73" s="560" t="s">
        <v>739</v>
      </c>
      <c r="D73" s="559">
        <v>1981</v>
      </c>
      <c r="E73" s="559">
        <v>492</v>
      </c>
      <c r="F73" s="561">
        <v>26.75</v>
      </c>
    </row>
    <row r="74" spans="1:6" ht="12.75">
      <c r="A74" s="555">
        <v>68</v>
      </c>
      <c r="B74" s="559" t="s">
        <v>743</v>
      </c>
      <c r="C74" s="560" t="s">
        <v>739</v>
      </c>
      <c r="D74" s="559">
        <v>1989</v>
      </c>
      <c r="E74" s="559">
        <v>880</v>
      </c>
      <c r="F74" s="561">
        <v>14.5</v>
      </c>
    </row>
    <row r="75" spans="1:6" ht="12.75">
      <c r="A75" s="555">
        <v>69</v>
      </c>
      <c r="B75" s="559" t="s">
        <v>744</v>
      </c>
      <c r="C75" s="560" t="s">
        <v>739</v>
      </c>
      <c r="D75" s="559">
        <v>1985</v>
      </c>
      <c r="E75" s="559">
        <v>984</v>
      </c>
      <c r="F75" s="561">
        <v>59.22</v>
      </c>
    </row>
    <row r="76" spans="1:6" ht="12.75">
      <c r="A76" s="555">
        <v>70</v>
      </c>
      <c r="B76" s="559" t="s">
        <v>745</v>
      </c>
      <c r="C76" s="560" t="s">
        <v>746</v>
      </c>
      <c r="D76" s="559">
        <v>1984</v>
      </c>
      <c r="E76" s="559">
        <v>917</v>
      </c>
      <c r="F76" s="561">
        <v>301.59</v>
      </c>
    </row>
    <row r="77" spans="1:6" ht="12.75">
      <c r="A77" s="555">
        <v>71</v>
      </c>
      <c r="B77" s="559" t="s">
        <v>747</v>
      </c>
      <c r="C77" s="560" t="s">
        <v>746</v>
      </c>
      <c r="D77" s="559">
        <v>1989</v>
      </c>
      <c r="E77" s="559">
        <v>590</v>
      </c>
      <c r="F77" s="561">
        <v>674.34</v>
      </c>
    </row>
    <row r="78" spans="1:6" ht="12.75">
      <c r="A78" s="555">
        <v>72</v>
      </c>
      <c r="B78" s="559" t="s">
        <v>748</v>
      </c>
      <c r="C78" s="560" t="s">
        <v>746</v>
      </c>
      <c r="D78" s="559">
        <v>1987</v>
      </c>
      <c r="E78" s="559">
        <v>796</v>
      </c>
      <c r="F78" s="561">
        <v>26.75</v>
      </c>
    </row>
    <row r="79" spans="1:6" ht="12.75">
      <c r="A79" s="555">
        <v>73</v>
      </c>
      <c r="B79" s="559" t="s">
        <v>749</v>
      </c>
      <c r="C79" s="560" t="s">
        <v>750</v>
      </c>
      <c r="D79" s="559">
        <v>1987</v>
      </c>
      <c r="E79" s="559">
        <v>829</v>
      </c>
      <c r="F79" s="561">
        <v>56.78</v>
      </c>
    </row>
    <row r="80" spans="1:6" ht="12.75">
      <c r="A80" s="555">
        <v>74</v>
      </c>
      <c r="B80" s="559" t="s">
        <v>751</v>
      </c>
      <c r="C80" s="560" t="s">
        <v>750</v>
      </c>
      <c r="D80" s="559">
        <v>1992</v>
      </c>
      <c r="E80" s="559">
        <v>550</v>
      </c>
      <c r="F80" s="561">
        <v>92.82</v>
      </c>
    </row>
    <row r="81" spans="1:6" ht="12.75">
      <c r="A81" s="555">
        <v>75</v>
      </c>
      <c r="B81" s="559" t="s">
        <v>752</v>
      </c>
      <c r="C81" s="560" t="s">
        <v>750</v>
      </c>
      <c r="D81" s="559">
        <v>1966</v>
      </c>
      <c r="E81" s="559">
        <v>199</v>
      </c>
      <c r="F81" s="561">
        <v>44.98</v>
      </c>
    </row>
    <row r="82" spans="1:6" ht="12.75">
      <c r="A82" s="555">
        <v>76</v>
      </c>
      <c r="B82" s="559" t="s">
        <v>753</v>
      </c>
      <c r="C82" s="560" t="s">
        <v>750</v>
      </c>
      <c r="D82" s="559">
        <v>1988</v>
      </c>
      <c r="E82" s="559">
        <v>833</v>
      </c>
      <c r="F82" s="561">
        <v>0</v>
      </c>
    </row>
    <row r="83" spans="1:6" ht="12.75">
      <c r="A83" s="555">
        <v>77</v>
      </c>
      <c r="B83" s="559" t="s">
        <v>754</v>
      </c>
      <c r="C83" s="560" t="s">
        <v>750</v>
      </c>
      <c r="D83" s="559">
        <v>1981</v>
      </c>
      <c r="E83" s="559">
        <v>585</v>
      </c>
      <c r="F83" s="561">
        <v>20.63</v>
      </c>
    </row>
    <row r="84" spans="1:6" ht="12.75">
      <c r="A84" s="555">
        <v>78</v>
      </c>
      <c r="B84" s="559" t="s">
        <v>755</v>
      </c>
      <c r="C84" s="560" t="s">
        <v>750</v>
      </c>
      <c r="D84" s="559">
        <v>1983</v>
      </c>
      <c r="E84" s="559">
        <v>574</v>
      </c>
      <c r="F84" s="561">
        <v>28.53</v>
      </c>
    </row>
    <row r="85" spans="1:6" ht="12.75">
      <c r="A85" s="555">
        <v>79</v>
      </c>
      <c r="B85" s="559" t="s">
        <v>756</v>
      </c>
      <c r="C85" s="560" t="s">
        <v>750</v>
      </c>
      <c r="D85" s="559">
        <v>1992</v>
      </c>
      <c r="E85" s="559">
        <v>940</v>
      </c>
      <c r="F85" s="561">
        <v>26.75</v>
      </c>
    </row>
    <row r="86" spans="1:6" ht="12.75">
      <c r="A86" s="555">
        <v>80</v>
      </c>
      <c r="B86" s="559" t="s">
        <v>757</v>
      </c>
      <c r="C86" s="560" t="s">
        <v>750</v>
      </c>
      <c r="D86" s="559">
        <v>1986</v>
      </c>
      <c r="E86" s="559">
        <v>734</v>
      </c>
      <c r="F86" s="561">
        <v>33.11</v>
      </c>
    </row>
    <row r="87" spans="1:6" ht="12.75">
      <c r="A87" s="555">
        <v>81</v>
      </c>
      <c r="B87" s="559" t="s">
        <v>758</v>
      </c>
      <c r="C87" s="560" t="s">
        <v>750</v>
      </c>
      <c r="D87" s="559">
        <v>1986</v>
      </c>
      <c r="E87" s="559">
        <v>702</v>
      </c>
      <c r="F87" s="561">
        <v>26.75</v>
      </c>
    </row>
    <row r="88" spans="1:6" ht="12.75">
      <c r="A88" s="555">
        <v>82</v>
      </c>
      <c r="B88" s="559" t="s">
        <v>759</v>
      </c>
      <c r="C88" s="560" t="s">
        <v>750</v>
      </c>
      <c r="D88" s="559">
        <v>1986</v>
      </c>
      <c r="E88" s="559">
        <v>524</v>
      </c>
      <c r="F88" s="561">
        <v>35.23</v>
      </c>
    </row>
    <row r="89" spans="1:6" ht="12.75">
      <c r="A89" s="555">
        <v>83</v>
      </c>
      <c r="B89" s="559" t="s">
        <v>760</v>
      </c>
      <c r="C89" s="560" t="s">
        <v>750</v>
      </c>
      <c r="D89" s="559">
        <v>1986</v>
      </c>
      <c r="E89" s="559">
        <v>715</v>
      </c>
      <c r="F89" s="561">
        <v>23.53</v>
      </c>
    </row>
    <row r="90" spans="1:6" ht="12.75">
      <c r="A90" s="555">
        <v>84</v>
      </c>
      <c r="B90" s="559" t="s">
        <v>761</v>
      </c>
      <c r="C90" s="560" t="s">
        <v>750</v>
      </c>
      <c r="D90" s="559">
        <v>1988</v>
      </c>
      <c r="E90" s="559">
        <v>842</v>
      </c>
      <c r="F90" s="561">
        <v>42.22</v>
      </c>
    </row>
    <row r="91" spans="1:6" ht="12.75">
      <c r="A91" s="555">
        <v>85</v>
      </c>
      <c r="B91" s="559" t="s">
        <v>761</v>
      </c>
      <c r="C91" s="560" t="s">
        <v>750</v>
      </c>
      <c r="D91" s="559">
        <v>1988</v>
      </c>
      <c r="E91" s="559">
        <v>844</v>
      </c>
      <c r="F91" s="561">
        <v>42.22</v>
      </c>
    </row>
    <row r="92" spans="1:6" ht="12.75">
      <c r="A92" s="555">
        <v>86</v>
      </c>
      <c r="B92" s="559" t="s">
        <v>761</v>
      </c>
      <c r="C92" s="560" t="s">
        <v>750</v>
      </c>
      <c r="D92" s="559">
        <v>1988</v>
      </c>
      <c r="E92" s="559">
        <v>847</v>
      </c>
      <c r="F92" s="561">
        <v>42.22</v>
      </c>
    </row>
    <row r="93" spans="1:6" ht="12.75">
      <c r="A93" s="555">
        <v>87</v>
      </c>
      <c r="B93" s="559" t="s">
        <v>762</v>
      </c>
      <c r="C93" s="560" t="s">
        <v>750</v>
      </c>
      <c r="D93" s="559">
        <v>1988</v>
      </c>
      <c r="E93" s="559">
        <v>807</v>
      </c>
      <c r="F93" s="561">
        <v>26.75</v>
      </c>
    </row>
    <row r="94" spans="1:6" ht="12.75">
      <c r="A94" s="555">
        <v>88</v>
      </c>
      <c r="B94" s="559" t="s">
        <v>763</v>
      </c>
      <c r="C94" s="560" t="s">
        <v>750</v>
      </c>
      <c r="D94" s="559">
        <v>1988</v>
      </c>
      <c r="E94" s="559">
        <v>804</v>
      </c>
      <c r="F94" s="561">
        <v>42</v>
      </c>
    </row>
    <row r="95" spans="1:6" ht="12.75">
      <c r="A95" s="555">
        <v>89</v>
      </c>
      <c r="B95" s="559" t="s">
        <v>764</v>
      </c>
      <c r="C95" s="560" t="s">
        <v>750</v>
      </c>
      <c r="D95" s="559">
        <v>1987</v>
      </c>
      <c r="E95" s="559">
        <v>812</v>
      </c>
      <c r="F95" s="561">
        <v>21.38</v>
      </c>
    </row>
    <row r="96" spans="1:6" ht="12.75">
      <c r="A96" s="555">
        <v>90</v>
      </c>
      <c r="B96" s="559" t="s">
        <v>764</v>
      </c>
      <c r="C96" s="560" t="s">
        <v>750</v>
      </c>
      <c r="D96" s="559">
        <v>1987</v>
      </c>
      <c r="E96" s="559">
        <v>806</v>
      </c>
      <c r="F96" s="561">
        <v>21.38</v>
      </c>
    </row>
    <row r="97" spans="1:6" ht="12.75">
      <c r="A97" s="555">
        <v>91</v>
      </c>
      <c r="B97" s="559" t="s">
        <v>765</v>
      </c>
      <c r="C97" s="560" t="s">
        <v>750</v>
      </c>
      <c r="D97" s="559">
        <v>1984</v>
      </c>
      <c r="E97" s="559">
        <v>769</v>
      </c>
      <c r="F97" s="561">
        <v>64.99</v>
      </c>
    </row>
    <row r="98" spans="1:6" ht="12.75">
      <c r="A98" s="555">
        <v>92</v>
      </c>
      <c r="B98" s="559" t="s">
        <v>766</v>
      </c>
      <c r="C98" s="560" t="s">
        <v>750</v>
      </c>
      <c r="D98" s="559">
        <v>1988</v>
      </c>
      <c r="E98" s="559">
        <v>819</v>
      </c>
      <c r="F98" s="561">
        <v>28.53</v>
      </c>
    </row>
    <row r="99" spans="1:6" ht="12.75">
      <c r="A99" s="555">
        <v>93</v>
      </c>
      <c r="B99" s="559" t="s">
        <v>767</v>
      </c>
      <c r="C99" s="560" t="s">
        <v>750</v>
      </c>
      <c r="D99" s="559">
        <v>1985</v>
      </c>
      <c r="E99" s="559">
        <v>887</v>
      </c>
      <c r="F99" s="561">
        <v>31.54</v>
      </c>
    </row>
    <row r="100" spans="1:6" ht="12.75">
      <c r="A100" s="555">
        <v>94</v>
      </c>
      <c r="B100" s="559" t="s">
        <v>768</v>
      </c>
      <c r="C100" s="560" t="s">
        <v>750</v>
      </c>
      <c r="D100" s="559">
        <v>1989</v>
      </c>
      <c r="E100" s="559">
        <v>879</v>
      </c>
      <c r="F100" s="561">
        <v>26.75</v>
      </c>
    </row>
    <row r="101" spans="1:6" ht="12.75">
      <c r="A101" s="555">
        <v>95</v>
      </c>
      <c r="B101" s="559" t="s">
        <v>768</v>
      </c>
      <c r="C101" s="560" t="s">
        <v>750</v>
      </c>
      <c r="D101" s="559">
        <v>1990</v>
      </c>
      <c r="E101" s="559">
        <v>913</v>
      </c>
      <c r="F101" s="561">
        <v>26.75</v>
      </c>
    </row>
    <row r="102" spans="1:6" ht="12.75">
      <c r="A102" s="555">
        <v>96</v>
      </c>
      <c r="B102" s="559" t="s">
        <v>769</v>
      </c>
      <c r="C102" s="560" t="s">
        <v>750</v>
      </c>
      <c r="D102" s="559">
        <v>1990</v>
      </c>
      <c r="E102" s="559">
        <v>932</v>
      </c>
      <c r="F102" s="561">
        <v>32.56</v>
      </c>
    </row>
    <row r="103" spans="1:6" ht="12.75">
      <c r="A103" s="555">
        <v>97</v>
      </c>
      <c r="B103" s="559" t="s">
        <v>770</v>
      </c>
      <c r="C103" s="560" t="s">
        <v>750</v>
      </c>
      <c r="D103" s="559">
        <v>2004</v>
      </c>
      <c r="E103" s="559">
        <v>1088</v>
      </c>
      <c r="F103" s="561">
        <v>0</v>
      </c>
    </row>
    <row r="104" spans="1:6" ht="12.75">
      <c r="A104" s="555">
        <v>98</v>
      </c>
      <c r="B104" s="559" t="s">
        <v>771</v>
      </c>
      <c r="C104" s="560" t="s">
        <v>772</v>
      </c>
      <c r="D104" s="559">
        <v>1978</v>
      </c>
      <c r="E104" s="559">
        <v>248</v>
      </c>
      <c r="F104" s="561">
        <v>0</v>
      </c>
    </row>
    <row r="105" spans="1:6" ht="12.75">
      <c r="A105" s="555">
        <v>99</v>
      </c>
      <c r="B105" s="559" t="s">
        <v>773</v>
      </c>
      <c r="C105" s="560" t="s">
        <v>772</v>
      </c>
      <c r="D105" s="559">
        <v>1990</v>
      </c>
      <c r="E105" s="559">
        <v>886</v>
      </c>
      <c r="F105" s="561">
        <v>0</v>
      </c>
    </row>
    <row r="106" spans="1:6" ht="12.75">
      <c r="A106" s="555">
        <v>100</v>
      </c>
      <c r="B106" s="559" t="s">
        <v>747</v>
      </c>
      <c r="C106" s="560" t="s">
        <v>772</v>
      </c>
      <c r="D106" s="559">
        <v>1983</v>
      </c>
      <c r="E106" s="559">
        <v>343</v>
      </c>
      <c r="F106" s="561">
        <v>649.61</v>
      </c>
    </row>
    <row r="107" spans="1:6" ht="12.75">
      <c r="A107" s="555">
        <v>101</v>
      </c>
      <c r="B107" s="559" t="s">
        <v>774</v>
      </c>
      <c r="C107" s="560" t="s">
        <v>772</v>
      </c>
      <c r="D107" s="559">
        <v>1981</v>
      </c>
      <c r="E107" s="559">
        <v>837</v>
      </c>
      <c r="F107" s="561">
        <v>658.3</v>
      </c>
    </row>
    <row r="108" spans="1:6" ht="12.75">
      <c r="A108" s="555">
        <v>102</v>
      </c>
      <c r="B108" s="559" t="s">
        <v>775</v>
      </c>
      <c r="C108" s="560" t="s">
        <v>772</v>
      </c>
      <c r="D108" s="559">
        <v>1982</v>
      </c>
      <c r="E108" s="559">
        <v>566</v>
      </c>
      <c r="F108" s="561">
        <v>24.66</v>
      </c>
    </row>
    <row r="109" spans="1:6" ht="12.75">
      <c r="A109" s="555">
        <v>103</v>
      </c>
      <c r="B109" s="559" t="s">
        <v>759</v>
      </c>
      <c r="C109" s="560" t="s">
        <v>772</v>
      </c>
      <c r="D109" s="559">
        <v>1986</v>
      </c>
      <c r="E109" s="559">
        <v>714</v>
      </c>
      <c r="F109" s="561">
        <v>26.75</v>
      </c>
    </row>
    <row r="110" spans="1:6" ht="12.75">
      <c r="A110" s="555">
        <v>104</v>
      </c>
      <c r="B110" s="559" t="s">
        <v>776</v>
      </c>
      <c r="C110" s="560" t="s">
        <v>772</v>
      </c>
      <c r="D110" s="559">
        <v>1983</v>
      </c>
      <c r="E110" s="559">
        <v>569</v>
      </c>
      <c r="F110" s="561">
        <v>26.2</v>
      </c>
    </row>
    <row r="111" spans="1:6" ht="12.75">
      <c r="A111" s="555">
        <v>105</v>
      </c>
      <c r="B111" s="559" t="s">
        <v>777</v>
      </c>
      <c r="C111" s="560" t="s">
        <v>772</v>
      </c>
      <c r="D111" s="559">
        <v>1982</v>
      </c>
      <c r="E111" s="559">
        <v>813</v>
      </c>
      <c r="F111" s="561">
        <v>26.75</v>
      </c>
    </row>
    <row r="112" spans="1:6" ht="12.75">
      <c r="A112" s="555">
        <v>106</v>
      </c>
      <c r="B112" s="559" t="s">
        <v>767</v>
      </c>
      <c r="C112" s="560" t="s">
        <v>772</v>
      </c>
      <c r="D112" s="559">
        <v>1969</v>
      </c>
      <c r="E112" s="559">
        <v>113</v>
      </c>
      <c r="F112" s="561">
        <v>68</v>
      </c>
    </row>
    <row r="113" spans="1:6" ht="12.75">
      <c r="A113" s="555">
        <v>107</v>
      </c>
      <c r="B113" s="559" t="s">
        <v>778</v>
      </c>
      <c r="C113" s="560" t="s">
        <v>772</v>
      </c>
      <c r="D113" s="559">
        <v>1990</v>
      </c>
      <c r="E113" s="559">
        <v>512</v>
      </c>
      <c r="F113" s="561">
        <v>33.66</v>
      </c>
    </row>
    <row r="114" spans="1:6" ht="12.75">
      <c r="A114" s="555">
        <v>108</v>
      </c>
      <c r="B114" s="559" t="s">
        <v>779</v>
      </c>
      <c r="C114" s="560" t="s">
        <v>772</v>
      </c>
      <c r="D114" s="559">
        <v>1987</v>
      </c>
      <c r="E114" s="559">
        <v>513</v>
      </c>
      <c r="F114" s="561">
        <v>26.75</v>
      </c>
    </row>
    <row r="115" spans="1:6" ht="12.75">
      <c r="A115" s="555">
        <v>109</v>
      </c>
      <c r="B115" s="559" t="s">
        <v>780</v>
      </c>
      <c r="C115" s="560" t="s">
        <v>772</v>
      </c>
      <c r="D115" s="559">
        <v>1986</v>
      </c>
      <c r="E115" s="559">
        <v>770</v>
      </c>
      <c r="F115" s="561">
        <v>25.31</v>
      </c>
    </row>
    <row r="116" spans="1:6" ht="12.75">
      <c r="A116" s="555">
        <v>110</v>
      </c>
      <c r="B116" s="559" t="s">
        <v>781</v>
      </c>
      <c r="C116" s="560" t="s">
        <v>772</v>
      </c>
      <c r="D116" s="559">
        <v>1984</v>
      </c>
      <c r="E116" s="559">
        <v>718</v>
      </c>
      <c r="F116" s="561">
        <v>35.6</v>
      </c>
    </row>
    <row r="117" spans="1:6" ht="12.75">
      <c r="A117" s="555">
        <v>111</v>
      </c>
      <c r="B117" s="559" t="s">
        <v>782</v>
      </c>
      <c r="C117" s="560" t="s">
        <v>783</v>
      </c>
      <c r="D117" s="559">
        <v>1985</v>
      </c>
      <c r="E117" s="559">
        <v>525</v>
      </c>
      <c r="F117" s="561">
        <v>0</v>
      </c>
    </row>
    <row r="118" spans="1:6" ht="12.75">
      <c r="A118" s="555">
        <v>112</v>
      </c>
      <c r="B118" s="559" t="s">
        <v>784</v>
      </c>
      <c r="C118" s="560" t="s">
        <v>783</v>
      </c>
      <c r="D118" s="559">
        <v>1989</v>
      </c>
      <c r="E118" s="559">
        <v>979</v>
      </c>
      <c r="F118" s="561">
        <v>0</v>
      </c>
    </row>
    <row r="119" spans="1:6" ht="12.75">
      <c r="A119" s="555">
        <v>113</v>
      </c>
      <c r="B119" s="559" t="s">
        <v>785</v>
      </c>
      <c r="C119" s="560" t="s">
        <v>783</v>
      </c>
      <c r="D119" s="559">
        <v>1992</v>
      </c>
      <c r="E119" s="559">
        <v>894</v>
      </c>
      <c r="F119" s="561">
        <v>55.5</v>
      </c>
    </row>
    <row r="120" spans="1:6" ht="12.75">
      <c r="A120" s="555">
        <v>114</v>
      </c>
      <c r="B120" s="559" t="s">
        <v>752</v>
      </c>
      <c r="C120" s="560" t="s">
        <v>783</v>
      </c>
      <c r="D120" s="559">
        <v>1980</v>
      </c>
      <c r="E120" s="559">
        <v>575</v>
      </c>
      <c r="F120" s="561">
        <v>44.98</v>
      </c>
    </row>
    <row r="121" spans="1:6" ht="12.75">
      <c r="A121" s="555">
        <v>115</v>
      </c>
      <c r="B121" s="559" t="s">
        <v>730</v>
      </c>
      <c r="C121" s="560" t="s">
        <v>783</v>
      </c>
      <c r="D121" s="559">
        <v>1994</v>
      </c>
      <c r="E121" s="559">
        <v>571</v>
      </c>
      <c r="F121" s="561">
        <v>136.45</v>
      </c>
    </row>
    <row r="122" spans="1:6" ht="12.75">
      <c r="A122" s="555">
        <v>116</v>
      </c>
      <c r="B122" s="559" t="s">
        <v>780</v>
      </c>
      <c r="C122" s="560" t="s">
        <v>783</v>
      </c>
      <c r="D122" s="559">
        <v>1985</v>
      </c>
      <c r="E122" s="559">
        <v>919</v>
      </c>
      <c r="F122" s="561">
        <v>26.75</v>
      </c>
    </row>
    <row r="123" spans="1:6" ht="12.75">
      <c r="A123" s="555">
        <v>117</v>
      </c>
      <c r="B123" s="559" t="s">
        <v>786</v>
      </c>
      <c r="C123" s="560" t="s">
        <v>783</v>
      </c>
      <c r="D123" s="559">
        <v>1988</v>
      </c>
      <c r="E123" s="559">
        <v>831</v>
      </c>
      <c r="F123" s="561">
        <v>20.63</v>
      </c>
    </row>
    <row r="124" spans="1:6" ht="12.75">
      <c r="A124" s="555">
        <v>118</v>
      </c>
      <c r="B124" s="559" t="s">
        <v>787</v>
      </c>
      <c r="C124" s="560" t="s">
        <v>783</v>
      </c>
      <c r="D124" s="559">
        <v>1988</v>
      </c>
      <c r="E124" s="559">
        <v>855</v>
      </c>
      <c r="F124" s="561">
        <v>20.63</v>
      </c>
    </row>
    <row r="125" spans="1:6" ht="12.75">
      <c r="A125" s="555">
        <v>119</v>
      </c>
      <c r="B125" s="559" t="s">
        <v>788</v>
      </c>
      <c r="C125" s="560" t="s">
        <v>783</v>
      </c>
      <c r="D125" s="559">
        <v>1988</v>
      </c>
      <c r="E125" s="559">
        <v>850</v>
      </c>
      <c r="F125" s="561">
        <v>20.63</v>
      </c>
    </row>
    <row r="126" spans="1:6" ht="12.75">
      <c r="A126" s="555">
        <v>120</v>
      </c>
      <c r="B126" s="559" t="s">
        <v>789</v>
      </c>
      <c r="C126" s="560" t="s">
        <v>783</v>
      </c>
      <c r="D126" s="559">
        <v>1988</v>
      </c>
      <c r="E126" s="559">
        <v>561</v>
      </c>
      <c r="F126" s="561">
        <v>20.63</v>
      </c>
    </row>
    <row r="127" spans="1:6" ht="12.75">
      <c r="A127" s="555">
        <v>121</v>
      </c>
      <c r="B127" s="559" t="s">
        <v>790</v>
      </c>
      <c r="C127" s="560" t="s">
        <v>783</v>
      </c>
      <c r="D127" s="559">
        <v>1989</v>
      </c>
      <c r="E127" s="559">
        <v>977</v>
      </c>
      <c r="F127" s="561">
        <v>426.25</v>
      </c>
    </row>
    <row r="128" spans="1:6" ht="12.75">
      <c r="A128" s="555">
        <v>122</v>
      </c>
      <c r="B128" s="559" t="s">
        <v>791</v>
      </c>
      <c r="C128" s="560" t="s">
        <v>783</v>
      </c>
      <c r="D128" s="559">
        <v>1992</v>
      </c>
      <c r="E128" s="559">
        <v>928</v>
      </c>
      <c r="F128" s="561">
        <v>36.63</v>
      </c>
    </row>
    <row r="129" spans="1:6" ht="12.75">
      <c r="A129" s="555">
        <v>123</v>
      </c>
      <c r="B129" s="559" t="s">
        <v>713</v>
      </c>
      <c r="C129" s="560" t="s">
        <v>783</v>
      </c>
      <c r="D129" s="559">
        <v>1990</v>
      </c>
      <c r="E129" s="559">
        <v>920</v>
      </c>
      <c r="F129" s="561">
        <v>132.12</v>
      </c>
    </row>
    <row r="130" spans="1:6" ht="12.75">
      <c r="A130" s="555">
        <v>124</v>
      </c>
      <c r="B130" s="559" t="s">
        <v>713</v>
      </c>
      <c r="C130" s="560" t="s">
        <v>783</v>
      </c>
      <c r="D130" s="559">
        <v>1990</v>
      </c>
      <c r="E130" s="559">
        <v>924</v>
      </c>
      <c r="F130" s="561">
        <v>132.12</v>
      </c>
    </row>
    <row r="131" spans="1:6" ht="12.75">
      <c r="A131" s="555">
        <v>125</v>
      </c>
      <c r="B131" s="559" t="s">
        <v>713</v>
      </c>
      <c r="C131" s="560" t="s">
        <v>783</v>
      </c>
      <c r="D131" s="559">
        <v>1990</v>
      </c>
      <c r="E131" s="559">
        <v>925</v>
      </c>
      <c r="F131" s="561">
        <v>131.12</v>
      </c>
    </row>
    <row r="132" spans="1:6" ht="12.75">
      <c r="A132" s="555">
        <v>126</v>
      </c>
      <c r="B132" s="559" t="s">
        <v>713</v>
      </c>
      <c r="C132" s="560" t="s">
        <v>783</v>
      </c>
      <c r="D132" s="559">
        <v>1990</v>
      </c>
      <c r="E132" s="559">
        <v>921</v>
      </c>
      <c r="F132" s="561">
        <v>132.12</v>
      </c>
    </row>
    <row r="133" spans="1:6" ht="12.75">
      <c r="A133" s="555">
        <v>127</v>
      </c>
      <c r="B133" s="559" t="s">
        <v>792</v>
      </c>
      <c r="C133" s="560" t="s">
        <v>783</v>
      </c>
      <c r="D133" s="559">
        <v>1980</v>
      </c>
      <c r="E133" s="559">
        <v>849</v>
      </c>
      <c r="F133" s="561">
        <v>0</v>
      </c>
    </row>
    <row r="134" spans="1:6" ht="12.75">
      <c r="A134" s="555">
        <v>128</v>
      </c>
      <c r="B134" s="559" t="s">
        <v>793</v>
      </c>
      <c r="C134" s="560" t="s">
        <v>783</v>
      </c>
      <c r="D134" s="559">
        <v>1994</v>
      </c>
      <c r="E134" s="559">
        <v>952</v>
      </c>
      <c r="F134" s="561">
        <v>430.73</v>
      </c>
    </row>
    <row r="135" spans="1:6" ht="12.75">
      <c r="A135" s="555">
        <v>129</v>
      </c>
      <c r="B135" s="559" t="s">
        <v>696</v>
      </c>
      <c r="C135" s="560" t="s">
        <v>783</v>
      </c>
      <c r="D135" s="559">
        <v>1980</v>
      </c>
      <c r="E135" s="559">
        <v>578</v>
      </c>
      <c r="F135" s="561">
        <v>56.78</v>
      </c>
    </row>
    <row r="136" spans="1:6" ht="12.75">
      <c r="A136" s="555">
        <v>130</v>
      </c>
      <c r="B136" s="559" t="s">
        <v>794</v>
      </c>
      <c r="C136" s="560" t="s">
        <v>795</v>
      </c>
      <c r="D136" s="559">
        <v>2004</v>
      </c>
      <c r="E136" s="559">
        <v>1085</v>
      </c>
      <c r="F136" s="561">
        <v>0</v>
      </c>
    </row>
    <row r="137" spans="1:6" ht="12.75">
      <c r="A137" s="555">
        <v>131</v>
      </c>
      <c r="B137" s="559" t="s">
        <v>796</v>
      </c>
      <c r="C137" s="560" t="s">
        <v>795</v>
      </c>
      <c r="D137" s="559">
        <v>1985</v>
      </c>
      <c r="E137" s="559">
        <v>709</v>
      </c>
      <c r="F137" s="561">
        <v>23.75</v>
      </c>
    </row>
    <row r="138" spans="1:6" ht="12.75">
      <c r="A138" s="555">
        <v>132</v>
      </c>
      <c r="B138" s="559" t="s">
        <v>797</v>
      </c>
      <c r="C138" s="560" t="s">
        <v>795</v>
      </c>
      <c r="D138" s="559">
        <v>1991</v>
      </c>
      <c r="E138" s="559">
        <v>162</v>
      </c>
      <c r="F138" s="561">
        <v>23.75</v>
      </c>
    </row>
    <row r="139" spans="1:6" ht="12.75">
      <c r="A139" s="555">
        <v>133</v>
      </c>
      <c r="B139" s="559" t="s">
        <v>782</v>
      </c>
      <c r="C139" s="560" t="s">
        <v>795</v>
      </c>
      <c r="D139" s="559">
        <v>1985</v>
      </c>
      <c r="E139" s="559">
        <v>538</v>
      </c>
      <c r="F139" s="561">
        <v>50.88</v>
      </c>
    </row>
    <row r="140" spans="1:6" ht="12.75">
      <c r="A140" s="555">
        <v>134</v>
      </c>
      <c r="B140" s="559" t="s">
        <v>798</v>
      </c>
      <c r="C140" s="560" t="s">
        <v>795</v>
      </c>
      <c r="D140" s="559">
        <v>1989</v>
      </c>
      <c r="E140" s="559">
        <v>105</v>
      </c>
      <c r="F140" s="561">
        <v>26.5</v>
      </c>
    </row>
    <row r="141" spans="1:6" ht="12.75">
      <c r="A141" s="555">
        <v>135</v>
      </c>
      <c r="B141" s="559" t="s">
        <v>799</v>
      </c>
      <c r="C141" s="560" t="s">
        <v>795</v>
      </c>
      <c r="D141" s="559">
        <v>1985</v>
      </c>
      <c r="E141" s="559">
        <v>598</v>
      </c>
      <c r="F141" s="561">
        <v>64.32</v>
      </c>
    </row>
    <row r="142" spans="1:6" ht="12.75">
      <c r="A142" s="555">
        <v>136</v>
      </c>
      <c r="B142" s="559" t="s">
        <v>800</v>
      </c>
      <c r="C142" s="560" t="s">
        <v>801</v>
      </c>
      <c r="D142" s="559">
        <v>1981</v>
      </c>
      <c r="E142" s="559">
        <v>953</v>
      </c>
      <c r="F142" s="561">
        <v>74.49</v>
      </c>
    </row>
    <row r="143" spans="1:6" ht="12.75">
      <c r="A143" s="555">
        <v>137</v>
      </c>
      <c r="B143" s="559" t="s">
        <v>771</v>
      </c>
      <c r="C143" s="560" t="s">
        <v>801</v>
      </c>
      <c r="D143" s="559">
        <v>1980</v>
      </c>
      <c r="E143" s="559">
        <v>838</v>
      </c>
      <c r="F143" s="561">
        <v>1721.74</v>
      </c>
    </row>
    <row r="144" spans="1:6" ht="12.75">
      <c r="A144" s="555">
        <v>138</v>
      </c>
      <c r="B144" s="559" t="s">
        <v>802</v>
      </c>
      <c r="C144" s="560" t="s">
        <v>801</v>
      </c>
      <c r="D144" s="559">
        <v>1979</v>
      </c>
      <c r="E144" s="559">
        <v>679</v>
      </c>
      <c r="F144" s="561">
        <v>134.7</v>
      </c>
    </row>
    <row r="145" spans="1:6" ht="12.75">
      <c r="A145" s="555">
        <v>139</v>
      </c>
      <c r="B145" s="559" t="s">
        <v>803</v>
      </c>
      <c r="C145" s="560" t="s">
        <v>801</v>
      </c>
      <c r="D145" s="559">
        <v>1979</v>
      </c>
      <c r="E145" s="559">
        <v>221</v>
      </c>
      <c r="F145" s="561">
        <v>44.98</v>
      </c>
    </row>
    <row r="146" spans="1:6" ht="12.75">
      <c r="A146" s="555">
        <v>140</v>
      </c>
      <c r="B146" s="559" t="s">
        <v>804</v>
      </c>
      <c r="C146" s="560" t="s">
        <v>801</v>
      </c>
      <c r="D146" s="559">
        <v>1969</v>
      </c>
      <c r="E146" s="559">
        <v>228</v>
      </c>
      <c r="F146" s="561">
        <v>79.09</v>
      </c>
    </row>
    <row r="147" spans="1:6" ht="12.75">
      <c r="A147" s="555">
        <v>141</v>
      </c>
      <c r="B147" s="559" t="s">
        <v>805</v>
      </c>
      <c r="C147" s="560" t="s">
        <v>801</v>
      </c>
      <c r="D147" s="559">
        <v>1971</v>
      </c>
      <c r="E147" s="559">
        <v>128</v>
      </c>
      <c r="F147" s="561">
        <v>44.98</v>
      </c>
    </row>
    <row r="148" spans="1:6" ht="12.75">
      <c r="A148" s="555">
        <v>142</v>
      </c>
      <c r="B148" s="559" t="s">
        <v>806</v>
      </c>
      <c r="C148" s="560" t="s">
        <v>801</v>
      </c>
      <c r="D148" s="559">
        <v>1981</v>
      </c>
      <c r="E148" s="559">
        <v>232</v>
      </c>
      <c r="F148" s="561">
        <v>1587.98</v>
      </c>
    </row>
    <row r="149" spans="1:6" ht="12.75">
      <c r="A149" s="555">
        <v>143</v>
      </c>
      <c r="B149" s="559" t="s">
        <v>807</v>
      </c>
      <c r="C149" s="560" t="s">
        <v>801</v>
      </c>
      <c r="D149" s="559">
        <v>1966</v>
      </c>
      <c r="E149" s="559">
        <v>816</v>
      </c>
      <c r="F149" s="561">
        <v>47.5</v>
      </c>
    </row>
    <row r="150" spans="1:6" ht="12.75">
      <c r="A150" s="555">
        <v>144</v>
      </c>
      <c r="B150" s="559" t="s">
        <v>808</v>
      </c>
      <c r="C150" s="560" t="s">
        <v>801</v>
      </c>
      <c r="D150" s="559">
        <v>1966</v>
      </c>
      <c r="E150" s="559">
        <v>20</v>
      </c>
      <c r="F150" s="561">
        <v>666.23</v>
      </c>
    </row>
    <row r="151" spans="1:6" ht="12.75">
      <c r="A151" s="555">
        <v>145</v>
      </c>
      <c r="B151" s="559" t="s">
        <v>809</v>
      </c>
      <c r="C151" s="560" t="s">
        <v>801</v>
      </c>
      <c r="D151" s="559">
        <v>1969</v>
      </c>
      <c r="E151" s="559">
        <v>355</v>
      </c>
      <c r="F151" s="561">
        <v>59.37</v>
      </c>
    </row>
    <row r="152" spans="1:6" ht="12.75">
      <c r="A152" s="555">
        <v>146</v>
      </c>
      <c r="B152" s="559" t="s">
        <v>810</v>
      </c>
      <c r="C152" s="560" t="s">
        <v>801</v>
      </c>
      <c r="D152" s="559">
        <v>1966</v>
      </c>
      <c r="E152" s="559">
        <v>217</v>
      </c>
      <c r="F152" s="561">
        <v>44.98</v>
      </c>
    </row>
    <row r="153" spans="1:6" ht="12.75">
      <c r="A153" s="555">
        <v>147</v>
      </c>
      <c r="B153" s="559" t="s">
        <v>811</v>
      </c>
      <c r="C153" s="560" t="s">
        <v>801</v>
      </c>
      <c r="D153" s="559">
        <v>1966</v>
      </c>
      <c r="E153" s="559">
        <v>354</v>
      </c>
      <c r="F153" s="561">
        <v>879.51</v>
      </c>
    </row>
    <row r="154" spans="1:6" ht="12.75">
      <c r="A154" s="555">
        <v>148</v>
      </c>
      <c r="B154" s="559" t="s">
        <v>812</v>
      </c>
      <c r="C154" s="560" t="s">
        <v>801</v>
      </c>
      <c r="D154" s="559">
        <v>1966</v>
      </c>
      <c r="E154" s="559">
        <v>21</v>
      </c>
      <c r="F154" s="561">
        <v>173.5</v>
      </c>
    </row>
    <row r="155" spans="1:6" ht="12.75">
      <c r="A155" s="555">
        <v>149</v>
      </c>
      <c r="B155" s="559" t="s">
        <v>813</v>
      </c>
      <c r="C155" s="560" t="s">
        <v>801</v>
      </c>
      <c r="D155" s="559">
        <v>1979</v>
      </c>
      <c r="E155" s="559">
        <v>46</v>
      </c>
      <c r="F155" s="561">
        <v>44.98</v>
      </c>
    </row>
    <row r="156" spans="1:6" ht="12.75">
      <c r="A156" s="555">
        <v>150</v>
      </c>
      <c r="B156" s="559" t="s">
        <v>814</v>
      </c>
      <c r="C156" s="560" t="s">
        <v>801</v>
      </c>
      <c r="D156" s="559">
        <v>1980</v>
      </c>
      <c r="E156" s="559">
        <v>31</v>
      </c>
      <c r="F156" s="561">
        <v>134.93</v>
      </c>
    </row>
    <row r="157" spans="1:6" ht="12.75">
      <c r="A157" s="555">
        <v>151</v>
      </c>
      <c r="B157" s="559" t="s">
        <v>815</v>
      </c>
      <c r="C157" s="560" t="s">
        <v>801</v>
      </c>
      <c r="D157" s="559">
        <v>1982</v>
      </c>
      <c r="E157" s="559">
        <v>682</v>
      </c>
      <c r="F157" s="561">
        <v>2116.89</v>
      </c>
    </row>
    <row r="158" spans="1:6" ht="12.75">
      <c r="A158" s="555">
        <v>152</v>
      </c>
      <c r="B158" s="559" t="s">
        <v>806</v>
      </c>
      <c r="C158" s="560" t="s">
        <v>801</v>
      </c>
      <c r="D158" s="559">
        <v>1968</v>
      </c>
      <c r="E158" s="559">
        <v>922</v>
      </c>
      <c r="F158" s="561">
        <v>74.74</v>
      </c>
    </row>
    <row r="159" spans="1:6" ht="12.75">
      <c r="A159" s="555">
        <v>153</v>
      </c>
      <c r="B159" s="559" t="s">
        <v>816</v>
      </c>
      <c r="C159" s="560" t="s">
        <v>801</v>
      </c>
      <c r="D159" s="559">
        <v>1966</v>
      </c>
      <c r="E159" s="559">
        <v>353</v>
      </c>
      <c r="F159" s="561">
        <v>0</v>
      </c>
    </row>
    <row r="160" spans="1:6" ht="12.75">
      <c r="A160" s="555">
        <v>154</v>
      </c>
      <c r="B160" s="559" t="s">
        <v>817</v>
      </c>
      <c r="C160" s="560" t="s">
        <v>801</v>
      </c>
      <c r="D160" s="559">
        <v>1988</v>
      </c>
      <c r="E160" s="559">
        <v>864</v>
      </c>
      <c r="F160" s="561">
        <v>36.61</v>
      </c>
    </row>
    <row r="161" spans="1:6" ht="12.75">
      <c r="A161" s="555">
        <v>155</v>
      </c>
      <c r="B161" s="559" t="s">
        <v>818</v>
      </c>
      <c r="C161" s="560" t="s">
        <v>819</v>
      </c>
      <c r="D161" s="559">
        <v>1983</v>
      </c>
      <c r="E161" s="559">
        <v>635</v>
      </c>
      <c r="F161" s="561">
        <v>0</v>
      </c>
    </row>
    <row r="162" spans="1:6" ht="12.75">
      <c r="A162" s="555">
        <v>156</v>
      </c>
      <c r="B162" s="560" t="s">
        <v>820</v>
      </c>
      <c r="C162" s="560" t="s">
        <v>750</v>
      </c>
      <c r="D162" s="560">
        <v>2013</v>
      </c>
      <c r="E162" s="560">
        <v>901</v>
      </c>
      <c r="F162" s="561">
        <v>41278.13</v>
      </c>
    </row>
    <row r="163" spans="1:6" ht="12.75">
      <c r="A163" s="555">
        <v>157</v>
      </c>
      <c r="B163" s="560" t="s">
        <v>821</v>
      </c>
      <c r="C163" s="560" t="s">
        <v>750</v>
      </c>
      <c r="D163" s="560">
        <v>2013</v>
      </c>
      <c r="E163" s="560">
        <v>992</v>
      </c>
      <c r="F163" s="562">
        <v>13439</v>
      </c>
    </row>
    <row r="164" spans="1:6" ht="12.75">
      <c r="A164" s="805" t="s">
        <v>127</v>
      </c>
      <c r="B164" s="806"/>
      <c r="C164" s="563"/>
      <c r="D164" s="563"/>
      <c r="E164" s="563"/>
      <c r="F164" s="563">
        <f>SUM(F7:F163)</f>
        <v>343021.23</v>
      </c>
    </row>
    <row r="165" spans="1:6" ht="12.75">
      <c r="A165" s="807" t="s">
        <v>822</v>
      </c>
      <c r="B165" s="807"/>
      <c r="C165" s="807"/>
      <c r="D165" s="807"/>
      <c r="E165" s="807"/>
      <c r="F165" s="807"/>
    </row>
    <row r="166" spans="1:6" ht="12.75">
      <c r="A166" s="564">
        <v>1</v>
      </c>
      <c r="B166" s="565" t="s">
        <v>823</v>
      </c>
      <c r="C166" s="565" t="s">
        <v>675</v>
      </c>
      <c r="D166" s="565" t="s">
        <v>680</v>
      </c>
      <c r="E166" s="565">
        <v>143080</v>
      </c>
      <c r="F166" s="565">
        <v>5607</v>
      </c>
    </row>
    <row r="167" spans="1:6" ht="12.75">
      <c r="A167" s="564">
        <v>2</v>
      </c>
      <c r="B167" s="565" t="s">
        <v>824</v>
      </c>
      <c r="C167" s="565" t="s">
        <v>682</v>
      </c>
      <c r="D167" s="565" t="s">
        <v>680</v>
      </c>
      <c r="E167" s="565">
        <v>143085</v>
      </c>
      <c r="F167" s="565">
        <v>6200</v>
      </c>
    </row>
    <row r="168" spans="1:6" ht="12.75">
      <c r="A168" s="564">
        <v>3</v>
      </c>
      <c r="B168" s="565" t="s">
        <v>824</v>
      </c>
      <c r="C168" s="565" t="s">
        <v>682</v>
      </c>
      <c r="D168" s="565" t="s">
        <v>680</v>
      </c>
      <c r="E168" s="565">
        <v>143086</v>
      </c>
      <c r="F168" s="565">
        <v>6200</v>
      </c>
    </row>
    <row r="169" spans="1:6" ht="12.75">
      <c r="A169" s="564">
        <v>4</v>
      </c>
      <c r="B169" s="565" t="s">
        <v>825</v>
      </c>
      <c r="C169" s="565" t="s">
        <v>679</v>
      </c>
      <c r="D169" s="565" t="s">
        <v>680</v>
      </c>
      <c r="E169" s="565">
        <v>143087</v>
      </c>
      <c r="F169" s="565">
        <v>4525</v>
      </c>
    </row>
    <row r="170" spans="1:6" ht="12.75">
      <c r="A170" s="564">
        <v>5</v>
      </c>
      <c r="B170" s="565" t="s">
        <v>825</v>
      </c>
      <c r="C170" s="565" t="s">
        <v>682</v>
      </c>
      <c r="D170" s="565" t="s">
        <v>680</v>
      </c>
      <c r="E170" s="565">
        <v>143088</v>
      </c>
      <c r="F170" s="565">
        <v>4525</v>
      </c>
    </row>
    <row r="171" spans="1:6" ht="12.75">
      <c r="A171" s="564">
        <v>6</v>
      </c>
      <c r="B171" s="565" t="s">
        <v>826</v>
      </c>
      <c r="C171" s="565" t="s">
        <v>682</v>
      </c>
      <c r="D171" s="565" t="s">
        <v>683</v>
      </c>
      <c r="E171" s="565">
        <v>143090</v>
      </c>
      <c r="F171" s="565">
        <v>12250</v>
      </c>
    </row>
    <row r="172" spans="1:6" ht="12.75">
      <c r="A172" s="564">
        <v>7</v>
      </c>
      <c r="B172" s="565" t="s">
        <v>826</v>
      </c>
      <c r="C172" s="565" t="s">
        <v>682</v>
      </c>
      <c r="D172" s="565" t="s">
        <v>827</v>
      </c>
      <c r="E172" s="565">
        <v>143094</v>
      </c>
      <c r="F172" s="565">
        <v>12250</v>
      </c>
    </row>
    <row r="173" spans="1:6" ht="12.75">
      <c r="A173" s="564">
        <v>8</v>
      </c>
      <c r="B173" s="565" t="s">
        <v>722</v>
      </c>
      <c r="C173" s="565" t="s">
        <v>682</v>
      </c>
      <c r="D173" s="565" t="s">
        <v>827</v>
      </c>
      <c r="E173" s="565">
        <v>143099</v>
      </c>
      <c r="F173" s="565">
        <v>14800</v>
      </c>
    </row>
    <row r="174" spans="1:6" ht="12.75">
      <c r="A174" s="564">
        <v>9</v>
      </c>
      <c r="B174" s="565" t="s">
        <v>828</v>
      </c>
      <c r="C174" s="565" t="s">
        <v>682</v>
      </c>
      <c r="D174" s="565" t="s">
        <v>827</v>
      </c>
      <c r="E174" s="565">
        <v>143101</v>
      </c>
      <c r="F174" s="565">
        <v>3600</v>
      </c>
    </row>
    <row r="175" spans="1:6" ht="12.75">
      <c r="A175" s="564">
        <v>10</v>
      </c>
      <c r="B175" s="565" t="s">
        <v>828</v>
      </c>
      <c r="C175" s="565" t="s">
        <v>682</v>
      </c>
      <c r="D175" s="565" t="s">
        <v>827</v>
      </c>
      <c r="E175" s="565">
        <v>143102</v>
      </c>
      <c r="F175" s="565">
        <v>3150</v>
      </c>
    </row>
    <row r="176" spans="1:6" ht="12.75">
      <c r="A176" s="564">
        <v>11</v>
      </c>
      <c r="B176" s="565" t="s">
        <v>828</v>
      </c>
      <c r="C176" s="565" t="s">
        <v>682</v>
      </c>
      <c r="D176" s="565" t="s">
        <v>827</v>
      </c>
      <c r="E176" s="565">
        <v>143103</v>
      </c>
      <c r="F176" s="565">
        <v>3150</v>
      </c>
    </row>
    <row r="177" spans="1:6" ht="12.75">
      <c r="A177" s="564">
        <v>12</v>
      </c>
      <c r="B177" s="565" t="s">
        <v>829</v>
      </c>
      <c r="C177" s="565" t="s">
        <v>682</v>
      </c>
      <c r="D177" s="565" t="s">
        <v>830</v>
      </c>
      <c r="E177" s="565">
        <v>143107</v>
      </c>
      <c r="F177" s="565">
        <v>14800</v>
      </c>
    </row>
    <row r="178" spans="1:6" ht="12.75">
      <c r="A178" s="564">
        <v>13</v>
      </c>
      <c r="B178" s="565" t="s">
        <v>831</v>
      </c>
      <c r="C178" s="565" t="s">
        <v>675</v>
      </c>
      <c r="D178" s="565" t="s">
        <v>676</v>
      </c>
      <c r="E178" s="565">
        <v>143053</v>
      </c>
      <c r="F178" s="565">
        <v>38.88</v>
      </c>
    </row>
    <row r="179" spans="1:6" ht="12.75">
      <c r="A179" s="564">
        <v>14</v>
      </c>
      <c r="B179" s="565" t="s">
        <v>832</v>
      </c>
      <c r="C179" s="565" t="s">
        <v>679</v>
      </c>
      <c r="D179" s="565" t="s">
        <v>680</v>
      </c>
      <c r="E179" s="565">
        <v>143081</v>
      </c>
      <c r="F179" s="565">
        <v>3150</v>
      </c>
    </row>
    <row r="180" spans="1:6" ht="12.75">
      <c r="A180" s="564">
        <v>15</v>
      </c>
      <c r="B180" s="565" t="s">
        <v>833</v>
      </c>
      <c r="C180" s="565" t="s">
        <v>679</v>
      </c>
      <c r="D180" s="565" t="s">
        <v>683</v>
      </c>
      <c r="E180" s="565">
        <v>143092</v>
      </c>
      <c r="F180" s="564">
        <v>10074</v>
      </c>
    </row>
    <row r="181" spans="1:6" ht="12.75">
      <c r="A181" s="564">
        <v>16</v>
      </c>
      <c r="B181" s="565" t="s">
        <v>834</v>
      </c>
      <c r="C181" s="565" t="s">
        <v>682</v>
      </c>
      <c r="D181" s="565" t="s">
        <v>827</v>
      </c>
      <c r="E181" s="565">
        <v>143097</v>
      </c>
      <c r="F181" s="564">
        <v>12800</v>
      </c>
    </row>
    <row r="182" spans="1:6" ht="12.75">
      <c r="A182" s="564">
        <v>17</v>
      </c>
      <c r="B182" s="565" t="s">
        <v>835</v>
      </c>
      <c r="C182" s="565" t="s">
        <v>682</v>
      </c>
      <c r="D182" s="565" t="s">
        <v>827</v>
      </c>
      <c r="E182" s="565">
        <v>143098</v>
      </c>
      <c r="F182" s="564">
        <v>11200</v>
      </c>
    </row>
    <row r="183" spans="1:6" ht="12.75">
      <c r="A183" s="564">
        <v>18</v>
      </c>
      <c r="B183" s="565" t="s">
        <v>836</v>
      </c>
      <c r="C183" s="565" t="s">
        <v>682</v>
      </c>
      <c r="D183" s="565" t="s">
        <v>827</v>
      </c>
      <c r="E183" s="565">
        <v>143100</v>
      </c>
      <c r="F183" s="565">
        <v>18200</v>
      </c>
    </row>
    <row r="184" spans="1:6" ht="12.75">
      <c r="A184" s="564">
        <v>19</v>
      </c>
      <c r="B184" s="565" t="s">
        <v>837</v>
      </c>
      <c r="C184" s="565" t="s">
        <v>682</v>
      </c>
      <c r="D184" s="565" t="s">
        <v>827</v>
      </c>
      <c r="E184" s="565">
        <v>143095</v>
      </c>
      <c r="F184" s="565">
        <v>7800</v>
      </c>
    </row>
    <row r="185" spans="1:6" ht="12.75">
      <c r="A185" s="564">
        <v>20</v>
      </c>
      <c r="B185" s="565" t="s">
        <v>837</v>
      </c>
      <c r="C185" s="565" t="s">
        <v>682</v>
      </c>
      <c r="D185" s="565" t="s">
        <v>827</v>
      </c>
      <c r="E185" s="565">
        <v>143096</v>
      </c>
      <c r="F185" s="565">
        <v>7800</v>
      </c>
    </row>
    <row r="186" spans="1:6" ht="12.75">
      <c r="A186" s="564">
        <v>21</v>
      </c>
      <c r="B186" s="565" t="s">
        <v>838</v>
      </c>
      <c r="C186" s="565" t="s">
        <v>679</v>
      </c>
      <c r="D186" s="565" t="s">
        <v>839</v>
      </c>
      <c r="E186" s="565">
        <v>143112</v>
      </c>
      <c r="F186" s="565">
        <v>13564.61</v>
      </c>
    </row>
    <row r="187" spans="1:6" ht="12.75">
      <c r="A187" s="564">
        <v>22</v>
      </c>
      <c r="B187" s="565" t="s">
        <v>838</v>
      </c>
      <c r="C187" s="565" t="s">
        <v>682</v>
      </c>
      <c r="D187" s="565" t="s">
        <v>839</v>
      </c>
      <c r="E187" s="565">
        <v>143113</v>
      </c>
      <c r="F187" s="565">
        <v>13564.61</v>
      </c>
    </row>
    <row r="188" spans="1:6" ht="12.75">
      <c r="A188" s="564">
        <v>23</v>
      </c>
      <c r="B188" s="565" t="s">
        <v>837</v>
      </c>
      <c r="C188" s="565" t="s">
        <v>682</v>
      </c>
      <c r="D188" s="565" t="s">
        <v>840</v>
      </c>
      <c r="E188" s="565">
        <v>143116</v>
      </c>
      <c r="F188" s="565">
        <v>8100</v>
      </c>
    </row>
    <row r="189" spans="1:6" ht="12.75">
      <c r="A189" s="564">
        <v>24</v>
      </c>
      <c r="B189" s="565" t="s">
        <v>841</v>
      </c>
      <c r="C189" s="565" t="s">
        <v>682</v>
      </c>
      <c r="D189" s="565" t="s">
        <v>840</v>
      </c>
      <c r="E189" s="565">
        <v>143117</v>
      </c>
      <c r="F189" s="565">
        <v>18582</v>
      </c>
    </row>
    <row r="190" spans="1:6" ht="12.75">
      <c r="A190" s="564">
        <v>25</v>
      </c>
      <c r="B190" s="565" t="s">
        <v>841</v>
      </c>
      <c r="C190" s="565" t="s">
        <v>682</v>
      </c>
      <c r="D190" s="565" t="s">
        <v>840</v>
      </c>
      <c r="E190" s="565">
        <v>143118</v>
      </c>
      <c r="F190" s="565">
        <v>18582</v>
      </c>
    </row>
    <row r="191" spans="1:6" ht="12.75">
      <c r="A191" s="564">
        <v>26</v>
      </c>
      <c r="B191" s="565" t="s">
        <v>842</v>
      </c>
      <c r="C191" s="565" t="s">
        <v>682</v>
      </c>
      <c r="D191" s="565" t="s">
        <v>840</v>
      </c>
      <c r="E191" s="565">
        <v>143119</v>
      </c>
      <c r="F191" s="565">
        <v>3910</v>
      </c>
    </row>
    <row r="192" spans="1:6" ht="12.75">
      <c r="A192" s="564">
        <v>27</v>
      </c>
      <c r="B192" s="565" t="s">
        <v>842</v>
      </c>
      <c r="C192" s="565" t="s">
        <v>682</v>
      </c>
      <c r="D192" s="565" t="s">
        <v>840</v>
      </c>
      <c r="E192" s="565">
        <v>143120</v>
      </c>
      <c r="F192" s="565">
        <v>3910</v>
      </c>
    </row>
    <row r="193" spans="1:6" ht="12.75">
      <c r="A193" s="564">
        <v>28</v>
      </c>
      <c r="B193" s="565" t="s">
        <v>843</v>
      </c>
      <c r="C193" s="565" t="s">
        <v>682</v>
      </c>
      <c r="D193" s="565" t="s">
        <v>840</v>
      </c>
      <c r="E193" s="565">
        <v>143121</v>
      </c>
      <c r="F193" s="565">
        <v>3458</v>
      </c>
    </row>
    <row r="194" spans="1:6" ht="12.75">
      <c r="A194" s="564">
        <v>29</v>
      </c>
      <c r="B194" s="565" t="s">
        <v>843</v>
      </c>
      <c r="C194" s="565" t="s">
        <v>682</v>
      </c>
      <c r="D194" s="565" t="s">
        <v>840</v>
      </c>
      <c r="E194" s="565">
        <v>143122</v>
      </c>
      <c r="F194" s="565">
        <v>3458</v>
      </c>
    </row>
    <row r="195" spans="1:6" ht="12.75">
      <c r="A195" s="564">
        <v>30</v>
      </c>
      <c r="B195" s="565" t="s">
        <v>844</v>
      </c>
      <c r="C195" s="565" t="s">
        <v>691</v>
      </c>
      <c r="D195" s="565">
        <v>1973</v>
      </c>
      <c r="E195" s="566" t="s">
        <v>845</v>
      </c>
      <c r="F195" s="565">
        <v>1205.45</v>
      </c>
    </row>
    <row r="196" spans="1:6" ht="12.75">
      <c r="A196" s="564">
        <v>31</v>
      </c>
      <c r="B196" s="565" t="s">
        <v>846</v>
      </c>
      <c r="C196" s="565" t="s">
        <v>687</v>
      </c>
      <c r="D196" s="565">
        <v>1966</v>
      </c>
      <c r="E196" s="566"/>
      <c r="F196" s="565">
        <v>116.7</v>
      </c>
    </row>
    <row r="197" spans="1:6" ht="12.75">
      <c r="A197" s="564">
        <v>32</v>
      </c>
      <c r="B197" s="565" t="s">
        <v>847</v>
      </c>
      <c r="C197" s="565" t="s">
        <v>687</v>
      </c>
      <c r="D197" s="565">
        <v>1988</v>
      </c>
      <c r="E197" s="566">
        <v>15</v>
      </c>
      <c r="F197" s="565">
        <v>147</v>
      </c>
    </row>
    <row r="198" spans="1:6" ht="12.75">
      <c r="A198" s="564">
        <v>33</v>
      </c>
      <c r="B198" s="565" t="s">
        <v>847</v>
      </c>
      <c r="C198" s="565" t="s">
        <v>687</v>
      </c>
      <c r="D198" s="565">
        <v>1988</v>
      </c>
      <c r="E198" s="566"/>
      <c r="F198" s="565">
        <v>147</v>
      </c>
    </row>
    <row r="199" spans="1:6" ht="12.75">
      <c r="A199" s="564">
        <v>34</v>
      </c>
      <c r="B199" s="565" t="s">
        <v>848</v>
      </c>
      <c r="C199" s="565" t="s">
        <v>687</v>
      </c>
      <c r="D199" s="565">
        <v>1990</v>
      </c>
      <c r="E199" s="566">
        <v>104</v>
      </c>
      <c r="F199" s="565">
        <v>41403.04</v>
      </c>
    </row>
    <row r="200" spans="1:6" ht="12.75">
      <c r="A200" s="564">
        <v>35</v>
      </c>
      <c r="B200" s="565" t="s">
        <v>849</v>
      </c>
      <c r="C200" s="565" t="s">
        <v>691</v>
      </c>
      <c r="D200" s="565">
        <v>1990</v>
      </c>
      <c r="E200" s="566">
        <v>755</v>
      </c>
      <c r="F200" s="565">
        <v>724.95</v>
      </c>
    </row>
    <row r="201" spans="1:6" ht="12.75">
      <c r="A201" s="564">
        <v>36</v>
      </c>
      <c r="B201" s="565" t="s">
        <v>850</v>
      </c>
      <c r="C201" s="565" t="s">
        <v>687</v>
      </c>
      <c r="D201" s="565">
        <v>1990</v>
      </c>
      <c r="E201" s="566">
        <v>18</v>
      </c>
      <c r="F201" s="565">
        <v>2946.27</v>
      </c>
    </row>
    <row r="202" spans="1:6" ht="12.75">
      <c r="A202" s="564">
        <v>37</v>
      </c>
      <c r="B202" s="565" t="s">
        <v>851</v>
      </c>
      <c r="C202" s="565" t="s">
        <v>687</v>
      </c>
      <c r="D202" s="565">
        <v>1981</v>
      </c>
      <c r="E202" s="566">
        <v>17</v>
      </c>
      <c r="F202" s="565">
        <v>2388.06</v>
      </c>
    </row>
    <row r="203" spans="1:6" ht="12.75">
      <c r="A203" s="564">
        <v>38</v>
      </c>
      <c r="B203" s="565" t="s">
        <v>852</v>
      </c>
      <c r="C203" s="565" t="s">
        <v>687</v>
      </c>
      <c r="D203" s="565">
        <v>1985</v>
      </c>
      <c r="E203" s="566">
        <v>97</v>
      </c>
      <c r="F203" s="565">
        <v>1094.25</v>
      </c>
    </row>
    <row r="204" spans="1:6" ht="12.75">
      <c r="A204" s="564">
        <v>39</v>
      </c>
      <c r="B204" s="565" t="s">
        <v>853</v>
      </c>
      <c r="C204" s="565" t="s">
        <v>687</v>
      </c>
      <c r="D204" s="565">
        <v>2004</v>
      </c>
      <c r="E204" s="566"/>
      <c r="F204" s="565">
        <v>1206.73</v>
      </c>
    </row>
    <row r="205" spans="1:6" ht="12.75">
      <c r="A205" s="564">
        <v>40</v>
      </c>
      <c r="B205" s="565" t="s">
        <v>854</v>
      </c>
      <c r="C205" s="565" t="s">
        <v>687</v>
      </c>
      <c r="D205" s="565">
        <v>2006</v>
      </c>
      <c r="E205" s="566">
        <v>124</v>
      </c>
      <c r="F205" s="565">
        <v>230.4</v>
      </c>
    </row>
    <row r="206" spans="1:6" ht="12.75">
      <c r="A206" s="564">
        <v>41</v>
      </c>
      <c r="B206" s="565" t="s">
        <v>855</v>
      </c>
      <c r="C206" s="565" t="s">
        <v>687</v>
      </c>
      <c r="D206" s="565">
        <v>2007</v>
      </c>
      <c r="E206" s="566">
        <v>142</v>
      </c>
      <c r="F206" s="565">
        <v>102.11</v>
      </c>
    </row>
    <row r="207" spans="1:6" ht="12.75">
      <c r="A207" s="564">
        <v>42</v>
      </c>
      <c r="B207" s="565" t="s">
        <v>856</v>
      </c>
      <c r="C207" s="565" t="s">
        <v>687</v>
      </c>
      <c r="D207" s="565">
        <v>1991</v>
      </c>
      <c r="E207" s="566">
        <v>168</v>
      </c>
      <c r="F207" s="565">
        <v>4600</v>
      </c>
    </row>
    <row r="208" spans="1:6" ht="12.75">
      <c r="A208" s="564">
        <v>43</v>
      </c>
      <c r="B208" s="565" t="s">
        <v>856</v>
      </c>
      <c r="C208" s="565" t="s">
        <v>687</v>
      </c>
      <c r="D208" s="565">
        <v>1991</v>
      </c>
      <c r="E208" s="566"/>
      <c r="F208" s="565">
        <v>4600</v>
      </c>
    </row>
    <row r="209" spans="1:6" ht="12.75">
      <c r="A209" s="564">
        <v>44</v>
      </c>
      <c r="B209" s="565" t="s">
        <v>857</v>
      </c>
      <c r="C209" s="565" t="s">
        <v>687</v>
      </c>
      <c r="D209" s="565">
        <v>2012</v>
      </c>
      <c r="E209" s="566"/>
      <c r="F209" s="565">
        <v>916.5</v>
      </c>
    </row>
    <row r="210" spans="1:6" ht="12.75">
      <c r="A210" s="564">
        <v>45</v>
      </c>
      <c r="B210" s="565" t="s">
        <v>858</v>
      </c>
      <c r="C210" s="565" t="s">
        <v>691</v>
      </c>
      <c r="D210" s="565">
        <v>1996</v>
      </c>
      <c r="E210" s="566">
        <v>190</v>
      </c>
      <c r="F210" s="565">
        <v>56.3</v>
      </c>
    </row>
    <row r="211" spans="1:6" ht="12.75">
      <c r="A211" s="564">
        <v>46</v>
      </c>
      <c r="B211" s="565" t="s">
        <v>859</v>
      </c>
      <c r="C211" s="565" t="s">
        <v>687</v>
      </c>
      <c r="D211" s="565">
        <v>1996</v>
      </c>
      <c r="E211" s="566">
        <v>95</v>
      </c>
      <c r="F211" s="565">
        <v>262.5</v>
      </c>
    </row>
    <row r="212" spans="1:6" ht="12.75">
      <c r="A212" s="564">
        <v>47</v>
      </c>
      <c r="B212" s="565" t="s">
        <v>860</v>
      </c>
      <c r="C212" s="565" t="s">
        <v>687</v>
      </c>
      <c r="D212" s="565">
        <v>2003</v>
      </c>
      <c r="E212" s="566">
        <v>113</v>
      </c>
      <c r="F212" s="565">
        <v>1214.63</v>
      </c>
    </row>
    <row r="213" spans="1:6" ht="12.75">
      <c r="A213" s="564">
        <v>48</v>
      </c>
      <c r="B213" s="565" t="s">
        <v>861</v>
      </c>
      <c r="C213" s="565" t="s">
        <v>687</v>
      </c>
      <c r="D213" s="565">
        <v>1994</v>
      </c>
      <c r="E213" s="556" t="s">
        <v>862</v>
      </c>
      <c r="F213" s="565">
        <v>173.4</v>
      </c>
    </row>
    <row r="214" spans="1:6" ht="12.75">
      <c r="A214" s="564">
        <v>49</v>
      </c>
      <c r="B214" s="565" t="s">
        <v>863</v>
      </c>
      <c r="C214" s="565" t="s">
        <v>687</v>
      </c>
      <c r="D214" s="565">
        <v>2002</v>
      </c>
      <c r="E214" s="566">
        <v>107</v>
      </c>
      <c r="F214" s="565">
        <v>1059.44</v>
      </c>
    </row>
    <row r="215" spans="1:6" ht="12.75">
      <c r="A215" s="564">
        <v>50</v>
      </c>
      <c r="B215" s="565" t="s">
        <v>864</v>
      </c>
      <c r="C215" s="565" t="s">
        <v>687</v>
      </c>
      <c r="D215" s="565">
        <v>2003</v>
      </c>
      <c r="E215" s="566">
        <v>115</v>
      </c>
      <c r="F215" s="565">
        <v>6091.58</v>
      </c>
    </row>
    <row r="216" spans="1:6" ht="12.75">
      <c r="A216" s="564">
        <v>51</v>
      </c>
      <c r="B216" s="565" t="s">
        <v>865</v>
      </c>
      <c r="C216" s="565" t="s">
        <v>687</v>
      </c>
      <c r="D216" s="565">
        <v>2206</v>
      </c>
      <c r="E216" s="566">
        <v>131</v>
      </c>
      <c r="F216" s="565">
        <v>154.11</v>
      </c>
    </row>
    <row r="217" spans="1:6" ht="12.75">
      <c r="A217" s="564">
        <v>52</v>
      </c>
      <c r="B217" s="565" t="s">
        <v>866</v>
      </c>
      <c r="C217" s="565" t="s">
        <v>687</v>
      </c>
      <c r="D217" s="565">
        <v>2006</v>
      </c>
      <c r="E217" s="566">
        <v>132</v>
      </c>
      <c r="F217" s="565">
        <v>294.4</v>
      </c>
    </row>
    <row r="218" spans="1:6" ht="12.75">
      <c r="A218" s="564">
        <v>53</v>
      </c>
      <c r="B218" s="565" t="s">
        <v>867</v>
      </c>
      <c r="C218" s="565" t="s">
        <v>687</v>
      </c>
      <c r="D218" s="565">
        <v>2006</v>
      </c>
      <c r="E218" s="566">
        <v>133</v>
      </c>
      <c r="F218" s="565">
        <v>300.29</v>
      </c>
    </row>
    <row r="219" spans="1:6" ht="12.75">
      <c r="A219" s="564">
        <v>54</v>
      </c>
      <c r="B219" s="565" t="s">
        <v>868</v>
      </c>
      <c r="C219" s="565" t="s">
        <v>687</v>
      </c>
      <c r="D219" s="565">
        <v>2009</v>
      </c>
      <c r="E219" s="566"/>
      <c r="F219" s="565">
        <v>3700</v>
      </c>
    </row>
    <row r="220" spans="1:6" ht="12.75">
      <c r="A220" s="564">
        <v>55</v>
      </c>
      <c r="B220" s="565" t="s">
        <v>869</v>
      </c>
      <c r="C220" s="565" t="s">
        <v>687</v>
      </c>
      <c r="D220" s="565">
        <v>2009</v>
      </c>
      <c r="E220" s="566"/>
      <c r="F220" s="565">
        <v>2790</v>
      </c>
    </row>
    <row r="221" spans="1:6" ht="12.75">
      <c r="A221" s="564">
        <v>56</v>
      </c>
      <c r="B221" s="565" t="s">
        <v>870</v>
      </c>
      <c r="C221" s="565" t="s">
        <v>687</v>
      </c>
      <c r="D221" s="565">
        <v>2009</v>
      </c>
      <c r="E221" s="566"/>
      <c r="F221" s="565">
        <v>7800</v>
      </c>
    </row>
    <row r="222" spans="1:6" ht="12.75">
      <c r="A222" s="564">
        <v>57</v>
      </c>
      <c r="B222" s="565" t="s">
        <v>871</v>
      </c>
      <c r="C222" s="565" t="s">
        <v>687</v>
      </c>
      <c r="D222" s="565">
        <v>2006</v>
      </c>
      <c r="E222" s="566">
        <v>134</v>
      </c>
      <c r="F222" s="565">
        <v>170.75</v>
      </c>
    </row>
    <row r="223" spans="1:6" ht="12.75">
      <c r="A223" s="564">
        <v>58</v>
      </c>
      <c r="B223" s="565" t="s">
        <v>872</v>
      </c>
      <c r="C223" s="565" t="s">
        <v>687</v>
      </c>
      <c r="D223" s="565">
        <v>2008</v>
      </c>
      <c r="E223" s="566">
        <v>147</v>
      </c>
      <c r="F223" s="565">
        <v>20118.52</v>
      </c>
    </row>
    <row r="224" spans="1:6" ht="12.75">
      <c r="A224" s="564">
        <v>59</v>
      </c>
      <c r="B224" s="565" t="s">
        <v>873</v>
      </c>
      <c r="C224" s="565" t="s">
        <v>687</v>
      </c>
      <c r="D224" s="565">
        <v>2012</v>
      </c>
      <c r="E224" s="566">
        <v>171</v>
      </c>
      <c r="F224" s="565">
        <v>2554</v>
      </c>
    </row>
    <row r="225" spans="1:6" ht="12.75">
      <c r="A225" s="564">
        <v>60</v>
      </c>
      <c r="B225" s="565" t="s">
        <v>874</v>
      </c>
      <c r="C225" s="565" t="s">
        <v>687</v>
      </c>
      <c r="D225" s="565">
        <v>2011</v>
      </c>
      <c r="E225" s="566"/>
      <c r="F225" s="565">
        <v>1900</v>
      </c>
    </row>
    <row r="226" spans="1:6" ht="12.75">
      <c r="A226" s="564">
        <v>61</v>
      </c>
      <c r="B226" s="565" t="s">
        <v>875</v>
      </c>
      <c r="C226" s="565" t="s">
        <v>687</v>
      </c>
      <c r="D226" s="565">
        <v>2012</v>
      </c>
      <c r="E226" s="566">
        <v>178</v>
      </c>
      <c r="F226" s="565">
        <v>616</v>
      </c>
    </row>
    <row r="227" spans="1:6" ht="12.75">
      <c r="A227" s="564">
        <v>62</v>
      </c>
      <c r="B227" s="565" t="s">
        <v>876</v>
      </c>
      <c r="C227" s="565" t="s">
        <v>691</v>
      </c>
      <c r="D227" s="565">
        <v>2013</v>
      </c>
      <c r="E227" s="566"/>
      <c r="F227" s="565">
        <v>88.74</v>
      </c>
    </row>
    <row r="228" spans="1:6" ht="12.75">
      <c r="A228" s="564">
        <v>63</v>
      </c>
      <c r="B228" s="565" t="s">
        <v>875</v>
      </c>
      <c r="C228" s="565" t="s">
        <v>687</v>
      </c>
      <c r="D228" s="565">
        <v>2008</v>
      </c>
      <c r="E228" s="566"/>
      <c r="F228" s="565">
        <v>976</v>
      </c>
    </row>
    <row r="229" spans="1:6" ht="12.75">
      <c r="A229" s="564">
        <v>64</v>
      </c>
      <c r="B229" s="565" t="s">
        <v>875</v>
      </c>
      <c r="C229" s="565" t="s">
        <v>687</v>
      </c>
      <c r="D229" s="565">
        <v>2008</v>
      </c>
      <c r="E229" s="566"/>
      <c r="F229" s="565">
        <v>1471</v>
      </c>
    </row>
    <row r="230" spans="1:6" ht="12.75">
      <c r="A230" s="564">
        <v>65</v>
      </c>
      <c r="B230" s="565" t="s">
        <v>877</v>
      </c>
      <c r="C230" s="565" t="s">
        <v>687</v>
      </c>
      <c r="D230" s="565"/>
      <c r="E230" s="566"/>
      <c r="F230" s="565">
        <v>694.8</v>
      </c>
    </row>
    <row r="231" spans="1:6" ht="12.75">
      <c r="A231" s="564">
        <v>66</v>
      </c>
      <c r="B231" s="565" t="s">
        <v>878</v>
      </c>
      <c r="C231" s="565" t="s">
        <v>687</v>
      </c>
      <c r="D231" s="564"/>
      <c r="E231" s="566"/>
      <c r="F231" s="565">
        <v>400.68</v>
      </c>
    </row>
    <row r="232" spans="1:6" ht="12.75">
      <c r="A232" s="564">
        <v>67</v>
      </c>
      <c r="B232" s="565" t="s">
        <v>879</v>
      </c>
      <c r="C232" s="565" t="s">
        <v>687</v>
      </c>
      <c r="D232" s="564"/>
      <c r="E232" s="566"/>
      <c r="F232" s="565">
        <v>912</v>
      </c>
    </row>
    <row r="233" spans="1:6" ht="12.75">
      <c r="A233" s="564">
        <v>68</v>
      </c>
      <c r="B233" s="565" t="s">
        <v>880</v>
      </c>
      <c r="C233" s="565" t="s">
        <v>687</v>
      </c>
      <c r="D233" s="564"/>
      <c r="E233" s="566"/>
      <c r="F233" s="565">
        <v>213.77</v>
      </c>
    </row>
    <row r="234" spans="1:6" ht="12.75">
      <c r="A234" s="564">
        <v>69</v>
      </c>
      <c r="B234" s="565" t="s">
        <v>881</v>
      </c>
      <c r="C234" s="565" t="s">
        <v>687</v>
      </c>
      <c r="D234" s="564"/>
      <c r="E234" s="566"/>
      <c r="F234" s="565">
        <v>486</v>
      </c>
    </row>
    <row r="235" spans="1:6" ht="12.75">
      <c r="A235" s="564">
        <v>70</v>
      </c>
      <c r="B235" s="565" t="s">
        <v>878</v>
      </c>
      <c r="C235" s="565" t="s">
        <v>691</v>
      </c>
      <c r="D235" s="564"/>
      <c r="E235" s="566"/>
      <c r="F235" s="565">
        <v>365.86</v>
      </c>
    </row>
    <row r="236" spans="1:6" ht="12.75">
      <c r="A236" s="564">
        <v>71</v>
      </c>
      <c r="B236" s="565" t="s">
        <v>878</v>
      </c>
      <c r="C236" s="565" t="s">
        <v>691</v>
      </c>
      <c r="D236" s="564"/>
      <c r="E236" s="566"/>
      <c r="F236" s="565">
        <v>268.58</v>
      </c>
    </row>
    <row r="237" spans="1:6" ht="12.75">
      <c r="A237" s="564">
        <v>72</v>
      </c>
      <c r="B237" s="565" t="s">
        <v>882</v>
      </c>
      <c r="C237" s="565" t="s">
        <v>687</v>
      </c>
      <c r="D237" s="564"/>
      <c r="E237" s="566"/>
      <c r="F237" s="565">
        <v>850</v>
      </c>
    </row>
    <row r="238" spans="1:6" ht="12.75">
      <c r="A238" s="564">
        <v>73</v>
      </c>
      <c r="B238" s="565" t="s">
        <v>883</v>
      </c>
      <c r="C238" s="565" t="s">
        <v>691</v>
      </c>
      <c r="D238" s="564"/>
      <c r="E238" s="566"/>
      <c r="F238" s="565">
        <v>386</v>
      </c>
    </row>
    <row r="239" spans="1:6" ht="12.75">
      <c r="A239" s="564">
        <v>74</v>
      </c>
      <c r="B239" s="565" t="s">
        <v>884</v>
      </c>
      <c r="C239" s="565" t="s">
        <v>687</v>
      </c>
      <c r="D239" s="564"/>
      <c r="E239" s="566"/>
      <c r="F239" s="565">
        <v>324</v>
      </c>
    </row>
    <row r="240" spans="1:6" ht="12.75">
      <c r="A240" s="564">
        <v>75</v>
      </c>
      <c r="B240" s="565" t="s">
        <v>885</v>
      </c>
      <c r="C240" s="565" t="s">
        <v>687</v>
      </c>
      <c r="D240" s="564"/>
      <c r="E240" s="566"/>
      <c r="F240" s="565">
        <v>254.37</v>
      </c>
    </row>
    <row r="241" spans="1:6" ht="12.75">
      <c r="A241" s="564">
        <v>76</v>
      </c>
      <c r="B241" s="565" t="s">
        <v>886</v>
      </c>
      <c r="C241" s="565" t="s">
        <v>687</v>
      </c>
      <c r="D241" s="564"/>
      <c r="E241" s="566"/>
      <c r="F241" s="565">
        <v>445</v>
      </c>
    </row>
    <row r="242" spans="1:6" ht="12.75">
      <c r="A242" s="564">
        <v>77</v>
      </c>
      <c r="B242" s="565" t="s">
        <v>887</v>
      </c>
      <c r="C242" s="565" t="s">
        <v>687</v>
      </c>
      <c r="D242" s="564"/>
      <c r="E242" s="566"/>
      <c r="F242" s="565">
        <v>1016</v>
      </c>
    </row>
    <row r="243" spans="1:6" ht="12.75">
      <c r="A243" s="564">
        <v>78</v>
      </c>
      <c r="B243" s="565" t="s">
        <v>888</v>
      </c>
      <c r="C243" s="565" t="s">
        <v>687</v>
      </c>
      <c r="D243" s="564"/>
      <c r="E243" s="566"/>
      <c r="F243" s="565">
        <v>213</v>
      </c>
    </row>
    <row r="244" spans="1:6" ht="12.75">
      <c r="A244" s="564">
        <v>79</v>
      </c>
      <c r="B244" s="565" t="s">
        <v>889</v>
      </c>
      <c r="C244" s="565" t="s">
        <v>687</v>
      </c>
      <c r="D244" s="564"/>
      <c r="E244" s="566"/>
      <c r="F244" s="565">
        <v>350</v>
      </c>
    </row>
    <row r="245" spans="1:6" ht="12.75">
      <c r="A245" s="564">
        <v>80</v>
      </c>
      <c r="B245" s="565" t="s">
        <v>890</v>
      </c>
      <c r="C245" s="565" t="s">
        <v>687</v>
      </c>
      <c r="D245" s="564"/>
      <c r="E245" s="566"/>
      <c r="F245" s="565">
        <v>572</v>
      </c>
    </row>
    <row r="246" spans="1:6" ht="12.75">
      <c r="A246" s="564">
        <v>81</v>
      </c>
      <c r="B246" s="565" t="s">
        <v>891</v>
      </c>
      <c r="C246" s="565" t="s">
        <v>687</v>
      </c>
      <c r="D246" s="564"/>
      <c r="E246" s="566"/>
      <c r="F246" s="565">
        <v>220</v>
      </c>
    </row>
    <row r="247" spans="1:6" ht="12.75">
      <c r="A247" s="564">
        <v>82</v>
      </c>
      <c r="B247" s="565" t="s">
        <v>735</v>
      </c>
      <c r="C247" s="565" t="s">
        <v>687</v>
      </c>
      <c r="D247" s="564"/>
      <c r="E247" s="566"/>
      <c r="F247" s="565">
        <v>295</v>
      </c>
    </row>
    <row r="248" spans="1:6" ht="12.75">
      <c r="A248" s="564">
        <v>83</v>
      </c>
      <c r="B248" s="565" t="s">
        <v>892</v>
      </c>
      <c r="C248" s="565" t="s">
        <v>687</v>
      </c>
      <c r="D248" s="564"/>
      <c r="E248" s="566"/>
      <c r="F248" s="565">
        <v>688</v>
      </c>
    </row>
    <row r="249" spans="1:6" ht="12.75">
      <c r="A249" s="564">
        <v>84</v>
      </c>
      <c r="B249" s="565" t="s">
        <v>893</v>
      </c>
      <c r="C249" s="565" t="s">
        <v>687</v>
      </c>
      <c r="D249" s="564"/>
      <c r="E249" s="566"/>
      <c r="F249" s="565">
        <v>250</v>
      </c>
    </row>
    <row r="250" spans="1:6" ht="12.75">
      <c r="A250" s="564">
        <v>85</v>
      </c>
      <c r="B250" s="565" t="s">
        <v>894</v>
      </c>
      <c r="C250" s="565" t="s">
        <v>687</v>
      </c>
      <c r="D250" s="564"/>
      <c r="E250" s="566"/>
      <c r="F250" s="565">
        <v>1950</v>
      </c>
    </row>
    <row r="251" spans="1:6" ht="12.75">
      <c r="A251" s="564">
        <v>86</v>
      </c>
      <c r="B251" s="565" t="s">
        <v>895</v>
      </c>
      <c r="C251" s="565" t="s">
        <v>687</v>
      </c>
      <c r="D251" s="564"/>
      <c r="E251" s="566"/>
      <c r="F251" s="565">
        <v>1900</v>
      </c>
    </row>
    <row r="252" spans="1:6" ht="12.75">
      <c r="A252" s="564">
        <v>87</v>
      </c>
      <c r="B252" s="565" t="s">
        <v>896</v>
      </c>
      <c r="C252" s="565" t="s">
        <v>687</v>
      </c>
      <c r="D252" s="566">
        <v>1977</v>
      </c>
      <c r="E252" s="556" t="s">
        <v>897</v>
      </c>
      <c r="F252" s="565">
        <v>328.8</v>
      </c>
    </row>
    <row r="253" spans="1:6" ht="12.75">
      <c r="A253" s="564">
        <v>88</v>
      </c>
      <c r="B253" s="565" t="s">
        <v>898</v>
      </c>
      <c r="C253" s="565" t="s">
        <v>687</v>
      </c>
      <c r="D253" s="566">
        <v>1977</v>
      </c>
      <c r="E253" s="556" t="s">
        <v>899</v>
      </c>
      <c r="F253" s="565">
        <v>3815.5</v>
      </c>
    </row>
    <row r="254" spans="1:6" ht="12.75">
      <c r="A254" s="564">
        <v>89</v>
      </c>
      <c r="B254" s="565" t="s">
        <v>900</v>
      </c>
      <c r="C254" s="565" t="s">
        <v>687</v>
      </c>
      <c r="D254" s="566">
        <v>2006</v>
      </c>
      <c r="E254" s="566">
        <v>129</v>
      </c>
      <c r="F254" s="565">
        <v>22808.27</v>
      </c>
    </row>
    <row r="255" spans="1:6" ht="12.75">
      <c r="A255" s="564">
        <v>90</v>
      </c>
      <c r="B255" s="565" t="s">
        <v>901</v>
      </c>
      <c r="C255" s="565" t="s">
        <v>687</v>
      </c>
      <c r="D255" s="566">
        <v>2012</v>
      </c>
      <c r="E255" s="566"/>
      <c r="F255" s="565">
        <v>3051</v>
      </c>
    </row>
    <row r="256" spans="1:6" ht="12.75">
      <c r="A256" s="564">
        <v>91</v>
      </c>
      <c r="B256" s="567" t="s">
        <v>902</v>
      </c>
      <c r="C256" s="568" t="s">
        <v>801</v>
      </c>
      <c r="D256" s="569">
        <v>2010</v>
      </c>
      <c r="E256" s="569">
        <v>1061</v>
      </c>
      <c r="F256" s="570">
        <v>3090.9</v>
      </c>
    </row>
    <row r="257" spans="1:6" ht="12.75">
      <c r="A257" s="564">
        <v>92</v>
      </c>
      <c r="B257" s="567" t="s">
        <v>903</v>
      </c>
      <c r="C257" s="568" t="s">
        <v>801</v>
      </c>
      <c r="D257" s="569">
        <v>2005</v>
      </c>
      <c r="E257" s="569">
        <v>1084</v>
      </c>
      <c r="F257" s="570">
        <v>0</v>
      </c>
    </row>
    <row r="258" spans="1:6" ht="12.75">
      <c r="A258" s="564">
        <v>93</v>
      </c>
      <c r="B258" s="567" t="s">
        <v>903</v>
      </c>
      <c r="C258" s="568" t="s">
        <v>801</v>
      </c>
      <c r="D258" s="569">
        <v>2006</v>
      </c>
      <c r="E258" s="569">
        <v>1068</v>
      </c>
      <c r="F258" s="570">
        <v>0.3</v>
      </c>
    </row>
    <row r="259" spans="1:6" ht="12.75">
      <c r="A259" s="564">
        <v>94</v>
      </c>
      <c r="B259" s="567" t="s">
        <v>904</v>
      </c>
      <c r="C259" s="568" t="s">
        <v>801</v>
      </c>
      <c r="D259" s="569">
        <v>2009</v>
      </c>
      <c r="E259" s="569">
        <v>839</v>
      </c>
      <c r="F259" s="570">
        <v>4889.1</v>
      </c>
    </row>
    <row r="260" spans="1:6" ht="12.75">
      <c r="A260" s="564">
        <v>95</v>
      </c>
      <c r="B260" s="567" t="s">
        <v>905</v>
      </c>
      <c r="C260" s="568" t="s">
        <v>739</v>
      </c>
      <c r="D260" s="569">
        <v>2009</v>
      </c>
      <c r="E260" s="569">
        <v>975</v>
      </c>
      <c r="F260" s="570">
        <v>943.5</v>
      </c>
    </row>
    <row r="261" spans="1:6" ht="12.75">
      <c r="A261" s="564">
        <v>96</v>
      </c>
      <c r="B261" s="567" t="s">
        <v>905</v>
      </c>
      <c r="C261" s="568" t="s">
        <v>746</v>
      </c>
      <c r="D261" s="569">
        <v>2010</v>
      </c>
      <c r="E261" s="569">
        <v>841</v>
      </c>
      <c r="F261" s="570">
        <v>1167.3</v>
      </c>
    </row>
    <row r="262" spans="1:6" ht="12.75">
      <c r="A262" s="564">
        <v>97</v>
      </c>
      <c r="B262" s="567" t="s">
        <v>905</v>
      </c>
      <c r="C262" s="568" t="s">
        <v>750</v>
      </c>
      <c r="D262" s="569">
        <v>2010</v>
      </c>
      <c r="E262" s="569">
        <v>840</v>
      </c>
      <c r="F262" s="570">
        <v>976.2</v>
      </c>
    </row>
    <row r="263" spans="1:6" ht="12.75">
      <c r="A263" s="564">
        <v>98</v>
      </c>
      <c r="B263" s="567" t="s">
        <v>905</v>
      </c>
      <c r="C263" s="568" t="s">
        <v>772</v>
      </c>
      <c r="D263" s="569">
        <v>2010</v>
      </c>
      <c r="E263" s="569">
        <v>1026</v>
      </c>
      <c r="F263" s="570">
        <v>1161.6</v>
      </c>
    </row>
    <row r="264" spans="1:6" ht="12.75">
      <c r="A264" s="564">
        <v>99</v>
      </c>
      <c r="B264" s="567" t="s">
        <v>905</v>
      </c>
      <c r="C264" s="568" t="s">
        <v>783</v>
      </c>
      <c r="D264" s="569">
        <v>2010</v>
      </c>
      <c r="E264" s="569">
        <v>1025</v>
      </c>
      <c r="F264" s="570">
        <v>967.6</v>
      </c>
    </row>
    <row r="265" spans="1:6" ht="12.75">
      <c r="A265" s="564">
        <v>100</v>
      </c>
      <c r="B265" s="567" t="s">
        <v>905</v>
      </c>
      <c r="C265" s="568" t="s">
        <v>795</v>
      </c>
      <c r="D265" s="569">
        <v>2010</v>
      </c>
      <c r="E265" s="569">
        <v>836</v>
      </c>
      <c r="F265" s="570">
        <v>1163.1</v>
      </c>
    </row>
    <row r="266" spans="1:6" ht="12.75">
      <c r="A266" s="564">
        <v>101</v>
      </c>
      <c r="B266" s="567" t="s">
        <v>905</v>
      </c>
      <c r="C266" s="568" t="s">
        <v>801</v>
      </c>
      <c r="D266" s="569">
        <v>2006</v>
      </c>
      <c r="E266" s="569">
        <v>1079</v>
      </c>
      <c r="F266" s="570">
        <v>0</v>
      </c>
    </row>
    <row r="267" spans="1:6" ht="12.75">
      <c r="A267" s="564">
        <v>102</v>
      </c>
      <c r="B267" s="567" t="s">
        <v>906</v>
      </c>
      <c r="C267" s="568" t="s">
        <v>746</v>
      </c>
      <c r="D267" s="569">
        <v>1978</v>
      </c>
      <c r="E267" s="569">
        <v>884</v>
      </c>
      <c r="F267" s="570">
        <v>49.3</v>
      </c>
    </row>
    <row r="268" spans="1:6" ht="12.75">
      <c r="A268" s="564">
        <v>103</v>
      </c>
      <c r="B268" s="567" t="s">
        <v>907</v>
      </c>
      <c r="C268" s="568" t="s">
        <v>739</v>
      </c>
      <c r="D268" s="569">
        <v>1961</v>
      </c>
      <c r="E268" s="569">
        <v>193</v>
      </c>
      <c r="F268" s="570">
        <v>57.3</v>
      </c>
    </row>
    <row r="269" spans="1:6" ht="12.75">
      <c r="A269" s="564">
        <v>104</v>
      </c>
      <c r="B269" s="567" t="s">
        <v>907</v>
      </c>
      <c r="C269" s="568" t="s">
        <v>739</v>
      </c>
      <c r="D269" s="569">
        <v>1987</v>
      </c>
      <c r="E269" s="569">
        <v>191</v>
      </c>
      <c r="F269" s="570">
        <v>57.3</v>
      </c>
    </row>
    <row r="270" spans="1:6" ht="12.75">
      <c r="A270" s="564">
        <v>105</v>
      </c>
      <c r="B270" s="567" t="s">
        <v>908</v>
      </c>
      <c r="C270" s="568" t="s">
        <v>750</v>
      </c>
      <c r="D270" s="569">
        <v>1972</v>
      </c>
      <c r="E270" s="569">
        <v>311</v>
      </c>
      <c r="F270" s="570">
        <v>57.3</v>
      </c>
    </row>
    <row r="271" spans="1:6" ht="12.75">
      <c r="A271" s="564">
        <v>106</v>
      </c>
      <c r="B271" s="567" t="s">
        <v>909</v>
      </c>
      <c r="C271" s="568" t="s">
        <v>783</v>
      </c>
      <c r="D271" s="569">
        <v>1961</v>
      </c>
      <c r="E271" s="569">
        <v>102</v>
      </c>
      <c r="F271" s="570">
        <v>56.3</v>
      </c>
    </row>
    <row r="272" spans="1:6" ht="12.75">
      <c r="A272" s="564">
        <v>107</v>
      </c>
      <c r="B272" s="567" t="s">
        <v>909</v>
      </c>
      <c r="C272" s="568" t="s">
        <v>783</v>
      </c>
      <c r="D272" s="569">
        <v>1961</v>
      </c>
      <c r="E272" s="569">
        <v>106</v>
      </c>
      <c r="F272" s="570">
        <v>56.3</v>
      </c>
    </row>
    <row r="273" spans="1:6" ht="12.75">
      <c r="A273" s="564">
        <v>108</v>
      </c>
      <c r="B273" s="567" t="s">
        <v>909</v>
      </c>
      <c r="C273" s="568" t="s">
        <v>783</v>
      </c>
      <c r="D273" s="569">
        <v>1967</v>
      </c>
      <c r="E273" s="569">
        <v>104</v>
      </c>
      <c r="F273" s="570">
        <v>56.3</v>
      </c>
    </row>
    <row r="274" spans="1:6" ht="12.75">
      <c r="A274" s="564">
        <v>109</v>
      </c>
      <c r="B274" s="567" t="s">
        <v>910</v>
      </c>
      <c r="C274" s="568" t="s">
        <v>795</v>
      </c>
      <c r="D274" s="569">
        <v>1983</v>
      </c>
      <c r="E274" s="569">
        <v>851</v>
      </c>
      <c r="F274" s="570">
        <v>57.3</v>
      </c>
    </row>
    <row r="275" spans="1:6" ht="12.75">
      <c r="A275" s="564">
        <v>110</v>
      </c>
      <c r="B275" s="567" t="s">
        <v>911</v>
      </c>
      <c r="C275" s="568" t="s">
        <v>739</v>
      </c>
      <c r="D275" s="569">
        <v>1987</v>
      </c>
      <c r="E275" s="569">
        <v>192</v>
      </c>
      <c r="F275" s="570">
        <v>96.46</v>
      </c>
    </row>
    <row r="276" spans="1:6" ht="12.75">
      <c r="A276" s="564">
        <v>111</v>
      </c>
      <c r="B276" s="567" t="s">
        <v>912</v>
      </c>
      <c r="C276" s="568" t="s">
        <v>750</v>
      </c>
      <c r="D276" s="569">
        <v>1967</v>
      </c>
      <c r="E276" s="569">
        <v>219</v>
      </c>
      <c r="F276" s="570">
        <v>57.3</v>
      </c>
    </row>
    <row r="277" spans="1:6" ht="12.75">
      <c r="A277" s="564">
        <v>112</v>
      </c>
      <c r="B277" s="567" t="s">
        <v>913</v>
      </c>
      <c r="C277" s="568" t="s">
        <v>795</v>
      </c>
      <c r="D277" s="569">
        <v>1978</v>
      </c>
      <c r="E277" s="569">
        <v>137</v>
      </c>
      <c r="F277" s="570">
        <v>57.3</v>
      </c>
    </row>
    <row r="278" spans="1:6" ht="12.75">
      <c r="A278" s="564">
        <v>113</v>
      </c>
      <c r="B278" s="567" t="s">
        <v>914</v>
      </c>
      <c r="C278" s="568" t="s">
        <v>739</v>
      </c>
      <c r="D278" s="569">
        <v>1987</v>
      </c>
      <c r="E278" s="569">
        <v>195</v>
      </c>
      <c r="F278" s="570">
        <v>104.18</v>
      </c>
    </row>
    <row r="279" spans="1:6" ht="12.75">
      <c r="A279" s="564">
        <v>114</v>
      </c>
      <c r="B279" s="567" t="s">
        <v>915</v>
      </c>
      <c r="C279" s="568" t="s">
        <v>772</v>
      </c>
      <c r="D279" s="569">
        <v>1979</v>
      </c>
      <c r="E279" s="569">
        <v>903</v>
      </c>
      <c r="F279" s="570">
        <v>65.98</v>
      </c>
    </row>
    <row r="280" spans="1:6" ht="12.75">
      <c r="A280" s="564">
        <v>115</v>
      </c>
      <c r="B280" s="567" t="s">
        <v>916</v>
      </c>
      <c r="C280" s="568" t="s">
        <v>746</v>
      </c>
      <c r="D280" s="569">
        <v>1978</v>
      </c>
      <c r="E280" s="569">
        <v>882</v>
      </c>
      <c r="F280" s="570">
        <v>49.3</v>
      </c>
    </row>
    <row r="281" spans="1:6" ht="12.75">
      <c r="A281" s="564">
        <v>116</v>
      </c>
      <c r="B281" s="567" t="s">
        <v>916</v>
      </c>
      <c r="C281" s="568" t="s">
        <v>746</v>
      </c>
      <c r="D281" s="569">
        <v>1978</v>
      </c>
      <c r="E281" s="569">
        <v>883</v>
      </c>
      <c r="F281" s="570">
        <v>49.3</v>
      </c>
    </row>
    <row r="282" spans="1:6" ht="12.75">
      <c r="A282" s="564">
        <v>117</v>
      </c>
      <c r="B282" s="567" t="s">
        <v>917</v>
      </c>
      <c r="C282" s="568" t="s">
        <v>783</v>
      </c>
      <c r="D282" s="569">
        <v>1967</v>
      </c>
      <c r="E282" s="569">
        <v>103</v>
      </c>
      <c r="F282" s="570">
        <v>56.3</v>
      </c>
    </row>
    <row r="283" spans="1:6" ht="12.75">
      <c r="A283" s="564">
        <v>118</v>
      </c>
      <c r="B283" s="567" t="s">
        <v>918</v>
      </c>
      <c r="C283" s="568" t="s">
        <v>783</v>
      </c>
      <c r="D283" s="569">
        <v>2009</v>
      </c>
      <c r="E283" s="569">
        <v>520</v>
      </c>
      <c r="F283" s="570">
        <v>9603.96</v>
      </c>
    </row>
    <row r="284" spans="1:6" ht="12.75">
      <c r="A284" s="564">
        <v>119</v>
      </c>
      <c r="B284" s="567" t="s">
        <v>919</v>
      </c>
      <c r="C284" s="568" t="s">
        <v>772</v>
      </c>
      <c r="D284" s="569">
        <v>1970</v>
      </c>
      <c r="E284" s="569">
        <v>101</v>
      </c>
      <c r="F284" s="570">
        <v>0</v>
      </c>
    </row>
    <row r="285" spans="1:6" ht="12.75">
      <c r="A285" s="564">
        <v>120</v>
      </c>
      <c r="B285" s="567" t="s">
        <v>920</v>
      </c>
      <c r="C285" s="568" t="s">
        <v>801</v>
      </c>
      <c r="D285" s="569">
        <v>1972</v>
      </c>
      <c r="E285" s="569">
        <v>360</v>
      </c>
      <c r="F285" s="570">
        <v>3285.23</v>
      </c>
    </row>
    <row r="286" spans="1:6" ht="12.75">
      <c r="A286" s="564">
        <v>121</v>
      </c>
      <c r="B286" s="567" t="s">
        <v>921</v>
      </c>
      <c r="C286" s="568" t="s">
        <v>801</v>
      </c>
      <c r="D286" s="569">
        <v>1972</v>
      </c>
      <c r="E286" s="569">
        <v>212</v>
      </c>
      <c r="F286" s="570">
        <v>110.1</v>
      </c>
    </row>
    <row r="287" spans="1:6" ht="12.75">
      <c r="A287" s="564">
        <v>122</v>
      </c>
      <c r="B287" s="567" t="s">
        <v>887</v>
      </c>
      <c r="C287" s="568" t="s">
        <v>801</v>
      </c>
      <c r="D287" s="569">
        <v>2001</v>
      </c>
      <c r="E287" s="569">
        <v>1074</v>
      </c>
      <c r="F287" s="570">
        <v>0</v>
      </c>
    </row>
    <row r="288" spans="1:6" ht="12.75">
      <c r="A288" s="564">
        <v>123</v>
      </c>
      <c r="B288" s="567" t="s">
        <v>922</v>
      </c>
      <c r="C288" s="568" t="s">
        <v>801</v>
      </c>
      <c r="D288" s="569">
        <v>2001</v>
      </c>
      <c r="E288" s="569">
        <v>1075</v>
      </c>
      <c r="F288" s="570">
        <v>0</v>
      </c>
    </row>
    <row r="289" spans="1:6" ht="12.75">
      <c r="A289" s="564">
        <v>124</v>
      </c>
      <c r="B289" s="567" t="s">
        <v>923</v>
      </c>
      <c r="C289" s="568" t="s">
        <v>801</v>
      </c>
      <c r="D289" s="569">
        <v>2001</v>
      </c>
      <c r="E289" s="569">
        <v>1076</v>
      </c>
      <c r="F289" s="570">
        <v>0</v>
      </c>
    </row>
    <row r="290" spans="1:6" ht="12.75">
      <c r="A290" s="564">
        <v>125</v>
      </c>
      <c r="B290" s="567" t="s">
        <v>924</v>
      </c>
      <c r="C290" s="568" t="s">
        <v>801</v>
      </c>
      <c r="D290" s="569">
        <v>2002</v>
      </c>
      <c r="E290" s="569">
        <v>1080</v>
      </c>
      <c r="F290" s="570">
        <v>475.3</v>
      </c>
    </row>
    <row r="291" spans="1:6" ht="12.75">
      <c r="A291" s="564">
        <v>126</v>
      </c>
      <c r="B291" s="567" t="s">
        <v>925</v>
      </c>
      <c r="C291" s="568" t="s">
        <v>801</v>
      </c>
      <c r="D291" s="569">
        <v>2005</v>
      </c>
      <c r="E291" s="569">
        <v>1082</v>
      </c>
      <c r="F291" s="570">
        <v>0</v>
      </c>
    </row>
    <row r="292" spans="1:6" ht="12.75">
      <c r="A292" s="564">
        <v>127</v>
      </c>
      <c r="B292" s="567" t="s">
        <v>926</v>
      </c>
      <c r="C292" s="568" t="s">
        <v>801</v>
      </c>
      <c r="D292" s="569">
        <v>2005</v>
      </c>
      <c r="E292" s="569">
        <v>1083</v>
      </c>
      <c r="F292" s="570">
        <v>0</v>
      </c>
    </row>
    <row r="293" spans="1:6" ht="12.75">
      <c r="A293" s="564">
        <v>128</v>
      </c>
      <c r="B293" s="567" t="s">
        <v>927</v>
      </c>
      <c r="C293" s="568" t="s">
        <v>746</v>
      </c>
      <c r="D293" s="569">
        <v>1983</v>
      </c>
      <c r="E293" s="569">
        <v>493</v>
      </c>
      <c r="F293" s="570">
        <v>8.75</v>
      </c>
    </row>
    <row r="294" spans="1:6" ht="12.75">
      <c r="A294" s="564">
        <v>129</v>
      </c>
      <c r="B294" s="567" t="s">
        <v>928</v>
      </c>
      <c r="C294" s="568" t="s">
        <v>746</v>
      </c>
      <c r="D294" s="569">
        <v>1987</v>
      </c>
      <c r="E294" s="569">
        <v>945</v>
      </c>
      <c r="F294" s="570">
        <v>121.6</v>
      </c>
    </row>
    <row r="295" spans="1:6" ht="12.75">
      <c r="A295" s="564">
        <v>130</v>
      </c>
      <c r="B295" s="567" t="s">
        <v>928</v>
      </c>
      <c r="C295" s="568" t="s">
        <v>750</v>
      </c>
      <c r="D295" s="569">
        <v>1989</v>
      </c>
      <c r="E295" s="569">
        <v>730</v>
      </c>
      <c r="F295" s="570">
        <v>44.98</v>
      </c>
    </row>
    <row r="296" spans="1:6" ht="12.75">
      <c r="A296" s="564">
        <v>131</v>
      </c>
      <c r="B296" s="567" t="s">
        <v>929</v>
      </c>
      <c r="C296" s="568" t="s">
        <v>746</v>
      </c>
      <c r="D296" s="569">
        <v>1999</v>
      </c>
      <c r="E296" s="569">
        <v>1091</v>
      </c>
      <c r="F296" s="570">
        <v>1440.81</v>
      </c>
    </row>
    <row r="297" spans="1:6" ht="12.75">
      <c r="A297" s="564">
        <v>132</v>
      </c>
      <c r="B297" s="567" t="s">
        <v>930</v>
      </c>
      <c r="C297" s="568" t="s">
        <v>750</v>
      </c>
      <c r="D297" s="569">
        <v>1985</v>
      </c>
      <c r="E297" s="569">
        <v>703</v>
      </c>
      <c r="F297" s="570">
        <v>45.45</v>
      </c>
    </row>
    <row r="298" spans="1:6" ht="12.75">
      <c r="A298" s="564">
        <v>133</v>
      </c>
      <c r="B298" s="567" t="s">
        <v>931</v>
      </c>
      <c r="C298" s="568" t="s">
        <v>750</v>
      </c>
      <c r="D298" s="569">
        <v>1983</v>
      </c>
      <c r="E298" s="569">
        <v>165</v>
      </c>
      <c r="F298" s="570">
        <v>746.5</v>
      </c>
    </row>
    <row r="299" spans="1:6" ht="12.75">
      <c r="A299" s="564">
        <v>134</v>
      </c>
      <c r="B299" s="567" t="s">
        <v>932</v>
      </c>
      <c r="C299" s="568" t="s">
        <v>772</v>
      </c>
      <c r="D299" s="569">
        <v>1981</v>
      </c>
      <c r="E299" s="569">
        <v>865</v>
      </c>
      <c r="F299" s="570">
        <v>384.65</v>
      </c>
    </row>
    <row r="300" spans="1:6" ht="12.75">
      <c r="A300" s="564">
        <v>135</v>
      </c>
      <c r="B300" s="567" t="s">
        <v>933</v>
      </c>
      <c r="C300" s="568" t="s">
        <v>750</v>
      </c>
      <c r="D300" s="569">
        <v>1979</v>
      </c>
      <c r="E300" s="569">
        <v>434</v>
      </c>
      <c r="F300" s="570">
        <v>44.68</v>
      </c>
    </row>
    <row r="301" spans="1:6" ht="12.75">
      <c r="A301" s="564">
        <v>136</v>
      </c>
      <c r="B301" s="567" t="s">
        <v>934</v>
      </c>
      <c r="C301" s="568" t="s">
        <v>772</v>
      </c>
      <c r="D301" s="569">
        <v>1983</v>
      </c>
      <c r="E301" s="569">
        <v>599</v>
      </c>
      <c r="F301" s="570">
        <v>103.23</v>
      </c>
    </row>
    <row r="302" spans="1:6" ht="12.75">
      <c r="A302" s="564">
        <v>137</v>
      </c>
      <c r="B302" s="567" t="s">
        <v>935</v>
      </c>
      <c r="C302" s="568" t="s">
        <v>783</v>
      </c>
      <c r="D302" s="569">
        <v>1983</v>
      </c>
      <c r="E302" s="569">
        <v>909</v>
      </c>
      <c r="F302" s="570">
        <v>62.68</v>
      </c>
    </row>
    <row r="303" spans="1:6" ht="12.75">
      <c r="A303" s="564">
        <v>138</v>
      </c>
      <c r="B303" s="567" t="s">
        <v>936</v>
      </c>
      <c r="C303" s="568" t="s">
        <v>795</v>
      </c>
      <c r="D303" s="569">
        <v>1987</v>
      </c>
      <c r="E303" s="569">
        <v>107</v>
      </c>
      <c r="F303" s="570">
        <v>21</v>
      </c>
    </row>
    <row r="304" spans="1:6" ht="12.75">
      <c r="A304" s="564">
        <v>139</v>
      </c>
      <c r="B304" s="567" t="s">
        <v>937</v>
      </c>
      <c r="C304" s="568" t="s">
        <v>783</v>
      </c>
      <c r="D304" s="569">
        <v>1999</v>
      </c>
      <c r="E304" s="569">
        <v>1135</v>
      </c>
      <c r="F304" s="570">
        <v>102.96</v>
      </c>
    </row>
    <row r="305" spans="1:6" ht="12.75">
      <c r="A305" s="564">
        <v>140</v>
      </c>
      <c r="B305" s="567" t="s">
        <v>938</v>
      </c>
      <c r="C305" s="568" t="s">
        <v>772</v>
      </c>
      <c r="D305" s="569">
        <v>1999</v>
      </c>
      <c r="E305" s="569">
        <v>1086</v>
      </c>
      <c r="F305" s="570">
        <v>0</v>
      </c>
    </row>
    <row r="306" spans="1:6" ht="12.75">
      <c r="A306" s="564">
        <v>141</v>
      </c>
      <c r="B306" s="567" t="s">
        <v>938</v>
      </c>
      <c r="C306" s="568" t="s">
        <v>772</v>
      </c>
      <c r="D306" s="569">
        <v>1998</v>
      </c>
      <c r="E306" s="569">
        <v>1087</v>
      </c>
      <c r="F306" s="570">
        <v>0</v>
      </c>
    </row>
    <row r="307" spans="1:6" ht="12.75">
      <c r="A307" s="564">
        <v>142</v>
      </c>
      <c r="B307" s="568" t="s">
        <v>720</v>
      </c>
      <c r="C307" s="568" t="s">
        <v>750</v>
      </c>
      <c r="D307" s="571">
        <v>2013</v>
      </c>
      <c r="E307" s="571">
        <v>320</v>
      </c>
      <c r="F307" s="572">
        <v>4292.68</v>
      </c>
    </row>
    <row r="308" spans="1:6" ht="12.75">
      <c r="A308" s="564">
        <v>143</v>
      </c>
      <c r="B308" s="568" t="s">
        <v>939</v>
      </c>
      <c r="C308" s="568" t="s">
        <v>739</v>
      </c>
      <c r="D308" s="571">
        <v>2013</v>
      </c>
      <c r="E308" s="571">
        <v>906</v>
      </c>
      <c r="F308" s="572">
        <v>21182.92</v>
      </c>
    </row>
    <row r="309" spans="1:6" ht="12.75">
      <c r="A309" s="564">
        <v>144</v>
      </c>
      <c r="B309" s="568" t="s">
        <v>940</v>
      </c>
      <c r="C309" s="568" t="s">
        <v>739</v>
      </c>
      <c r="D309" s="571">
        <v>2013</v>
      </c>
      <c r="E309" s="571">
        <v>907</v>
      </c>
      <c r="F309" s="572">
        <v>15687.27</v>
      </c>
    </row>
    <row r="310" spans="1:6" ht="12.75">
      <c r="A310" s="805" t="s">
        <v>127</v>
      </c>
      <c r="B310" s="806"/>
      <c r="C310" s="563"/>
      <c r="D310" s="563"/>
      <c r="E310" s="563"/>
      <c r="F310" s="563">
        <f>SUM(F166:F309)</f>
        <v>479035.72</v>
      </c>
    </row>
    <row r="311" spans="1:6" ht="12.75">
      <c r="A311" s="805" t="s">
        <v>224</v>
      </c>
      <c r="B311" s="806"/>
      <c r="C311" s="563"/>
      <c r="D311" s="563"/>
      <c r="E311" s="563"/>
      <c r="F311" s="563">
        <f>F310+F164</f>
        <v>822056.95</v>
      </c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ht="12.75">
      <c r="B314" t="s">
        <v>1105</v>
      </c>
    </row>
  </sheetData>
  <sheetProtection/>
  <mergeCells count="6">
    <mergeCell ref="A2:F2"/>
    <mergeCell ref="A6:F6"/>
    <mergeCell ref="A164:B164"/>
    <mergeCell ref="A165:F165"/>
    <mergeCell ref="A310:B310"/>
    <mergeCell ref="A311:B3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95"/>
  <sheetViews>
    <sheetView zoomScalePageLayoutView="0" workbookViewId="0" topLeftCell="A64">
      <selection activeCell="P6" sqref="P6"/>
    </sheetView>
  </sheetViews>
  <sheetFormatPr defaultColWidth="9.00390625" defaultRowHeight="12.75"/>
  <cols>
    <col min="1" max="1" width="4.50390625" style="0" customWidth="1"/>
    <col min="2" max="2" width="29.875" style="0" customWidth="1"/>
    <col min="3" max="3" width="20.625" style="0" customWidth="1"/>
    <col min="4" max="4" width="7.375" style="0" customWidth="1"/>
    <col min="5" max="5" width="0" style="0" hidden="1" customWidth="1"/>
    <col min="6" max="6" width="7.625" style="0" customWidth="1"/>
    <col min="7" max="7" width="0" style="0" hidden="1" customWidth="1"/>
    <col min="8" max="8" width="14.00390625" style="0" customWidth="1"/>
  </cols>
  <sheetData>
    <row r="2" spans="1:8" ht="12.75">
      <c r="A2" s="808" t="s">
        <v>942</v>
      </c>
      <c r="B2" s="808"/>
      <c r="C2" s="808"/>
      <c r="D2" s="808"/>
      <c r="E2" s="808"/>
      <c r="F2" s="808"/>
      <c r="G2" s="808"/>
      <c r="H2" s="808"/>
    </row>
    <row r="3" spans="1:8" ht="13.5" thickBot="1">
      <c r="A3" s="579"/>
      <c r="B3" s="580"/>
      <c r="C3" s="580"/>
      <c r="D3" s="580"/>
      <c r="E3" s="580"/>
      <c r="F3" s="580"/>
      <c r="G3" s="580"/>
      <c r="H3" s="580"/>
    </row>
    <row r="4" spans="1:8" ht="39.75" thickBot="1">
      <c r="A4" s="581" t="s">
        <v>174</v>
      </c>
      <c r="B4" s="582" t="s">
        <v>943</v>
      </c>
      <c r="C4" s="582" t="s">
        <v>944</v>
      </c>
      <c r="D4" s="582" t="s">
        <v>671</v>
      </c>
      <c r="E4" s="582" t="s">
        <v>945</v>
      </c>
      <c r="F4" s="583" t="s">
        <v>122</v>
      </c>
      <c r="G4" s="582" t="s">
        <v>946</v>
      </c>
      <c r="H4" s="584" t="s">
        <v>947</v>
      </c>
    </row>
    <row r="5" spans="1:8" ht="12.75">
      <c r="A5" s="585">
        <v>1</v>
      </c>
      <c r="B5" s="586" t="s">
        <v>948</v>
      </c>
      <c r="C5" s="586" t="s">
        <v>949</v>
      </c>
      <c r="D5" s="587">
        <v>124031</v>
      </c>
      <c r="E5" s="586" t="s">
        <v>950</v>
      </c>
      <c r="F5" s="586"/>
      <c r="G5" s="586"/>
      <c r="H5" s="586" t="s">
        <v>951</v>
      </c>
    </row>
    <row r="6" spans="1:8" ht="50.25" customHeight="1">
      <c r="A6" s="588">
        <v>2</v>
      </c>
      <c r="B6" s="589" t="s">
        <v>952</v>
      </c>
      <c r="C6" s="590" t="s">
        <v>953</v>
      </c>
      <c r="D6" s="591">
        <v>110044</v>
      </c>
      <c r="E6" s="589" t="s">
        <v>954</v>
      </c>
      <c r="F6" s="589">
        <v>384</v>
      </c>
      <c r="G6" s="589">
        <v>2</v>
      </c>
      <c r="H6" s="590" t="s">
        <v>955</v>
      </c>
    </row>
    <row r="7" spans="1:8" ht="42" customHeight="1">
      <c r="A7" s="588">
        <v>3</v>
      </c>
      <c r="B7" s="589" t="s">
        <v>956</v>
      </c>
      <c r="C7" s="590" t="s">
        <v>953</v>
      </c>
      <c r="D7" s="591">
        <v>110045</v>
      </c>
      <c r="E7" s="589" t="s">
        <v>954</v>
      </c>
      <c r="F7" s="589"/>
      <c r="G7" s="589">
        <v>1</v>
      </c>
      <c r="H7" s="589" t="s">
        <v>957</v>
      </c>
    </row>
    <row r="8" spans="1:8" ht="12.75">
      <c r="A8" s="588">
        <v>4</v>
      </c>
      <c r="B8" s="589" t="s">
        <v>958</v>
      </c>
      <c r="C8" s="589" t="s">
        <v>959</v>
      </c>
      <c r="D8" s="591">
        <v>110026</v>
      </c>
      <c r="E8" s="589" t="s">
        <v>960</v>
      </c>
      <c r="F8" s="589">
        <v>80</v>
      </c>
      <c r="G8" s="589">
        <v>1</v>
      </c>
      <c r="H8" s="589" t="s">
        <v>957</v>
      </c>
    </row>
    <row r="9" spans="1:8" ht="12.75">
      <c r="A9" s="588">
        <v>5</v>
      </c>
      <c r="B9" s="589" t="s">
        <v>958</v>
      </c>
      <c r="C9" s="589" t="s">
        <v>961</v>
      </c>
      <c r="D9" s="591">
        <v>110027</v>
      </c>
      <c r="E9" s="589" t="s">
        <v>960</v>
      </c>
      <c r="F9" s="589">
        <v>80</v>
      </c>
      <c r="G9" s="589">
        <v>1</v>
      </c>
      <c r="H9" s="589" t="s">
        <v>957</v>
      </c>
    </row>
    <row r="10" spans="1:8" ht="12.75">
      <c r="A10" s="588">
        <v>6</v>
      </c>
      <c r="B10" s="589" t="s">
        <v>962</v>
      </c>
      <c r="C10" s="589" t="s">
        <v>963</v>
      </c>
      <c r="D10" s="591">
        <v>110025</v>
      </c>
      <c r="E10" s="589" t="s">
        <v>960</v>
      </c>
      <c r="F10" s="589">
        <v>80</v>
      </c>
      <c r="G10" s="589">
        <v>1</v>
      </c>
      <c r="H10" s="589" t="s">
        <v>957</v>
      </c>
    </row>
    <row r="11" spans="1:8" ht="12.75">
      <c r="A11" s="588">
        <v>7</v>
      </c>
      <c r="B11" s="589" t="s">
        <v>964</v>
      </c>
      <c r="C11" s="589" t="s">
        <v>965</v>
      </c>
      <c r="D11" s="591">
        <v>110028</v>
      </c>
      <c r="E11" s="589" t="s">
        <v>960</v>
      </c>
      <c r="F11" s="589">
        <v>80</v>
      </c>
      <c r="G11" s="589">
        <v>1</v>
      </c>
      <c r="H11" s="589" t="s">
        <v>36</v>
      </c>
    </row>
    <row r="12" spans="1:8" ht="12.75">
      <c r="A12" s="588">
        <v>8</v>
      </c>
      <c r="B12" s="589" t="s">
        <v>966</v>
      </c>
      <c r="C12" s="589" t="s">
        <v>967</v>
      </c>
      <c r="D12" s="591">
        <v>110029</v>
      </c>
      <c r="E12" s="589" t="s">
        <v>960</v>
      </c>
      <c r="F12" s="589">
        <v>80</v>
      </c>
      <c r="G12" s="589">
        <v>1</v>
      </c>
      <c r="H12" s="589" t="s">
        <v>36</v>
      </c>
    </row>
    <row r="13" spans="1:8" ht="12.75">
      <c r="A13" s="588">
        <v>9</v>
      </c>
      <c r="B13" s="589" t="s">
        <v>968</v>
      </c>
      <c r="C13" s="589" t="s">
        <v>969</v>
      </c>
      <c r="D13" s="591">
        <v>124030</v>
      </c>
      <c r="E13" s="589" t="s">
        <v>960</v>
      </c>
      <c r="F13" s="589" t="s">
        <v>36</v>
      </c>
      <c r="G13" s="589" t="s">
        <v>36</v>
      </c>
      <c r="H13" s="589" t="s">
        <v>36</v>
      </c>
    </row>
    <row r="14" spans="1:8" ht="32.25" customHeight="1">
      <c r="A14" s="588">
        <v>10</v>
      </c>
      <c r="B14" s="589" t="s">
        <v>970</v>
      </c>
      <c r="C14" s="590" t="s">
        <v>971</v>
      </c>
      <c r="D14" s="591">
        <v>110004</v>
      </c>
      <c r="E14" s="589" t="s">
        <v>960</v>
      </c>
      <c r="F14" s="589">
        <v>100</v>
      </c>
      <c r="G14" s="589">
        <v>1</v>
      </c>
      <c r="H14" s="589" t="s">
        <v>36</v>
      </c>
    </row>
    <row r="15" spans="1:8" ht="12.75">
      <c r="A15" s="588">
        <v>11</v>
      </c>
      <c r="B15" s="592" t="s">
        <v>972</v>
      </c>
      <c r="C15" s="592" t="s">
        <v>687</v>
      </c>
      <c r="D15" s="593" t="s">
        <v>1085</v>
      </c>
      <c r="E15" s="592">
        <v>1977</v>
      </c>
      <c r="F15" s="592">
        <v>900</v>
      </c>
      <c r="G15" s="592"/>
      <c r="H15" s="592"/>
    </row>
    <row r="16" spans="1:8" ht="12.75">
      <c r="A16" s="588">
        <v>12</v>
      </c>
      <c r="B16" s="592" t="s">
        <v>973</v>
      </c>
      <c r="C16" s="592" t="s">
        <v>691</v>
      </c>
      <c r="D16" s="593" t="s">
        <v>1086</v>
      </c>
      <c r="E16" s="592">
        <v>1969</v>
      </c>
      <c r="F16" s="592"/>
      <c r="G16" s="592"/>
      <c r="H16" s="592"/>
    </row>
    <row r="17" spans="1:8" ht="12.75">
      <c r="A17" s="588">
        <v>13</v>
      </c>
      <c r="B17" s="592" t="s">
        <v>974</v>
      </c>
      <c r="C17" s="592" t="s">
        <v>691</v>
      </c>
      <c r="D17" s="593" t="s">
        <v>1087</v>
      </c>
      <c r="E17" s="592">
        <v>1974</v>
      </c>
      <c r="F17" s="592"/>
      <c r="G17" s="592"/>
      <c r="H17" s="592"/>
    </row>
    <row r="18" spans="1:8" ht="12.75">
      <c r="A18" s="588">
        <v>14</v>
      </c>
      <c r="B18" s="592" t="s">
        <v>975</v>
      </c>
      <c r="C18" s="592" t="s">
        <v>687</v>
      </c>
      <c r="D18" s="593" t="s">
        <v>1088</v>
      </c>
      <c r="E18" s="592">
        <v>1966</v>
      </c>
      <c r="F18" s="592"/>
      <c r="G18" s="592"/>
      <c r="H18" s="592"/>
    </row>
    <row r="19" spans="1:8" ht="12.75">
      <c r="A19" s="588">
        <v>15</v>
      </c>
      <c r="B19" s="592" t="s">
        <v>976</v>
      </c>
      <c r="C19" s="592" t="s">
        <v>687</v>
      </c>
      <c r="D19" s="593" t="s">
        <v>1089</v>
      </c>
      <c r="E19" s="592">
        <v>1966</v>
      </c>
      <c r="F19" s="592"/>
      <c r="G19" s="592"/>
      <c r="H19" s="592"/>
    </row>
    <row r="20" spans="1:8" ht="12.75">
      <c r="A20" s="588">
        <v>16</v>
      </c>
      <c r="B20" s="592" t="s">
        <v>977</v>
      </c>
      <c r="C20" s="592" t="s">
        <v>687</v>
      </c>
      <c r="D20" s="593" t="s">
        <v>1090</v>
      </c>
      <c r="E20" s="592">
        <v>1966</v>
      </c>
      <c r="F20" s="592"/>
      <c r="G20" s="592"/>
      <c r="H20" s="592"/>
    </row>
    <row r="21" spans="1:8" ht="12.75">
      <c r="A21" s="588">
        <v>17</v>
      </c>
      <c r="B21" s="592" t="s">
        <v>978</v>
      </c>
      <c r="C21" s="592" t="s">
        <v>687</v>
      </c>
      <c r="D21" s="593" t="s">
        <v>1091</v>
      </c>
      <c r="E21" s="592">
        <v>1973</v>
      </c>
      <c r="F21" s="592"/>
      <c r="G21" s="592"/>
      <c r="H21" s="592"/>
    </row>
    <row r="22" spans="1:8" ht="26.25" customHeight="1">
      <c r="A22" s="588">
        <v>18</v>
      </c>
      <c r="B22" s="589" t="s">
        <v>979</v>
      </c>
      <c r="C22" s="590" t="s">
        <v>980</v>
      </c>
      <c r="D22" s="594" t="s">
        <v>1092</v>
      </c>
      <c r="E22" s="591">
        <v>1988</v>
      </c>
      <c r="F22" s="595"/>
      <c r="G22" s="595"/>
      <c r="H22" s="592"/>
    </row>
    <row r="23" spans="1:8" ht="24" customHeight="1">
      <c r="A23" s="588">
        <v>19</v>
      </c>
      <c r="B23" s="589" t="s">
        <v>981</v>
      </c>
      <c r="C23" s="590" t="s">
        <v>982</v>
      </c>
      <c r="D23" s="594" t="s">
        <v>1093</v>
      </c>
      <c r="E23" s="591">
        <v>1995</v>
      </c>
      <c r="F23" s="595"/>
      <c r="G23" s="595"/>
      <c r="H23" s="592"/>
    </row>
    <row r="24" spans="1:8" ht="26.25" customHeight="1">
      <c r="A24" s="588">
        <v>20</v>
      </c>
      <c r="B24" s="589" t="s">
        <v>983</v>
      </c>
      <c r="C24" s="590" t="s">
        <v>984</v>
      </c>
      <c r="D24" s="594" t="s">
        <v>1094</v>
      </c>
      <c r="E24" s="591">
        <v>1995</v>
      </c>
      <c r="F24" s="595"/>
      <c r="G24" s="595"/>
      <c r="H24" s="592"/>
    </row>
    <row r="25" spans="1:8" ht="24.75" customHeight="1">
      <c r="A25" s="588">
        <v>21</v>
      </c>
      <c r="B25" s="589" t="s">
        <v>985</v>
      </c>
      <c r="C25" s="590" t="s">
        <v>986</v>
      </c>
      <c r="D25" s="594" t="s">
        <v>1095</v>
      </c>
      <c r="E25" s="591">
        <v>1995</v>
      </c>
      <c r="F25" s="595"/>
      <c r="G25" s="595"/>
      <c r="H25" s="592"/>
    </row>
    <row r="26" spans="1:8" ht="26.25" customHeight="1">
      <c r="A26" s="588">
        <v>22</v>
      </c>
      <c r="B26" s="589" t="s">
        <v>987</v>
      </c>
      <c r="C26" s="590" t="s">
        <v>988</v>
      </c>
      <c r="D26" s="594" t="s">
        <v>1096</v>
      </c>
      <c r="E26" s="591">
        <v>1995</v>
      </c>
      <c r="F26" s="591">
        <v>281.3</v>
      </c>
      <c r="G26" s="591"/>
      <c r="H26" s="592"/>
    </row>
    <row r="27" spans="1:8" ht="20.25" customHeight="1">
      <c r="A27" s="588">
        <v>23</v>
      </c>
      <c r="B27" s="589" t="s">
        <v>956</v>
      </c>
      <c r="C27" s="590" t="s">
        <v>687</v>
      </c>
      <c r="D27" s="594" t="s">
        <v>1097</v>
      </c>
      <c r="E27" s="591">
        <v>1994</v>
      </c>
      <c r="F27" s="591"/>
      <c r="G27" s="591"/>
      <c r="H27" s="592"/>
    </row>
    <row r="28" spans="1:8" ht="20.25" customHeight="1">
      <c r="A28" s="588">
        <v>24</v>
      </c>
      <c r="B28" s="589" t="s">
        <v>989</v>
      </c>
      <c r="C28" s="590" t="s">
        <v>687</v>
      </c>
      <c r="D28" s="594" t="s">
        <v>1098</v>
      </c>
      <c r="E28" s="591">
        <v>1988</v>
      </c>
      <c r="F28" s="591"/>
      <c r="G28" s="591"/>
      <c r="H28" s="592"/>
    </row>
    <row r="29" spans="1:8" ht="23.25" customHeight="1">
      <c r="A29" s="588">
        <v>25</v>
      </c>
      <c r="B29" s="589" t="s">
        <v>990</v>
      </c>
      <c r="C29" s="590" t="s">
        <v>991</v>
      </c>
      <c r="D29" s="594" t="s">
        <v>1099</v>
      </c>
      <c r="E29" s="591">
        <v>2007</v>
      </c>
      <c r="F29" s="591"/>
      <c r="G29" s="591"/>
      <c r="H29" s="592"/>
    </row>
    <row r="30" spans="1:8" ht="28.5" customHeight="1">
      <c r="A30" s="588">
        <v>26</v>
      </c>
      <c r="B30" s="589" t="s">
        <v>992</v>
      </c>
      <c r="C30" s="590" t="s">
        <v>993</v>
      </c>
      <c r="D30" s="594" t="s">
        <v>1100</v>
      </c>
      <c r="E30" s="591">
        <v>2007</v>
      </c>
      <c r="F30" s="591">
        <v>166.8</v>
      </c>
      <c r="G30" s="591"/>
      <c r="H30" s="592"/>
    </row>
    <row r="31" spans="1:8" ht="25.5" customHeight="1">
      <c r="A31" s="588">
        <v>27</v>
      </c>
      <c r="B31" s="589" t="s">
        <v>994</v>
      </c>
      <c r="C31" s="590" t="s">
        <v>995</v>
      </c>
      <c r="D31" s="594" t="s">
        <v>1101</v>
      </c>
      <c r="E31" s="591">
        <v>2009</v>
      </c>
      <c r="F31" s="591">
        <v>45.8</v>
      </c>
      <c r="G31" s="591"/>
      <c r="H31" s="592"/>
    </row>
    <row r="32" spans="1:8" ht="19.5" customHeight="1">
      <c r="A32" s="588">
        <v>28</v>
      </c>
      <c r="B32" s="589" t="s">
        <v>996</v>
      </c>
      <c r="C32" s="590" t="s">
        <v>687</v>
      </c>
      <c r="D32" s="594" t="s">
        <v>1102</v>
      </c>
      <c r="E32" s="591">
        <v>2003</v>
      </c>
      <c r="F32" s="595"/>
      <c r="G32" s="595"/>
      <c r="H32" s="592"/>
    </row>
    <row r="33" spans="1:8" ht="24" customHeight="1">
      <c r="A33" s="588">
        <v>29</v>
      </c>
      <c r="B33" s="589" t="s">
        <v>997</v>
      </c>
      <c r="C33" s="590" t="s">
        <v>986</v>
      </c>
      <c r="D33" s="594"/>
      <c r="E33" s="591">
        <v>2003</v>
      </c>
      <c r="F33" s="595"/>
      <c r="G33" s="595"/>
      <c r="H33" s="592"/>
    </row>
    <row r="34" spans="1:8" ht="30.75" customHeight="1">
      <c r="A34" s="588">
        <v>30</v>
      </c>
      <c r="B34" s="592" t="s">
        <v>998</v>
      </c>
      <c r="C34" s="596" t="s">
        <v>999</v>
      </c>
      <c r="D34" s="597">
        <v>284</v>
      </c>
      <c r="E34" s="592">
        <v>1967</v>
      </c>
      <c r="F34" s="592">
        <v>335</v>
      </c>
      <c r="G34" s="592" t="s">
        <v>1000</v>
      </c>
      <c r="H34" s="596" t="s">
        <v>1001</v>
      </c>
    </row>
    <row r="35" spans="1:8" ht="25.5" customHeight="1">
      <c r="A35" s="588">
        <v>31</v>
      </c>
      <c r="B35" s="592" t="s">
        <v>1002</v>
      </c>
      <c r="C35" s="596" t="s">
        <v>1003</v>
      </c>
      <c r="D35" s="597">
        <v>276</v>
      </c>
      <c r="E35" s="592">
        <v>1962</v>
      </c>
      <c r="F35" s="592">
        <v>24</v>
      </c>
      <c r="G35" s="592" t="s">
        <v>1004</v>
      </c>
      <c r="H35" s="596" t="s">
        <v>1005</v>
      </c>
    </row>
    <row r="36" spans="1:8" ht="24.75" customHeight="1">
      <c r="A36" s="588">
        <v>32</v>
      </c>
      <c r="B36" s="592" t="s">
        <v>1006</v>
      </c>
      <c r="C36" s="596" t="s">
        <v>1007</v>
      </c>
      <c r="D36" s="597">
        <v>227</v>
      </c>
      <c r="E36" s="592">
        <v>1966</v>
      </c>
      <c r="F36" s="592">
        <v>408</v>
      </c>
      <c r="G36" s="592" t="s">
        <v>1000</v>
      </c>
      <c r="H36" s="596" t="s">
        <v>1008</v>
      </c>
    </row>
    <row r="37" spans="1:8" ht="23.25" customHeight="1">
      <c r="A37" s="588">
        <v>33</v>
      </c>
      <c r="B37" s="592" t="s">
        <v>1009</v>
      </c>
      <c r="C37" s="596" t="s">
        <v>1010</v>
      </c>
      <c r="D37" s="597">
        <v>283</v>
      </c>
      <c r="E37" s="592">
        <v>1967</v>
      </c>
      <c r="F37" s="592">
        <v>62</v>
      </c>
      <c r="G37" s="592" t="s">
        <v>1000</v>
      </c>
      <c r="H37" s="596" t="s">
        <v>1008</v>
      </c>
    </row>
    <row r="38" spans="1:8" ht="26.25" customHeight="1">
      <c r="A38" s="588">
        <v>34</v>
      </c>
      <c r="B38" s="592" t="s">
        <v>1011</v>
      </c>
      <c r="C38" s="596" t="s">
        <v>1012</v>
      </c>
      <c r="D38" s="597">
        <v>412</v>
      </c>
      <c r="E38" s="592">
        <v>1976</v>
      </c>
      <c r="F38" s="592">
        <v>30</v>
      </c>
      <c r="G38" s="592" t="s">
        <v>1000</v>
      </c>
      <c r="H38" s="596" t="s">
        <v>1008</v>
      </c>
    </row>
    <row r="39" spans="1:8" ht="30" customHeight="1">
      <c r="A39" s="588">
        <v>35</v>
      </c>
      <c r="B39" s="592" t="s">
        <v>1013</v>
      </c>
      <c r="C39" s="596" t="s">
        <v>1014</v>
      </c>
      <c r="D39" s="597">
        <v>228</v>
      </c>
      <c r="E39" s="592">
        <v>1979</v>
      </c>
      <c r="F39" s="592">
        <v>110</v>
      </c>
      <c r="G39" s="592" t="s">
        <v>1000</v>
      </c>
      <c r="H39" s="596" t="s">
        <v>1008</v>
      </c>
    </row>
    <row r="40" spans="1:8" ht="12.75">
      <c r="A40" s="588">
        <v>36</v>
      </c>
      <c r="B40" s="592" t="s">
        <v>1015</v>
      </c>
      <c r="C40" s="596" t="s">
        <v>1016</v>
      </c>
      <c r="D40" s="597">
        <v>396</v>
      </c>
      <c r="E40" s="592">
        <v>1959</v>
      </c>
      <c r="F40" s="592">
        <v>104</v>
      </c>
      <c r="G40" s="592" t="s">
        <v>1000</v>
      </c>
      <c r="H40" s="592" t="s">
        <v>1017</v>
      </c>
    </row>
    <row r="41" spans="1:8" ht="12.75">
      <c r="A41" s="588">
        <v>37</v>
      </c>
      <c r="B41" s="592" t="s">
        <v>1018</v>
      </c>
      <c r="C41" s="596" t="s">
        <v>1019</v>
      </c>
      <c r="D41" s="597">
        <v>394</v>
      </c>
      <c r="E41" s="592">
        <v>1960</v>
      </c>
      <c r="F41" s="592">
        <v>90</v>
      </c>
      <c r="G41" s="592" t="s">
        <v>1000</v>
      </c>
      <c r="H41" s="592" t="s">
        <v>1017</v>
      </c>
    </row>
    <row r="42" spans="1:8" ht="12.75">
      <c r="A42" s="588">
        <v>38</v>
      </c>
      <c r="B42" s="592" t="s">
        <v>1020</v>
      </c>
      <c r="C42" s="596" t="s">
        <v>1021</v>
      </c>
      <c r="D42" s="597">
        <v>403</v>
      </c>
      <c r="E42" s="592">
        <v>1978</v>
      </c>
      <c r="F42" s="592">
        <v>92</v>
      </c>
      <c r="G42" s="592" t="s">
        <v>1000</v>
      </c>
      <c r="H42" s="592" t="s">
        <v>1022</v>
      </c>
    </row>
    <row r="43" spans="1:8" ht="12.75">
      <c r="A43" s="588">
        <v>39</v>
      </c>
      <c r="B43" s="592" t="s">
        <v>1023</v>
      </c>
      <c r="C43" s="596" t="s">
        <v>1024</v>
      </c>
      <c r="D43" s="597">
        <v>541</v>
      </c>
      <c r="E43" s="592">
        <v>1985</v>
      </c>
      <c r="F43" s="592">
        <v>115</v>
      </c>
      <c r="G43" s="592" t="s">
        <v>1000</v>
      </c>
      <c r="H43" s="592" t="s">
        <v>1017</v>
      </c>
    </row>
    <row r="44" spans="1:8" ht="12.75">
      <c r="A44" s="588">
        <v>40</v>
      </c>
      <c r="B44" s="592" t="s">
        <v>1025</v>
      </c>
      <c r="C44" s="596" t="s">
        <v>1026</v>
      </c>
      <c r="D44" s="597">
        <v>379</v>
      </c>
      <c r="E44" s="592">
        <v>1970</v>
      </c>
      <c r="F44" s="592">
        <v>98</v>
      </c>
      <c r="G44" s="592" t="s">
        <v>1000</v>
      </c>
      <c r="H44" s="592" t="s">
        <v>1027</v>
      </c>
    </row>
    <row r="45" spans="1:8" ht="26.25" customHeight="1">
      <c r="A45" s="588">
        <v>41</v>
      </c>
      <c r="B45" s="592" t="s">
        <v>1025</v>
      </c>
      <c r="C45" s="596" t="s">
        <v>1028</v>
      </c>
      <c r="D45" s="597">
        <v>391</v>
      </c>
      <c r="E45" s="592">
        <v>1970</v>
      </c>
      <c r="F45" s="592">
        <v>112</v>
      </c>
      <c r="G45" s="592" t="s">
        <v>1000</v>
      </c>
      <c r="H45" s="592" t="s">
        <v>1029</v>
      </c>
    </row>
    <row r="46" spans="1:8" ht="24.75" customHeight="1">
      <c r="A46" s="588">
        <v>42</v>
      </c>
      <c r="B46" s="592" t="s">
        <v>970</v>
      </c>
      <c r="C46" s="596" t="s">
        <v>1030</v>
      </c>
      <c r="D46" s="597">
        <v>529</v>
      </c>
      <c r="E46" s="592">
        <v>1969</v>
      </c>
      <c r="F46" s="592">
        <v>132</v>
      </c>
      <c r="G46" s="592" t="s">
        <v>1000</v>
      </c>
      <c r="H46" s="592" t="s">
        <v>1017</v>
      </c>
    </row>
    <row r="47" spans="1:8" ht="25.5" customHeight="1">
      <c r="A47" s="588">
        <v>43</v>
      </c>
      <c r="B47" s="592" t="s">
        <v>1031</v>
      </c>
      <c r="C47" s="596" t="s">
        <v>1032</v>
      </c>
      <c r="D47" s="597">
        <v>457</v>
      </c>
      <c r="E47" s="592">
        <v>1971</v>
      </c>
      <c r="F47" s="592">
        <v>256</v>
      </c>
      <c r="G47" s="592" t="s">
        <v>1000</v>
      </c>
      <c r="H47" s="592"/>
    </row>
    <row r="48" spans="1:8" ht="20.25" customHeight="1">
      <c r="A48" s="588">
        <v>44</v>
      </c>
      <c r="B48" s="592" t="s">
        <v>1033</v>
      </c>
      <c r="C48" s="596" t="s">
        <v>1024</v>
      </c>
      <c r="D48" s="597">
        <v>530</v>
      </c>
      <c r="E48" s="592">
        <v>1985</v>
      </c>
      <c r="F48" s="592">
        <v>132</v>
      </c>
      <c r="G48" s="592" t="s">
        <v>1000</v>
      </c>
      <c r="H48" s="592" t="s">
        <v>1017</v>
      </c>
    </row>
    <row r="49" spans="1:8" ht="18" customHeight="1">
      <c r="A49" s="588">
        <v>45</v>
      </c>
      <c r="B49" s="592" t="s">
        <v>1034</v>
      </c>
      <c r="C49" s="596" t="s">
        <v>1019</v>
      </c>
      <c r="D49" s="597">
        <v>401</v>
      </c>
      <c r="E49" s="592">
        <v>1960</v>
      </c>
      <c r="F49" s="592">
        <v>15</v>
      </c>
      <c r="G49" s="592" t="s">
        <v>1000</v>
      </c>
      <c r="H49" s="592" t="s">
        <v>1008</v>
      </c>
    </row>
    <row r="50" spans="1:8" ht="12.75">
      <c r="A50" s="588">
        <v>46</v>
      </c>
      <c r="B50" s="592" t="s">
        <v>1035</v>
      </c>
      <c r="C50" s="596" t="s">
        <v>1021</v>
      </c>
      <c r="D50" s="597">
        <v>393</v>
      </c>
      <c r="E50" s="592">
        <v>1970</v>
      </c>
      <c r="F50" s="592">
        <v>28</v>
      </c>
      <c r="G50" s="592" t="s">
        <v>1000</v>
      </c>
      <c r="H50" s="592"/>
    </row>
    <row r="51" spans="1:8" ht="12.75">
      <c r="A51" s="588">
        <v>47</v>
      </c>
      <c r="B51" s="592" t="s">
        <v>1036</v>
      </c>
      <c r="C51" s="592" t="s">
        <v>1037</v>
      </c>
      <c r="D51" s="597">
        <v>501</v>
      </c>
      <c r="E51" s="592">
        <v>1979</v>
      </c>
      <c r="F51" s="592">
        <v>200</v>
      </c>
      <c r="G51" s="592" t="s">
        <v>1038</v>
      </c>
      <c r="H51" s="592" t="s">
        <v>1017</v>
      </c>
    </row>
    <row r="52" spans="1:8" ht="12.75">
      <c r="A52" s="588">
        <v>48</v>
      </c>
      <c r="B52" s="592" t="s">
        <v>1039</v>
      </c>
      <c r="C52" s="592" t="s">
        <v>1037</v>
      </c>
      <c r="D52" s="597">
        <v>461</v>
      </c>
      <c r="E52" s="592">
        <v>1965</v>
      </c>
      <c r="F52" s="592">
        <v>92</v>
      </c>
      <c r="G52" s="592" t="s">
        <v>1000</v>
      </c>
      <c r="H52" s="592" t="s">
        <v>1022</v>
      </c>
    </row>
    <row r="53" spans="1:8" ht="12.75">
      <c r="A53" s="588">
        <v>49</v>
      </c>
      <c r="B53" s="592" t="s">
        <v>1040</v>
      </c>
      <c r="C53" s="592" t="s">
        <v>1037</v>
      </c>
      <c r="D53" s="597">
        <v>170</v>
      </c>
      <c r="E53" s="592">
        <v>1966</v>
      </c>
      <c r="F53" s="592">
        <v>50</v>
      </c>
      <c r="G53" s="592" t="s">
        <v>1000</v>
      </c>
      <c r="H53" s="592" t="s">
        <v>1008</v>
      </c>
    </row>
    <row r="54" spans="1:8" ht="12.75">
      <c r="A54" s="588">
        <v>50</v>
      </c>
      <c r="B54" s="592" t="s">
        <v>1015</v>
      </c>
      <c r="C54" s="592" t="s">
        <v>1041</v>
      </c>
      <c r="D54" s="597">
        <v>414</v>
      </c>
      <c r="E54" s="592">
        <v>1973</v>
      </c>
      <c r="F54" s="592">
        <v>96</v>
      </c>
      <c r="G54" s="592" t="s">
        <v>1000</v>
      </c>
      <c r="H54" s="592" t="s">
        <v>1017</v>
      </c>
    </row>
    <row r="55" spans="1:8" ht="12.75">
      <c r="A55" s="588">
        <v>51</v>
      </c>
      <c r="B55" s="592" t="s">
        <v>1042</v>
      </c>
      <c r="C55" s="592" t="s">
        <v>1043</v>
      </c>
      <c r="D55" s="597">
        <v>459</v>
      </c>
      <c r="E55" s="592">
        <v>1974</v>
      </c>
      <c r="F55" s="592">
        <v>87</v>
      </c>
      <c r="G55" s="592" t="s">
        <v>1000</v>
      </c>
      <c r="H55" s="592" t="s">
        <v>1027</v>
      </c>
    </row>
    <row r="56" spans="1:8" ht="12.75">
      <c r="A56" s="588">
        <v>52</v>
      </c>
      <c r="B56" s="592" t="s">
        <v>1044</v>
      </c>
      <c r="C56" s="592" t="s">
        <v>1043</v>
      </c>
      <c r="D56" s="597">
        <v>413</v>
      </c>
      <c r="E56" s="592">
        <v>1974</v>
      </c>
      <c r="F56" s="592">
        <v>45</v>
      </c>
      <c r="G56" s="592" t="s">
        <v>1000</v>
      </c>
      <c r="H56" s="592"/>
    </row>
    <row r="57" spans="1:8" ht="12.75">
      <c r="A57" s="588">
        <v>53</v>
      </c>
      <c r="B57" s="592" t="s">
        <v>970</v>
      </c>
      <c r="C57" s="592" t="s">
        <v>1041</v>
      </c>
      <c r="D57" s="597">
        <v>484</v>
      </c>
      <c r="E57" s="592">
        <v>1989</v>
      </c>
      <c r="F57" s="592">
        <v>160</v>
      </c>
      <c r="G57" s="592" t="s">
        <v>1000</v>
      </c>
      <c r="H57" s="592" t="s">
        <v>1017</v>
      </c>
    </row>
    <row r="58" spans="1:8" ht="12.75">
      <c r="A58" s="588">
        <v>54</v>
      </c>
      <c r="B58" s="592" t="s">
        <v>1025</v>
      </c>
      <c r="C58" s="592" t="s">
        <v>1043</v>
      </c>
      <c r="D58" s="597">
        <v>483</v>
      </c>
      <c r="E58" s="592">
        <v>1967</v>
      </c>
      <c r="F58" s="592">
        <v>148</v>
      </c>
      <c r="G58" s="592" t="s">
        <v>1000</v>
      </c>
      <c r="H58" s="592" t="s">
        <v>1045</v>
      </c>
    </row>
    <row r="59" spans="1:8" ht="12.75">
      <c r="A59" s="588">
        <v>55</v>
      </c>
      <c r="B59" s="592" t="s">
        <v>1046</v>
      </c>
      <c r="C59" s="592" t="s">
        <v>1043</v>
      </c>
      <c r="D59" s="597">
        <v>467</v>
      </c>
      <c r="E59" s="592">
        <v>1968</v>
      </c>
      <c r="F59" s="592">
        <v>62</v>
      </c>
      <c r="G59" s="592" t="s">
        <v>1000</v>
      </c>
      <c r="H59" s="592" t="s">
        <v>1047</v>
      </c>
    </row>
    <row r="60" spans="1:8" ht="12.75">
      <c r="A60" s="588">
        <v>56</v>
      </c>
      <c r="B60" s="592" t="s">
        <v>1048</v>
      </c>
      <c r="C60" s="592" t="s">
        <v>1043</v>
      </c>
      <c r="D60" s="597">
        <v>417</v>
      </c>
      <c r="E60" s="592">
        <v>1972</v>
      </c>
      <c r="F60" s="592">
        <v>103</v>
      </c>
      <c r="G60" s="592" t="s">
        <v>1000</v>
      </c>
      <c r="H60" s="592" t="s">
        <v>1049</v>
      </c>
    </row>
    <row r="61" spans="1:8" ht="12.75">
      <c r="A61" s="588">
        <v>57</v>
      </c>
      <c r="B61" s="592" t="s">
        <v>1050</v>
      </c>
      <c r="C61" s="592" t="s">
        <v>1043</v>
      </c>
      <c r="D61" s="597">
        <v>375</v>
      </c>
      <c r="E61" s="592">
        <v>1976</v>
      </c>
      <c r="F61" s="592">
        <v>100</v>
      </c>
      <c r="G61" s="592" t="s">
        <v>1000</v>
      </c>
      <c r="H61" s="592"/>
    </row>
    <row r="62" spans="1:8" ht="12.75">
      <c r="A62" s="588">
        <v>58</v>
      </c>
      <c r="B62" s="592" t="s">
        <v>1051</v>
      </c>
      <c r="C62" s="592" t="s">
        <v>1043</v>
      </c>
      <c r="D62" s="597">
        <v>466</v>
      </c>
      <c r="E62" s="592">
        <v>1968</v>
      </c>
      <c r="F62" s="592">
        <v>48</v>
      </c>
      <c r="G62" s="592" t="s">
        <v>1000</v>
      </c>
      <c r="H62" s="592" t="s">
        <v>1017</v>
      </c>
    </row>
    <row r="63" spans="1:8" ht="12.75">
      <c r="A63" s="588">
        <v>59</v>
      </c>
      <c r="B63" s="592" t="s">
        <v>1052</v>
      </c>
      <c r="C63" s="592" t="s">
        <v>1053</v>
      </c>
      <c r="D63" s="597">
        <v>301</v>
      </c>
      <c r="E63" s="592">
        <v>1978</v>
      </c>
      <c r="F63" s="592">
        <v>360</v>
      </c>
      <c r="G63" s="592" t="s">
        <v>1038</v>
      </c>
      <c r="H63" s="592" t="s">
        <v>1017</v>
      </c>
    </row>
    <row r="64" spans="1:8" ht="12.75">
      <c r="A64" s="588">
        <v>60</v>
      </c>
      <c r="B64" s="592" t="s">
        <v>1054</v>
      </c>
      <c r="C64" s="592" t="s">
        <v>1053</v>
      </c>
      <c r="D64" s="597">
        <v>303</v>
      </c>
      <c r="E64" s="592">
        <v>1978</v>
      </c>
      <c r="F64" s="592">
        <v>108</v>
      </c>
      <c r="G64" s="592" t="s">
        <v>1000</v>
      </c>
      <c r="H64" s="592" t="s">
        <v>1008</v>
      </c>
    </row>
    <row r="65" spans="1:8" ht="12.75">
      <c r="A65" s="588">
        <v>61</v>
      </c>
      <c r="B65" s="592" t="s">
        <v>1055</v>
      </c>
      <c r="C65" s="592" t="s">
        <v>1053</v>
      </c>
      <c r="D65" s="597">
        <v>314</v>
      </c>
      <c r="E65" s="592">
        <v>1978</v>
      </c>
      <c r="F65" s="592">
        <v>55</v>
      </c>
      <c r="G65" s="592" t="s">
        <v>1000</v>
      </c>
      <c r="H65" s="592" t="s">
        <v>1008</v>
      </c>
    </row>
    <row r="66" spans="1:8" ht="12.75">
      <c r="A66" s="588">
        <v>62</v>
      </c>
      <c r="B66" s="592" t="s">
        <v>970</v>
      </c>
      <c r="C66" s="592" t="s">
        <v>1053</v>
      </c>
      <c r="D66" s="597">
        <v>307</v>
      </c>
      <c r="E66" s="592">
        <v>1986</v>
      </c>
      <c r="F66" s="592">
        <v>138</v>
      </c>
      <c r="G66" s="592" t="s">
        <v>1000</v>
      </c>
      <c r="H66" s="592" t="s">
        <v>1017</v>
      </c>
    </row>
    <row r="67" spans="1:8" ht="12.75">
      <c r="A67" s="588">
        <v>63</v>
      </c>
      <c r="B67" s="592" t="s">
        <v>1052</v>
      </c>
      <c r="C67" s="592" t="s">
        <v>1056</v>
      </c>
      <c r="D67" s="597">
        <v>290</v>
      </c>
      <c r="E67" s="592">
        <v>1966</v>
      </c>
      <c r="F67" s="592">
        <v>240</v>
      </c>
      <c r="G67" s="592" t="s">
        <v>1000</v>
      </c>
      <c r="H67" s="592" t="s">
        <v>1017</v>
      </c>
    </row>
    <row r="68" spans="1:8" ht="12.75">
      <c r="A68" s="588">
        <v>64</v>
      </c>
      <c r="B68" s="592" t="s">
        <v>1025</v>
      </c>
      <c r="C68" s="592" t="s">
        <v>1056</v>
      </c>
      <c r="D68" s="597">
        <v>291</v>
      </c>
      <c r="E68" s="592">
        <v>1970</v>
      </c>
      <c r="F68" s="592">
        <v>174</v>
      </c>
      <c r="G68" s="592" t="s">
        <v>1000</v>
      </c>
      <c r="H68" s="592" t="s">
        <v>1017</v>
      </c>
    </row>
    <row r="69" spans="1:8" ht="12.75">
      <c r="A69" s="588">
        <v>65</v>
      </c>
      <c r="B69" s="592" t="s">
        <v>1057</v>
      </c>
      <c r="C69" s="592" t="s">
        <v>1058</v>
      </c>
      <c r="D69" s="597">
        <v>500</v>
      </c>
      <c r="E69" s="592">
        <v>1965</v>
      </c>
      <c r="F69" s="592">
        <v>50</v>
      </c>
      <c r="G69" s="592" t="s">
        <v>1000</v>
      </c>
      <c r="H69" s="592" t="s">
        <v>1017</v>
      </c>
    </row>
    <row r="70" spans="1:8" ht="12.75">
      <c r="A70" s="588">
        <v>66</v>
      </c>
      <c r="B70" s="592" t="s">
        <v>1059</v>
      </c>
      <c r="C70" s="592" t="s">
        <v>1060</v>
      </c>
      <c r="D70" s="597">
        <v>289</v>
      </c>
      <c r="E70" s="592">
        <v>1966</v>
      </c>
      <c r="F70" s="592">
        <v>30</v>
      </c>
      <c r="G70" s="592" t="s">
        <v>1000</v>
      </c>
      <c r="H70" s="592" t="s">
        <v>1061</v>
      </c>
    </row>
    <row r="71" spans="1:8" ht="12.75">
      <c r="A71" s="588">
        <v>67</v>
      </c>
      <c r="B71" s="592" t="s">
        <v>1015</v>
      </c>
      <c r="C71" s="592" t="s">
        <v>1062</v>
      </c>
      <c r="D71" s="597">
        <v>537</v>
      </c>
      <c r="E71" s="592">
        <v>1990</v>
      </c>
      <c r="F71" s="592">
        <v>46</v>
      </c>
      <c r="G71" s="592" t="s">
        <v>1000</v>
      </c>
      <c r="H71" s="592" t="s">
        <v>1017</v>
      </c>
    </row>
    <row r="72" spans="1:8" ht="12.75">
      <c r="A72" s="588">
        <v>68</v>
      </c>
      <c r="B72" s="592" t="s">
        <v>1035</v>
      </c>
      <c r="C72" s="592" t="s">
        <v>1062</v>
      </c>
      <c r="D72" s="597">
        <v>1000</v>
      </c>
      <c r="E72" s="592">
        <v>1990</v>
      </c>
      <c r="F72" s="592">
        <v>26</v>
      </c>
      <c r="G72" s="592" t="s">
        <v>1000</v>
      </c>
      <c r="H72" s="592" t="s">
        <v>1008</v>
      </c>
    </row>
    <row r="73" spans="1:8" ht="12.75">
      <c r="A73" s="588">
        <v>69</v>
      </c>
      <c r="B73" s="592" t="s">
        <v>1023</v>
      </c>
      <c r="C73" s="592" t="s">
        <v>1063</v>
      </c>
      <c r="D73" s="597">
        <v>297</v>
      </c>
      <c r="E73" s="592">
        <v>1973</v>
      </c>
      <c r="F73" s="592">
        <v>58</v>
      </c>
      <c r="G73" s="592" t="s">
        <v>1000</v>
      </c>
      <c r="H73" s="592" t="s">
        <v>1017</v>
      </c>
    </row>
    <row r="74" spans="1:8" ht="12.75">
      <c r="A74" s="588">
        <v>70</v>
      </c>
      <c r="B74" s="592" t="s">
        <v>1064</v>
      </c>
      <c r="C74" s="592" t="s">
        <v>1063</v>
      </c>
      <c r="D74" s="597">
        <v>299</v>
      </c>
      <c r="E74" s="592">
        <v>1973</v>
      </c>
      <c r="F74" s="592">
        <v>30</v>
      </c>
      <c r="G74" s="592" t="s">
        <v>1000</v>
      </c>
      <c r="H74" s="592" t="s">
        <v>1008</v>
      </c>
    </row>
    <row r="75" spans="1:8" ht="12.75">
      <c r="A75" s="588">
        <v>71</v>
      </c>
      <c r="B75" s="592" t="s">
        <v>1065</v>
      </c>
      <c r="C75" s="592" t="s">
        <v>1062</v>
      </c>
      <c r="D75" s="597">
        <v>999</v>
      </c>
      <c r="E75" s="592">
        <v>1990</v>
      </c>
      <c r="F75" s="592">
        <v>40</v>
      </c>
      <c r="G75" s="592" t="s">
        <v>1000</v>
      </c>
      <c r="H75" s="592" t="s">
        <v>1017</v>
      </c>
    </row>
    <row r="76" spans="1:8" ht="12.75">
      <c r="A76" s="588">
        <v>72</v>
      </c>
      <c r="B76" s="592" t="s">
        <v>1048</v>
      </c>
      <c r="C76" s="592" t="s">
        <v>1056</v>
      </c>
      <c r="D76" s="597">
        <v>503</v>
      </c>
      <c r="E76" s="592">
        <v>1970</v>
      </c>
      <c r="F76" s="592">
        <v>98</v>
      </c>
      <c r="G76" s="592" t="s">
        <v>1000</v>
      </c>
      <c r="H76" s="592" t="s">
        <v>1008</v>
      </c>
    </row>
    <row r="77" spans="1:8" ht="12.75">
      <c r="A77" s="588">
        <v>73</v>
      </c>
      <c r="B77" s="592" t="s">
        <v>1015</v>
      </c>
      <c r="C77" s="592" t="s">
        <v>1066</v>
      </c>
      <c r="D77" s="597">
        <v>315</v>
      </c>
      <c r="E77" s="592">
        <v>1965</v>
      </c>
      <c r="F77" s="592">
        <v>80</v>
      </c>
      <c r="G77" s="592" t="s">
        <v>1000</v>
      </c>
      <c r="H77" s="592" t="s">
        <v>1017</v>
      </c>
    </row>
    <row r="78" spans="1:8" ht="12.75">
      <c r="A78" s="588">
        <v>74</v>
      </c>
      <c r="B78" s="592" t="s">
        <v>1067</v>
      </c>
      <c r="C78" s="592" t="s">
        <v>1068</v>
      </c>
      <c r="D78" s="597">
        <v>318</v>
      </c>
      <c r="E78" s="592">
        <v>1968</v>
      </c>
      <c r="F78" s="592">
        <v>40</v>
      </c>
      <c r="G78" s="592" t="s">
        <v>1000</v>
      </c>
      <c r="H78" s="592" t="s">
        <v>1017</v>
      </c>
    </row>
    <row r="79" spans="1:8" ht="26.25" customHeight="1">
      <c r="A79" s="588">
        <v>75</v>
      </c>
      <c r="B79" s="592" t="s">
        <v>1042</v>
      </c>
      <c r="C79" s="596" t="s">
        <v>1069</v>
      </c>
      <c r="D79" s="597">
        <v>547</v>
      </c>
      <c r="E79" s="592">
        <v>1980</v>
      </c>
      <c r="F79" s="592">
        <v>48</v>
      </c>
      <c r="G79" s="592" t="s">
        <v>1000</v>
      </c>
      <c r="H79" s="592" t="s">
        <v>1017</v>
      </c>
    </row>
    <row r="80" spans="1:8" ht="12.75">
      <c r="A80" s="588">
        <v>76</v>
      </c>
      <c r="B80" s="592" t="s">
        <v>952</v>
      </c>
      <c r="C80" s="592" t="s">
        <v>1070</v>
      </c>
      <c r="D80" s="597">
        <v>519</v>
      </c>
      <c r="E80" s="592">
        <v>1983</v>
      </c>
      <c r="F80" s="592">
        <v>364</v>
      </c>
      <c r="G80" s="592" t="s">
        <v>1038</v>
      </c>
      <c r="H80" s="592" t="s">
        <v>1017</v>
      </c>
    </row>
    <row r="81" spans="1:8" ht="12.75">
      <c r="A81" s="588">
        <v>77</v>
      </c>
      <c r="B81" s="592" t="s">
        <v>1071</v>
      </c>
      <c r="C81" s="592" t="s">
        <v>1072</v>
      </c>
      <c r="D81" s="597">
        <v>539</v>
      </c>
      <c r="E81" s="592">
        <v>1965</v>
      </c>
      <c r="F81" s="592">
        <v>150</v>
      </c>
      <c r="G81" s="592" t="s">
        <v>1000</v>
      </c>
      <c r="H81" s="592" t="s">
        <v>1017</v>
      </c>
    </row>
    <row r="82" spans="1:8" ht="12.75">
      <c r="A82" s="588">
        <v>78</v>
      </c>
      <c r="B82" s="592" t="s">
        <v>1071</v>
      </c>
      <c r="C82" s="592" t="s">
        <v>1070</v>
      </c>
      <c r="D82" s="597">
        <v>313</v>
      </c>
      <c r="E82" s="592">
        <v>1968</v>
      </c>
      <c r="F82" s="592">
        <v>162</v>
      </c>
      <c r="G82" s="592" t="s">
        <v>1000</v>
      </c>
      <c r="H82" s="592" t="s">
        <v>1017</v>
      </c>
    </row>
    <row r="83" spans="1:8" ht="12.75">
      <c r="A83" s="588">
        <v>79</v>
      </c>
      <c r="B83" s="592" t="s">
        <v>1071</v>
      </c>
      <c r="C83" s="592" t="s">
        <v>1070</v>
      </c>
      <c r="D83" s="597">
        <v>843</v>
      </c>
      <c r="E83" s="592">
        <v>1988</v>
      </c>
      <c r="F83" s="592">
        <v>162</v>
      </c>
      <c r="G83" s="592" t="s">
        <v>1000</v>
      </c>
      <c r="H83" s="592" t="s">
        <v>1017</v>
      </c>
    </row>
    <row r="84" spans="1:8" ht="12.75">
      <c r="A84" s="588">
        <v>80</v>
      </c>
      <c r="B84" s="592" t="s">
        <v>1073</v>
      </c>
      <c r="C84" s="592" t="s">
        <v>1068</v>
      </c>
      <c r="D84" s="597">
        <v>308</v>
      </c>
      <c r="E84" s="592">
        <v>1968</v>
      </c>
      <c r="F84" s="592">
        <v>40</v>
      </c>
      <c r="G84" s="592" t="s">
        <v>1000</v>
      </c>
      <c r="H84" s="592"/>
    </row>
    <row r="85" spans="1:8" ht="12.75">
      <c r="A85" s="588">
        <v>81</v>
      </c>
      <c r="B85" s="592" t="s">
        <v>1048</v>
      </c>
      <c r="C85" s="592" t="s">
        <v>1070</v>
      </c>
      <c r="D85" s="597">
        <v>338</v>
      </c>
      <c r="E85" s="592">
        <v>1974</v>
      </c>
      <c r="F85" s="592">
        <v>100</v>
      </c>
      <c r="G85" s="592" t="s">
        <v>1000</v>
      </c>
      <c r="H85" s="592"/>
    </row>
    <row r="86" spans="1:8" ht="12.75">
      <c r="A86" s="588">
        <v>82</v>
      </c>
      <c r="B86" s="592" t="s">
        <v>1074</v>
      </c>
      <c r="C86" s="592" t="s">
        <v>1066</v>
      </c>
      <c r="D86" s="597">
        <v>309</v>
      </c>
      <c r="E86" s="592">
        <v>1967</v>
      </c>
      <c r="F86" s="592">
        <v>25</v>
      </c>
      <c r="G86" s="592" t="s">
        <v>1000</v>
      </c>
      <c r="H86" s="592" t="s">
        <v>1008</v>
      </c>
    </row>
    <row r="87" spans="1:8" ht="25.5" customHeight="1">
      <c r="A87" s="588">
        <v>83</v>
      </c>
      <c r="B87" s="592" t="s">
        <v>1075</v>
      </c>
      <c r="C87" s="596" t="s">
        <v>1076</v>
      </c>
      <c r="D87" s="597">
        <v>352</v>
      </c>
      <c r="E87" s="592">
        <v>1968</v>
      </c>
      <c r="F87" s="592">
        <v>210</v>
      </c>
      <c r="G87" s="592" t="s">
        <v>1000</v>
      </c>
      <c r="H87" s="592" t="s">
        <v>1017</v>
      </c>
    </row>
    <row r="88" spans="1:8" ht="30.75" customHeight="1">
      <c r="A88" s="588">
        <v>84</v>
      </c>
      <c r="B88" s="592" t="s">
        <v>1077</v>
      </c>
      <c r="C88" s="596" t="s">
        <v>1078</v>
      </c>
      <c r="D88" s="597">
        <v>349</v>
      </c>
      <c r="E88" s="592">
        <v>1977</v>
      </c>
      <c r="F88" s="592">
        <v>40</v>
      </c>
      <c r="G88" s="592" t="s">
        <v>1000</v>
      </c>
      <c r="H88" s="592" t="s">
        <v>1079</v>
      </c>
    </row>
    <row r="89" spans="1:8" ht="27" customHeight="1">
      <c r="A89" s="588">
        <v>85</v>
      </c>
      <c r="B89" s="592" t="s">
        <v>1080</v>
      </c>
      <c r="C89" s="596" t="s">
        <v>1081</v>
      </c>
      <c r="D89" s="597">
        <v>351</v>
      </c>
      <c r="E89" s="592">
        <v>1968</v>
      </c>
      <c r="F89" s="592">
        <v>144</v>
      </c>
      <c r="G89" s="592" t="s">
        <v>1000</v>
      </c>
      <c r="H89" s="592" t="s">
        <v>1017</v>
      </c>
    </row>
    <row r="90" spans="1:8" ht="24.75" customHeight="1">
      <c r="A90" s="588">
        <v>86</v>
      </c>
      <c r="B90" s="592" t="s">
        <v>1082</v>
      </c>
      <c r="C90" s="596" t="s">
        <v>1081</v>
      </c>
      <c r="D90" s="597">
        <v>350</v>
      </c>
      <c r="E90" s="592">
        <v>1967</v>
      </c>
      <c r="F90" s="592">
        <v>25</v>
      </c>
      <c r="G90" s="592" t="s">
        <v>1000</v>
      </c>
      <c r="H90" s="592" t="s">
        <v>1008</v>
      </c>
    </row>
    <row r="91" spans="1:8" ht="32.25" customHeight="1">
      <c r="A91" s="588">
        <v>87</v>
      </c>
      <c r="B91" s="592" t="s">
        <v>1083</v>
      </c>
      <c r="C91" s="596" t="s">
        <v>1084</v>
      </c>
      <c r="D91" s="597">
        <v>358</v>
      </c>
      <c r="E91" s="592">
        <v>1977</v>
      </c>
      <c r="F91" s="592">
        <v>54</v>
      </c>
      <c r="G91" s="592" t="s">
        <v>1000</v>
      </c>
      <c r="H91" s="592" t="s">
        <v>1008</v>
      </c>
    </row>
    <row r="92" spans="1:8" ht="12.75">
      <c r="A92" s="809" t="s">
        <v>19</v>
      </c>
      <c r="B92" s="810"/>
      <c r="C92" s="598"/>
      <c r="D92" s="599"/>
      <c r="E92" s="598"/>
      <c r="F92" s="598">
        <f>SUM(F5:F91)</f>
        <v>8708.9</v>
      </c>
      <c r="G92" s="598"/>
      <c r="H92" s="598"/>
    </row>
    <row r="93" ht="12.75">
      <c r="A93" s="552"/>
    </row>
    <row r="95" ht="12.75">
      <c r="B95" t="s">
        <v>1107</v>
      </c>
    </row>
  </sheetData>
  <sheetProtection/>
  <mergeCells count="2">
    <mergeCell ref="A2:H2"/>
    <mergeCell ref="A92:B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tabSelected="1" zoomScale="120" zoomScaleNormal="120" zoomScalePageLayoutView="0" workbookViewId="0" topLeftCell="A16">
      <selection activeCell="B32" sqref="B32"/>
    </sheetView>
  </sheetViews>
  <sheetFormatPr defaultColWidth="9.125" defaultRowHeight="12.75"/>
  <cols>
    <col min="1" max="1" width="5.00390625" style="489" customWidth="1"/>
    <col min="2" max="2" width="64.50390625" style="489" customWidth="1"/>
    <col min="3" max="3" width="12.375" style="489" customWidth="1"/>
    <col min="4" max="16384" width="9.125" style="489" customWidth="1"/>
  </cols>
  <sheetData>
    <row r="1" spans="1:3" ht="12.75">
      <c r="A1" s="811" t="s">
        <v>1154</v>
      </c>
      <c r="B1" s="811"/>
      <c r="C1" s="811"/>
    </row>
    <row r="2" spans="1:3" ht="12.75">
      <c r="A2" s="811" t="s">
        <v>1157</v>
      </c>
      <c r="B2" s="811"/>
      <c r="C2" s="811"/>
    </row>
    <row r="3" spans="1:4" ht="12.75">
      <c r="A3" s="812" t="s">
        <v>1133</v>
      </c>
      <c r="B3" s="812"/>
      <c r="C3" s="812"/>
      <c r="D3" s="640"/>
    </row>
    <row r="4" spans="2:3" ht="12.75">
      <c r="B4" s="639"/>
      <c r="C4" s="639"/>
    </row>
    <row r="5" spans="1:4" s="642" customFormat="1" ht="54.75" customHeight="1">
      <c r="A5" s="813" t="s">
        <v>1155</v>
      </c>
      <c r="B5" s="813"/>
      <c r="C5" s="813"/>
      <c r="D5" s="641"/>
    </row>
    <row r="6" spans="1:3" ht="12.75">
      <c r="A6" s="643"/>
      <c r="C6" s="643"/>
    </row>
    <row r="7" spans="1:3" s="644" customFormat="1" ht="26.25">
      <c r="A7" s="495" t="s">
        <v>174</v>
      </c>
      <c r="B7" s="495" t="s">
        <v>1131</v>
      </c>
      <c r="C7" s="495" t="s">
        <v>1132</v>
      </c>
    </row>
    <row r="8" spans="1:3" s="644" customFormat="1" ht="26.25">
      <c r="A8" s="495">
        <v>1</v>
      </c>
      <c r="B8" s="646" t="s">
        <v>1153</v>
      </c>
      <c r="C8" s="651"/>
    </row>
    <row r="9" spans="1:3" s="644" customFormat="1" ht="12.75">
      <c r="A9" s="491" t="s">
        <v>1134</v>
      </c>
      <c r="B9" s="647" t="s">
        <v>1130</v>
      </c>
      <c r="C9" s="651">
        <v>301607</v>
      </c>
    </row>
    <row r="10" spans="1:3" s="644" customFormat="1" ht="12.75">
      <c r="A10" s="491" t="s">
        <v>1135</v>
      </c>
      <c r="B10" s="647" t="s">
        <v>1128</v>
      </c>
      <c r="C10" s="651">
        <v>71366</v>
      </c>
    </row>
    <row r="11" spans="1:3" s="644" customFormat="1" ht="12.75">
      <c r="A11" s="491" t="s">
        <v>1136</v>
      </c>
      <c r="B11" s="647" t="s">
        <v>1158</v>
      </c>
      <c r="C11" s="651">
        <v>26011</v>
      </c>
    </row>
    <row r="12" spans="1:3" s="644" customFormat="1" ht="12.75">
      <c r="A12" s="491" t="s">
        <v>1137</v>
      </c>
      <c r="B12" s="647" t="s">
        <v>1129</v>
      </c>
      <c r="C12" s="651">
        <v>5416</v>
      </c>
    </row>
    <row r="13" spans="1:4" ht="12.75">
      <c r="A13" s="227"/>
      <c r="B13" s="648" t="s">
        <v>228</v>
      </c>
      <c r="C13" s="652">
        <f>C9+C10+C11+C12</f>
        <v>404400</v>
      </c>
      <c r="D13" s="649"/>
    </row>
    <row r="14" spans="1:3" ht="39">
      <c r="A14" s="495">
        <v>2</v>
      </c>
      <c r="B14" s="646" t="s">
        <v>1159</v>
      </c>
      <c r="C14" s="651"/>
    </row>
    <row r="15" spans="1:3" ht="12.75">
      <c r="A15" s="491" t="s">
        <v>1138</v>
      </c>
      <c r="B15" s="647" t="s">
        <v>1130</v>
      </c>
      <c r="C15" s="651">
        <v>281100</v>
      </c>
    </row>
    <row r="16" spans="1:3" ht="12.75">
      <c r="A16" s="491" t="s">
        <v>1141</v>
      </c>
      <c r="B16" s="647" t="s">
        <v>1128</v>
      </c>
      <c r="C16" s="651">
        <v>64653</v>
      </c>
    </row>
    <row r="17" spans="1:3" ht="12.75">
      <c r="A17" s="491" t="s">
        <v>1142</v>
      </c>
      <c r="B17" s="647" t="s">
        <v>1158</v>
      </c>
      <c r="C17" s="651">
        <v>24930</v>
      </c>
    </row>
    <row r="18" spans="1:3" ht="12.75">
      <c r="A18" s="491" t="s">
        <v>1143</v>
      </c>
      <c r="B18" s="647" t="s">
        <v>1129</v>
      </c>
      <c r="C18" s="651">
        <v>5689</v>
      </c>
    </row>
    <row r="19" spans="1:3" ht="12.75">
      <c r="A19" s="227"/>
      <c r="B19" s="648" t="s">
        <v>228</v>
      </c>
      <c r="C19" s="652">
        <f>C15+C16+C17+C18</f>
        <v>376372</v>
      </c>
    </row>
    <row r="20" spans="1:3" ht="39">
      <c r="A20" s="495">
        <v>3</v>
      </c>
      <c r="B20" s="646" t="s">
        <v>1156</v>
      </c>
      <c r="C20" s="651"/>
    </row>
    <row r="21" spans="1:3" ht="12.75">
      <c r="A21" s="491" t="s">
        <v>1147</v>
      </c>
      <c r="B21" s="647" t="s">
        <v>1130</v>
      </c>
      <c r="C21" s="651">
        <v>305798</v>
      </c>
    </row>
    <row r="22" spans="1:3" ht="12.75">
      <c r="A22" s="491" t="s">
        <v>1148</v>
      </c>
      <c r="B22" s="647" t="s">
        <v>1128</v>
      </c>
      <c r="C22" s="651">
        <v>73378</v>
      </c>
    </row>
    <row r="23" spans="1:3" ht="12.75">
      <c r="A23" s="491" t="s">
        <v>1139</v>
      </c>
      <c r="B23" s="647" t="s">
        <v>1158</v>
      </c>
      <c r="C23" s="651">
        <v>28001</v>
      </c>
    </row>
    <row r="24" spans="1:3" ht="12.75">
      <c r="A24" s="491" t="s">
        <v>1149</v>
      </c>
      <c r="B24" s="645" t="s">
        <v>1129</v>
      </c>
      <c r="C24" s="651">
        <v>5043</v>
      </c>
    </row>
    <row r="25" spans="1:3" ht="12.75">
      <c r="A25" s="227"/>
      <c r="B25" s="648" t="s">
        <v>228</v>
      </c>
      <c r="C25" s="652">
        <f>C21+C22+C23+C24</f>
        <v>412220</v>
      </c>
    </row>
    <row r="26" spans="1:3" ht="12.75">
      <c r="A26" s="495">
        <v>4</v>
      </c>
      <c r="B26" s="646" t="s">
        <v>1144</v>
      </c>
      <c r="C26" s="651"/>
    </row>
    <row r="27" spans="1:3" ht="12.75">
      <c r="A27" s="491" t="s">
        <v>1150</v>
      </c>
      <c r="B27" s="647" t="s">
        <v>1160</v>
      </c>
      <c r="C27" s="651">
        <v>270301</v>
      </c>
    </row>
    <row r="28" spans="1:3" ht="12.75">
      <c r="A28" s="491" t="s">
        <v>1140</v>
      </c>
      <c r="B28" s="647" t="s">
        <v>1145</v>
      </c>
      <c r="C28" s="651">
        <v>59466</v>
      </c>
    </row>
    <row r="29" spans="1:3" ht="12.75">
      <c r="A29" s="227"/>
      <c r="B29" s="646" t="s">
        <v>228</v>
      </c>
      <c r="C29" s="652">
        <f>C27+C28</f>
        <v>329767</v>
      </c>
    </row>
    <row r="30" spans="1:3" ht="39">
      <c r="A30" s="495">
        <v>5</v>
      </c>
      <c r="B30" s="646" t="s">
        <v>1146</v>
      </c>
      <c r="C30" s="651"/>
    </row>
    <row r="31" spans="1:3" ht="12.75">
      <c r="A31" s="491" t="s">
        <v>1151</v>
      </c>
      <c r="B31" s="647" t="s">
        <v>1160</v>
      </c>
      <c r="C31" s="651">
        <v>356264</v>
      </c>
    </row>
    <row r="32" spans="1:3" ht="12.75">
      <c r="A32" s="491" t="s">
        <v>1152</v>
      </c>
      <c r="B32" s="647" t="s">
        <v>1145</v>
      </c>
      <c r="C32" s="651">
        <v>78378</v>
      </c>
    </row>
    <row r="33" spans="1:3" s="650" customFormat="1" ht="12.75">
      <c r="A33" s="619"/>
      <c r="B33" s="646" t="s">
        <v>228</v>
      </c>
      <c r="C33" s="652">
        <f>C31+C32</f>
        <v>434642</v>
      </c>
    </row>
    <row r="34" spans="1:3" ht="12.75">
      <c r="A34" s="227"/>
      <c r="B34" s="648" t="s">
        <v>252</v>
      </c>
      <c r="C34" s="652">
        <f>C13+C19+C25+C29+C33</f>
        <v>1957401</v>
      </c>
    </row>
  </sheetData>
  <sheetProtection/>
  <mergeCells count="4">
    <mergeCell ref="A1:C1"/>
    <mergeCell ref="A2:C2"/>
    <mergeCell ref="A3:C3"/>
    <mergeCell ref="A5:C5"/>
  </mergeCells>
  <printOptions/>
  <pageMargins left="1.1811023622047245" right="0.3937007874015748" top="0.7874015748031497" bottom="0.3937007874015748" header="0" footer="0"/>
  <pageSetup firstPageNumber="190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pane xSplit="1" ySplit="10" topLeftCell="B13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52" sqref="G152"/>
    </sheetView>
  </sheetViews>
  <sheetFormatPr defaultColWidth="9.125" defaultRowHeight="12.75"/>
  <cols>
    <col min="1" max="1" width="37.875" style="1" customWidth="1"/>
    <col min="2" max="2" width="8.50390625" style="2" customWidth="1"/>
    <col min="3" max="3" width="10.875" style="2" customWidth="1"/>
    <col min="4" max="4" width="10.625" style="1" customWidth="1"/>
    <col min="5" max="5" width="11.375" style="1" customWidth="1"/>
    <col min="6" max="6" width="9.375" style="162" customWidth="1"/>
    <col min="7" max="7" width="11.50390625" style="1" customWidth="1"/>
    <col min="8" max="16384" width="9.125" style="1" customWidth="1"/>
  </cols>
  <sheetData>
    <row r="1" spans="7:10" ht="12.75">
      <c r="G1" s="1" t="s">
        <v>42</v>
      </c>
      <c r="J1" s="5"/>
    </row>
    <row r="2" spans="1:10" ht="18.75" customHeight="1">
      <c r="A2" s="670" t="s">
        <v>43</v>
      </c>
      <c r="B2" s="670"/>
      <c r="C2" s="670"/>
      <c r="D2" s="670"/>
      <c r="E2" s="670"/>
      <c r="F2" s="670"/>
      <c r="G2" s="670"/>
      <c r="H2" s="48"/>
      <c r="J2" s="5"/>
    </row>
    <row r="3" spans="1:10" ht="12.75">
      <c r="A3" s="670" t="s">
        <v>261</v>
      </c>
      <c r="B3" s="670"/>
      <c r="C3" s="670"/>
      <c r="D3" s="670"/>
      <c r="E3" s="670"/>
      <c r="F3" s="670"/>
      <c r="G3" s="670"/>
      <c r="H3" s="48"/>
      <c r="J3" s="5"/>
    </row>
    <row r="4" spans="1:7" ht="12.75">
      <c r="A4" s="670" t="s">
        <v>649</v>
      </c>
      <c r="B4" s="670"/>
      <c r="C4" s="670"/>
      <c r="D4" s="670"/>
      <c r="E4" s="670"/>
      <c r="F4" s="670"/>
      <c r="G4" s="670"/>
    </row>
    <row r="5" spans="1:7" ht="12.75">
      <c r="A5" s="670" t="s">
        <v>131</v>
      </c>
      <c r="B5" s="670"/>
      <c r="C5" s="670"/>
      <c r="D5" s="670"/>
      <c r="E5" s="670"/>
      <c r="F5" s="670"/>
      <c r="G5" s="670"/>
    </row>
    <row r="6" ht="13.5" thickBot="1"/>
    <row r="7" spans="1:7" ht="12.75">
      <c r="A7" s="6"/>
      <c r="B7" s="680" t="s">
        <v>23</v>
      </c>
      <c r="C7" s="681"/>
      <c r="D7" s="49"/>
      <c r="E7" s="56"/>
      <c r="F7" s="163"/>
      <c r="G7" s="57"/>
    </row>
    <row r="8" spans="1:7" ht="13.5" thickBot="1">
      <c r="A8" s="8"/>
      <c r="B8" s="682" t="s">
        <v>9</v>
      </c>
      <c r="C8" s="683"/>
      <c r="D8" s="50" t="s">
        <v>44</v>
      </c>
      <c r="E8" s="58" t="s">
        <v>45</v>
      </c>
      <c r="F8" s="164" t="s">
        <v>46</v>
      </c>
      <c r="G8" s="59" t="s">
        <v>47</v>
      </c>
    </row>
    <row r="9" spans="1:7" ht="12.75">
      <c r="A9" s="8"/>
      <c r="B9" s="668" t="s">
        <v>5</v>
      </c>
      <c r="C9" s="668" t="s">
        <v>4</v>
      </c>
      <c r="D9" s="60" t="s">
        <v>48</v>
      </c>
      <c r="E9" s="58" t="s">
        <v>10</v>
      </c>
      <c r="F9" s="164" t="s">
        <v>49</v>
      </c>
      <c r="G9" s="67" t="s">
        <v>50</v>
      </c>
    </row>
    <row r="10" spans="1:7" ht="13.5" thickBot="1">
      <c r="A10" s="39"/>
      <c r="B10" s="669"/>
      <c r="C10" s="669"/>
      <c r="D10" s="51"/>
      <c r="E10" s="61"/>
      <c r="F10" s="165" t="s">
        <v>51</v>
      </c>
      <c r="G10" s="68" t="s">
        <v>52</v>
      </c>
    </row>
    <row r="11" spans="1:7" s="62" customFormat="1" ht="29.25" customHeight="1">
      <c r="A11" s="106" t="s">
        <v>132</v>
      </c>
      <c r="B11" s="91">
        <v>110300</v>
      </c>
      <c r="C11" s="91"/>
      <c r="D11" s="89"/>
      <c r="E11" s="90"/>
      <c r="F11" s="166"/>
      <c r="G11" s="92" t="e">
        <f>G13+G14+G15+G16+G24+G39</f>
        <v>#REF!</v>
      </c>
    </row>
    <row r="12" spans="1:7" ht="12.75">
      <c r="A12" s="107" t="s">
        <v>40</v>
      </c>
      <c r="B12" s="54"/>
      <c r="C12" s="54"/>
      <c r="D12" s="73"/>
      <c r="E12" s="24"/>
      <c r="F12" s="167"/>
      <c r="G12" s="74"/>
    </row>
    <row r="13" spans="1:7" s="46" customFormat="1" ht="26.25">
      <c r="A13" s="108" t="s">
        <v>133</v>
      </c>
      <c r="B13" s="77">
        <v>110300</v>
      </c>
      <c r="C13" s="77">
        <v>110310</v>
      </c>
      <c r="D13" s="75"/>
      <c r="E13" s="76"/>
      <c r="F13" s="168" t="s">
        <v>105</v>
      </c>
      <c r="G13" s="78">
        <f>медикаменты!F34</f>
        <v>8384</v>
      </c>
    </row>
    <row r="14" spans="1:7" s="46" customFormat="1" ht="12.75">
      <c r="A14" s="109" t="s">
        <v>14</v>
      </c>
      <c r="B14" s="77">
        <v>110300</v>
      </c>
      <c r="C14" s="77">
        <v>110320</v>
      </c>
      <c r="D14" s="75"/>
      <c r="E14" s="76"/>
      <c r="F14" s="168" t="s">
        <v>105</v>
      </c>
      <c r="G14" s="78">
        <f>Спецодежда!F17</f>
        <v>124000</v>
      </c>
    </row>
    <row r="15" spans="1:7" s="46" customFormat="1" ht="12.75">
      <c r="A15" s="109" t="s">
        <v>134</v>
      </c>
      <c r="B15" s="77">
        <v>110300</v>
      </c>
      <c r="C15" s="77">
        <v>110330</v>
      </c>
      <c r="D15" s="75"/>
      <c r="E15" s="76"/>
      <c r="F15" s="168"/>
      <c r="G15" s="78"/>
    </row>
    <row r="16" spans="1:7" s="46" customFormat="1" ht="12.75">
      <c r="A16" s="109" t="s">
        <v>135</v>
      </c>
      <c r="B16" s="77">
        <v>110300</v>
      </c>
      <c r="C16" s="77">
        <v>110340</v>
      </c>
      <c r="D16" s="75"/>
      <c r="E16" s="76"/>
      <c r="F16" s="168"/>
      <c r="G16" s="78" t="e">
        <f>SUM(G18:G21)</f>
        <v>#REF!</v>
      </c>
    </row>
    <row r="17" spans="1:7" s="46" customFormat="1" ht="12.75">
      <c r="A17" s="107" t="s">
        <v>40</v>
      </c>
      <c r="B17" s="77"/>
      <c r="C17" s="77"/>
      <c r="D17" s="75"/>
      <c r="E17" s="76"/>
      <c r="F17" s="168"/>
      <c r="G17" s="78"/>
    </row>
    <row r="18" spans="1:7" ht="12.75">
      <c r="A18" s="107" t="s">
        <v>140</v>
      </c>
      <c r="B18" s="54"/>
      <c r="C18" s="54"/>
      <c r="D18" s="73" t="s">
        <v>13</v>
      </c>
      <c r="E18" s="24"/>
      <c r="F18" s="167"/>
      <c r="G18" s="74">
        <f>E18*F18</f>
        <v>0</v>
      </c>
    </row>
    <row r="19" spans="1:7" ht="12.75">
      <c r="A19" s="107" t="s">
        <v>53</v>
      </c>
      <c r="B19" s="54"/>
      <c r="C19" s="54"/>
      <c r="D19" s="73" t="s">
        <v>13</v>
      </c>
      <c r="E19" s="24"/>
      <c r="F19" s="167"/>
      <c r="G19" s="74">
        <f>E19*F19</f>
        <v>0</v>
      </c>
    </row>
    <row r="20" spans="1:7" ht="12.75">
      <c r="A20" s="107" t="s">
        <v>54</v>
      </c>
      <c r="B20" s="54"/>
      <c r="C20" s="54"/>
      <c r="D20" s="73" t="s">
        <v>13</v>
      </c>
      <c r="E20" s="24"/>
      <c r="F20" s="167"/>
      <c r="G20" s="74">
        <f>E20*F20</f>
        <v>0</v>
      </c>
    </row>
    <row r="21" spans="1:7" ht="12.75">
      <c r="A21" s="107" t="s">
        <v>55</v>
      </c>
      <c r="B21" s="54"/>
      <c r="C21" s="54"/>
      <c r="D21" s="73"/>
      <c r="E21" s="24"/>
      <c r="F21" s="167"/>
      <c r="G21" s="74" t="e">
        <f>SUM(G22:G23)</f>
        <v>#REF!</v>
      </c>
    </row>
    <row r="22" spans="1:7" ht="12.75">
      <c r="A22" s="107" t="s">
        <v>129</v>
      </c>
      <c r="B22" s="54"/>
      <c r="C22" s="54"/>
      <c r="D22" s="73" t="s">
        <v>56</v>
      </c>
      <c r="E22" s="24" t="e">
        <f>#REF!</f>
        <v>#REF!</v>
      </c>
      <c r="F22" s="167">
        <f>'[4]Указания на 2016-2018 годы'!$D$801</f>
        <v>242.76</v>
      </c>
      <c r="G22" s="74" t="e">
        <f>E22*F22</f>
        <v>#REF!</v>
      </c>
    </row>
    <row r="23" spans="1:7" ht="12.75">
      <c r="A23" s="107" t="s">
        <v>130</v>
      </c>
      <c r="B23" s="54"/>
      <c r="C23" s="54"/>
      <c r="D23" s="73" t="s">
        <v>56</v>
      </c>
      <c r="E23" s="24"/>
      <c r="F23" s="167"/>
      <c r="G23" s="74">
        <f>E23*F23</f>
        <v>0</v>
      </c>
    </row>
    <row r="24" spans="1:7" ht="12.75">
      <c r="A24" s="109" t="s">
        <v>136</v>
      </c>
      <c r="B24" s="77">
        <v>110300</v>
      </c>
      <c r="C24" s="77">
        <v>110350</v>
      </c>
      <c r="D24" s="75"/>
      <c r="E24" s="76"/>
      <c r="F24" s="168"/>
      <c r="G24" s="78" t="e">
        <f>ROUND(SUM(G26:G37),)</f>
        <v>#REF!</v>
      </c>
    </row>
    <row r="25" spans="1:10" ht="12.75">
      <c r="A25" s="107" t="s">
        <v>57</v>
      </c>
      <c r="B25" s="54"/>
      <c r="C25" s="54"/>
      <c r="D25" s="73"/>
      <c r="E25" s="24"/>
      <c r="F25" s="167"/>
      <c r="G25" s="74"/>
      <c r="J25" s="5"/>
    </row>
    <row r="26" spans="1:7" ht="12.75">
      <c r="A26" s="107" t="s">
        <v>58</v>
      </c>
      <c r="B26" s="54"/>
      <c r="C26" s="54"/>
      <c r="D26" s="73" t="s">
        <v>59</v>
      </c>
      <c r="E26" s="24"/>
      <c r="F26" s="167"/>
      <c r="G26" s="74"/>
    </row>
    <row r="27" spans="1:7" ht="12.75">
      <c r="A27" s="15" t="s">
        <v>60</v>
      </c>
      <c r="B27" s="54"/>
      <c r="C27" s="54"/>
      <c r="D27" s="73"/>
      <c r="E27" s="547">
        <f>'расчет текущего ремонта'!C41</f>
        <v>353</v>
      </c>
      <c r="F27" s="167">
        <f>'расчет текущего ремонта'!D41</f>
        <v>264.45</v>
      </c>
      <c r="G27" s="74">
        <f>'расчет текущего ремонта'!E41</f>
        <v>93351</v>
      </c>
    </row>
    <row r="28" spans="1:7" ht="12.75">
      <c r="A28" s="15" t="s">
        <v>61</v>
      </c>
      <c r="B28" s="54"/>
      <c r="C28" s="54"/>
      <c r="D28" s="73"/>
      <c r="E28" s="547">
        <f>'расчет текущего ремонта'!C42</f>
        <v>220</v>
      </c>
      <c r="F28" s="167">
        <f>'[4]Указания на 2016-2018 годы'!$D$562</f>
        <v>424.01</v>
      </c>
      <c r="G28" s="74">
        <f>'расчет текущего ремонта'!E42</f>
        <v>93282</v>
      </c>
    </row>
    <row r="29" spans="1:7" ht="12.75">
      <c r="A29" s="107" t="s">
        <v>62</v>
      </c>
      <c r="B29" s="54"/>
      <c r="C29" s="54"/>
      <c r="D29" s="73" t="s">
        <v>137</v>
      </c>
      <c r="E29" s="548">
        <f>(бензин!J33+бензин!J34)/1000</f>
        <v>7.93</v>
      </c>
      <c r="F29" s="167">
        <f>'[4]Указания на 2016-2018 годы'!$D$556</f>
        <v>10251</v>
      </c>
      <c r="G29" s="74">
        <f>F29*E29</f>
        <v>81290</v>
      </c>
    </row>
    <row r="30" spans="1:7" ht="12.75">
      <c r="A30" s="107" t="s">
        <v>63</v>
      </c>
      <c r="B30" s="54"/>
      <c r="C30" s="54"/>
      <c r="D30" s="73" t="s">
        <v>137</v>
      </c>
      <c r="E30" s="548" t="e">
        <f>(105290.2+#REF!)/1000</f>
        <v>#REF!</v>
      </c>
      <c r="F30" s="167">
        <f>'[4]Указания на 2016-2018 годы'!$D$555</f>
        <v>9792</v>
      </c>
      <c r="G30" s="74" t="e">
        <f>F30*E30</f>
        <v>#REF!</v>
      </c>
    </row>
    <row r="31" spans="1:7" ht="12.75">
      <c r="A31" s="107" t="s">
        <v>64</v>
      </c>
      <c r="B31" s="54"/>
      <c r="C31" s="54"/>
      <c r="D31" s="73" t="s">
        <v>137</v>
      </c>
      <c r="E31" s="24"/>
      <c r="F31" s="167"/>
      <c r="G31" s="74">
        <f aca="true" t="shared" si="0" ref="G31:G36">F31*E31</f>
        <v>0</v>
      </c>
    </row>
    <row r="32" spans="1:7" s="46" customFormat="1" ht="12.75">
      <c r="A32" s="107" t="s">
        <v>65</v>
      </c>
      <c r="B32" s="54"/>
      <c r="C32" s="54"/>
      <c r="D32" s="73" t="s">
        <v>137</v>
      </c>
      <c r="E32" s="547" t="e">
        <f>(бензин!J43+бензин!J60+#REF!)/1000</f>
        <v>#REF!</v>
      </c>
      <c r="F32" s="167">
        <f>'[4]Указания на 2016-2018 годы'!$D$557</f>
        <v>9180</v>
      </c>
      <c r="G32" s="74" t="e">
        <f>F32*E32</f>
        <v>#REF!</v>
      </c>
    </row>
    <row r="33" spans="1:7" ht="12.75">
      <c r="A33" s="107" t="s">
        <v>66</v>
      </c>
      <c r="B33" s="54"/>
      <c r="C33" s="54"/>
      <c r="D33" s="73" t="s">
        <v>137</v>
      </c>
      <c r="E33" s="548" t="e">
        <f>('расчет масла'!E57+#REF!)/1000</f>
        <v>#REF!</v>
      </c>
      <c r="F33" s="167">
        <f>'[4]Указания на 2016-2018 годы'!$D$558</f>
        <v>12084.55</v>
      </c>
      <c r="G33" s="74" t="e">
        <f>F33*E33</f>
        <v>#REF!</v>
      </c>
    </row>
    <row r="34" spans="1:7" s="63" customFormat="1" ht="12.75">
      <c r="A34" s="107" t="s">
        <v>67</v>
      </c>
      <c r="B34" s="54"/>
      <c r="C34" s="54"/>
      <c r="D34" s="73" t="s">
        <v>137</v>
      </c>
      <c r="E34" s="548" t="e">
        <f>('расчет масла'!E32+#REF!)/1000</f>
        <v>#REF!</v>
      </c>
      <c r="F34" s="167">
        <f>'[4]Указания на 2016-2018 годы'!$D$559</f>
        <v>12084.55</v>
      </c>
      <c r="G34" s="74" t="e">
        <f>F34*E34</f>
        <v>#REF!</v>
      </c>
    </row>
    <row r="35" spans="1:7" ht="12.75">
      <c r="A35" s="107" t="s">
        <v>68</v>
      </c>
      <c r="B35" s="54"/>
      <c r="C35" s="54"/>
      <c r="D35" s="73" t="s">
        <v>137</v>
      </c>
      <c r="E35" s="24"/>
      <c r="F35" s="167"/>
      <c r="G35" s="74">
        <f t="shared" si="0"/>
        <v>0</v>
      </c>
    </row>
    <row r="36" spans="1:7" ht="12.75">
      <c r="A36" s="107" t="s">
        <v>69</v>
      </c>
      <c r="B36" s="54"/>
      <c r="C36" s="54"/>
      <c r="D36" s="73" t="s">
        <v>70</v>
      </c>
      <c r="E36" s="24"/>
      <c r="F36" s="167"/>
      <c r="G36" s="74">
        <f t="shared" si="0"/>
        <v>0</v>
      </c>
    </row>
    <row r="37" spans="1:7" ht="12.75">
      <c r="A37" s="107" t="s">
        <v>138</v>
      </c>
      <c r="B37" s="54"/>
      <c r="C37" s="54"/>
      <c r="D37" s="73" t="s">
        <v>11</v>
      </c>
      <c r="E37" s="24">
        <v>6</v>
      </c>
      <c r="F37" s="167">
        <f>'[4]Указания на 2016-2018 годы'!$D$885</f>
        <v>25.18</v>
      </c>
      <c r="G37" s="74">
        <f>E37*F37*365</f>
        <v>55144</v>
      </c>
    </row>
    <row r="38" spans="1:7" ht="12.75">
      <c r="A38" s="107" t="s">
        <v>139</v>
      </c>
      <c r="B38" s="54"/>
      <c r="C38" s="54"/>
      <c r="D38" s="73" t="s">
        <v>11</v>
      </c>
      <c r="E38" s="24"/>
      <c r="F38" s="167"/>
      <c r="G38" s="74"/>
    </row>
    <row r="39" spans="1:9" s="63" customFormat="1" ht="52.5">
      <c r="A39" s="108" t="s">
        <v>251</v>
      </c>
      <c r="B39" s="77">
        <v>110300</v>
      </c>
      <c r="C39" s="77">
        <v>110360</v>
      </c>
      <c r="D39" s="75" t="s">
        <v>11</v>
      </c>
      <c r="E39" s="549" t="e">
        <f>#REF!-#REF!</f>
        <v>#REF!</v>
      </c>
      <c r="F39" s="168">
        <v>0.05</v>
      </c>
      <c r="G39" s="78" t="e">
        <f>(#REF!-#REF!-#REF!)*F39</f>
        <v>#REF!</v>
      </c>
      <c r="I39" s="638"/>
    </row>
    <row r="40" spans="1:7" s="63" customFormat="1" ht="12.75">
      <c r="A40" s="108"/>
      <c r="B40" s="77"/>
      <c r="C40" s="77"/>
      <c r="D40" s="75"/>
      <c r="E40" s="76"/>
      <c r="F40" s="168"/>
      <c r="G40" s="78"/>
    </row>
    <row r="41" spans="1:7" ht="54.75">
      <c r="A41" s="106" t="s">
        <v>250</v>
      </c>
      <c r="B41" s="91">
        <v>110400</v>
      </c>
      <c r="C41" s="91"/>
      <c r="D41" s="89"/>
      <c r="E41" s="550" t="e">
        <f>#REF!-#REF!</f>
        <v>#REF!</v>
      </c>
      <c r="F41" s="166">
        <v>0.01</v>
      </c>
      <c r="G41" s="78" t="e">
        <f>E41*F41</f>
        <v>#REF!</v>
      </c>
    </row>
    <row r="42" spans="1:7" ht="12.75">
      <c r="A42" s="107" t="s">
        <v>40</v>
      </c>
      <c r="B42" s="54"/>
      <c r="C42" s="54"/>
      <c r="D42" s="73"/>
      <c r="E42" s="24"/>
      <c r="F42" s="167"/>
      <c r="G42" s="74"/>
    </row>
    <row r="43" spans="1:7" ht="12.75">
      <c r="A43" s="109" t="s">
        <v>71</v>
      </c>
      <c r="B43" s="77">
        <v>110400</v>
      </c>
      <c r="C43" s="77">
        <v>110410</v>
      </c>
      <c r="D43" s="75" t="s">
        <v>11</v>
      </c>
      <c r="E43" s="80"/>
      <c r="F43" s="168"/>
      <c r="G43" s="78"/>
    </row>
    <row r="44" spans="1:7" ht="12.75">
      <c r="A44" s="109" t="s">
        <v>72</v>
      </c>
      <c r="B44" s="77">
        <v>110400</v>
      </c>
      <c r="C44" s="77">
        <v>110420</v>
      </c>
      <c r="D44" s="75" t="s">
        <v>11</v>
      </c>
      <c r="E44" s="76"/>
      <c r="F44" s="168"/>
      <c r="G44" s="78"/>
    </row>
    <row r="45" spans="1:7" ht="12.75">
      <c r="A45" s="107"/>
      <c r="B45" s="54"/>
      <c r="C45" s="54"/>
      <c r="D45" s="73"/>
      <c r="E45" s="24"/>
      <c r="F45" s="167"/>
      <c r="G45" s="74"/>
    </row>
    <row r="46" spans="1:7" ht="13.5">
      <c r="A46" s="110" t="s">
        <v>141</v>
      </c>
      <c r="B46" s="91">
        <v>110500</v>
      </c>
      <c r="C46" s="91"/>
      <c r="D46" s="89"/>
      <c r="E46" s="90"/>
      <c r="F46" s="166"/>
      <c r="G46" s="92"/>
    </row>
    <row r="47" spans="1:7" ht="12.75">
      <c r="A47" s="107"/>
      <c r="B47" s="54"/>
      <c r="C47" s="54"/>
      <c r="D47" s="73"/>
      <c r="E47" s="24"/>
      <c r="F47" s="167"/>
      <c r="G47" s="74"/>
    </row>
    <row r="48" spans="1:7" ht="13.5">
      <c r="A48" s="110" t="s">
        <v>73</v>
      </c>
      <c r="B48" s="91">
        <v>110600</v>
      </c>
      <c r="C48" s="91"/>
      <c r="D48" s="93"/>
      <c r="E48" s="94"/>
      <c r="F48" s="169"/>
      <c r="G48" s="95">
        <f>G50+G56+G64+G75</f>
        <v>45920</v>
      </c>
    </row>
    <row r="49" spans="1:7" ht="12.75">
      <c r="A49" s="107" t="s">
        <v>40</v>
      </c>
      <c r="B49" s="91"/>
      <c r="C49" s="91"/>
      <c r="D49" s="93"/>
      <c r="E49" s="94"/>
      <c r="F49" s="169"/>
      <c r="G49" s="95"/>
    </row>
    <row r="50" spans="1:7" ht="12.75">
      <c r="A50" s="109" t="s">
        <v>142</v>
      </c>
      <c r="B50" s="81"/>
      <c r="C50" s="81"/>
      <c r="D50" s="75"/>
      <c r="E50" s="76"/>
      <c r="F50" s="168"/>
      <c r="G50" s="78">
        <f>SUM(G51:G55)</f>
        <v>7292</v>
      </c>
    </row>
    <row r="51" spans="1:7" ht="12.75">
      <c r="A51" s="107" t="s">
        <v>74</v>
      </c>
      <c r="B51" s="53"/>
      <c r="C51" s="53"/>
      <c r="D51" s="73" t="s">
        <v>75</v>
      </c>
      <c r="E51" s="24">
        <v>7</v>
      </c>
      <c r="F51" s="167">
        <f>'[4]Указания на 2016-2018 годы'!$D$512</f>
        <v>6.2</v>
      </c>
      <c r="G51" s="74">
        <f>E51*F51*12</f>
        <v>521</v>
      </c>
    </row>
    <row r="52" spans="1:7" ht="12.75">
      <c r="A52" s="107" t="s">
        <v>76</v>
      </c>
      <c r="B52" s="53"/>
      <c r="C52" s="53"/>
      <c r="D52" s="73" t="s">
        <v>75</v>
      </c>
      <c r="E52" s="24">
        <v>25</v>
      </c>
      <c r="F52" s="167">
        <f>'[4]Указания на 2016-2018 годы'!$D$511</f>
        <v>22.57</v>
      </c>
      <c r="G52" s="74">
        <f>E52*F52*12</f>
        <v>6771</v>
      </c>
    </row>
    <row r="53" spans="1:7" s="52" customFormat="1" ht="12.75">
      <c r="A53" s="107" t="s">
        <v>77</v>
      </c>
      <c r="B53" s="53"/>
      <c r="C53" s="53"/>
      <c r="D53" s="73" t="s">
        <v>75</v>
      </c>
      <c r="E53" s="24"/>
      <c r="F53" s="167"/>
      <c r="G53" s="74">
        <f>E53*F53*12</f>
        <v>0</v>
      </c>
    </row>
    <row r="54" spans="1:7" s="52" customFormat="1" ht="12.75">
      <c r="A54" s="107" t="s">
        <v>144</v>
      </c>
      <c r="B54" s="53"/>
      <c r="C54" s="53"/>
      <c r="D54" s="73"/>
      <c r="E54" s="24"/>
      <c r="F54" s="167"/>
      <c r="G54" s="74">
        <f>E54*F54*12</f>
        <v>0</v>
      </c>
    </row>
    <row r="55" spans="1:7" ht="12.75">
      <c r="A55" s="107" t="s">
        <v>78</v>
      </c>
      <c r="B55" s="53"/>
      <c r="C55" s="53"/>
      <c r="D55" s="73" t="s">
        <v>79</v>
      </c>
      <c r="E55" s="24"/>
      <c r="F55" s="167"/>
      <c r="G55" s="74">
        <f>E55*F55*12</f>
        <v>0</v>
      </c>
    </row>
    <row r="56" spans="1:7" ht="12.75">
      <c r="A56" s="109" t="s">
        <v>80</v>
      </c>
      <c r="B56" s="81"/>
      <c r="C56" s="81"/>
      <c r="D56" s="75" t="s">
        <v>81</v>
      </c>
      <c r="E56" s="76">
        <v>87600</v>
      </c>
      <c r="F56" s="168">
        <f>'[4]Указания на 2016-2018 годы'!$D$515</f>
        <v>0.21</v>
      </c>
      <c r="G56" s="78">
        <f aca="true" t="shared" si="1" ref="G56:G63">E56*F56</f>
        <v>18396</v>
      </c>
    </row>
    <row r="57" spans="1:7" ht="12.75">
      <c r="A57" s="107" t="s">
        <v>231</v>
      </c>
      <c r="B57" s="671" t="s">
        <v>143</v>
      </c>
      <c r="C57" s="672"/>
      <c r="D57" s="73" t="s">
        <v>81</v>
      </c>
      <c r="E57" s="24">
        <f>E52*60*12</f>
        <v>18000</v>
      </c>
      <c r="F57" s="167">
        <f>'[4]Указания на 2016-2018 годы'!$D$517</f>
        <v>0.38</v>
      </c>
      <c r="G57" s="74">
        <f t="shared" si="1"/>
        <v>6840</v>
      </c>
    </row>
    <row r="58" spans="1:7" s="188" customFormat="1" ht="12.75">
      <c r="A58" s="181" t="s">
        <v>232</v>
      </c>
      <c r="B58" s="182"/>
      <c r="C58" s="183"/>
      <c r="D58" s="184"/>
      <c r="E58" s="185"/>
      <c r="F58" s="186"/>
      <c r="G58" s="187"/>
    </row>
    <row r="59" spans="1:7" ht="12.75">
      <c r="A59" s="107" t="s">
        <v>234</v>
      </c>
      <c r="B59" s="674" t="s">
        <v>82</v>
      </c>
      <c r="C59" s="675"/>
      <c r="D59" s="73" t="s">
        <v>81</v>
      </c>
      <c r="E59" s="24">
        <f>E52*20*12</f>
        <v>6000</v>
      </c>
      <c r="F59" s="167">
        <f>'[4]Указания на 2016-2018 годы'!$D$519</f>
        <v>2.12</v>
      </c>
      <c r="G59" s="74">
        <f t="shared" si="1"/>
        <v>12720</v>
      </c>
    </row>
    <row r="60" spans="1:7" s="188" customFormat="1" ht="12.75">
      <c r="A60" s="181" t="s">
        <v>233</v>
      </c>
      <c r="B60" s="676"/>
      <c r="C60" s="677"/>
      <c r="D60" s="184"/>
      <c r="E60" s="185"/>
      <c r="F60" s="186"/>
      <c r="G60" s="187"/>
    </row>
    <row r="61" spans="1:7" ht="12.75">
      <c r="A61" s="107" t="s">
        <v>83</v>
      </c>
      <c r="B61" s="676"/>
      <c r="C61" s="677"/>
      <c r="D61" s="73" t="s">
        <v>81</v>
      </c>
      <c r="E61" s="24"/>
      <c r="F61" s="167"/>
      <c r="G61" s="74">
        <f t="shared" si="1"/>
        <v>0</v>
      </c>
    </row>
    <row r="62" spans="1:7" ht="12.75">
      <c r="A62" s="107" t="s">
        <v>84</v>
      </c>
      <c r="B62" s="676"/>
      <c r="C62" s="677"/>
      <c r="D62" s="73" t="s">
        <v>81</v>
      </c>
      <c r="E62" s="24"/>
      <c r="F62" s="167"/>
      <c r="G62" s="74">
        <f t="shared" si="1"/>
        <v>0</v>
      </c>
    </row>
    <row r="63" spans="1:7" ht="12.75">
      <c r="A63" s="107" t="s">
        <v>85</v>
      </c>
      <c r="B63" s="678"/>
      <c r="C63" s="679"/>
      <c r="D63" s="73" t="s">
        <v>81</v>
      </c>
      <c r="E63" s="24"/>
      <c r="F63" s="167"/>
      <c r="G63" s="74">
        <f t="shared" si="1"/>
        <v>0</v>
      </c>
    </row>
    <row r="64" spans="1:7" ht="12.75">
      <c r="A64" s="109" t="s">
        <v>145</v>
      </c>
      <c r="B64" s="77"/>
      <c r="C64" s="77"/>
      <c r="D64" s="75"/>
      <c r="E64" s="76"/>
      <c r="F64" s="168"/>
      <c r="G64" s="78">
        <f>SUM(G57:G63)</f>
        <v>19560</v>
      </c>
    </row>
    <row r="65" spans="1:7" ht="12.75">
      <c r="A65" s="109" t="s">
        <v>86</v>
      </c>
      <c r="B65" s="77"/>
      <c r="C65" s="77"/>
      <c r="D65" s="75"/>
      <c r="E65" s="76"/>
      <c r="F65" s="168"/>
      <c r="G65" s="78">
        <f>SUM(G66:G67)</f>
        <v>0</v>
      </c>
    </row>
    <row r="66" spans="1:7" s="63" customFormat="1" ht="12.75">
      <c r="A66" s="107" t="s">
        <v>87</v>
      </c>
      <c r="B66" s="54"/>
      <c r="C66" s="54"/>
      <c r="D66" s="73"/>
      <c r="E66" s="24"/>
      <c r="F66" s="167"/>
      <c r="G66" s="74"/>
    </row>
    <row r="67" spans="1:7" ht="12.75">
      <c r="A67" s="107" t="s">
        <v>20</v>
      </c>
      <c r="B67" s="54"/>
      <c r="C67" s="54"/>
      <c r="D67" s="73"/>
      <c r="E67" s="24"/>
      <c r="F67" s="167"/>
      <c r="G67" s="74"/>
    </row>
    <row r="68" spans="1:7" s="46" customFormat="1" ht="12.75">
      <c r="A68" s="109" t="s">
        <v>88</v>
      </c>
      <c r="B68" s="77"/>
      <c r="C68" s="77"/>
      <c r="D68" s="75"/>
      <c r="E68" s="76"/>
      <c r="F68" s="168"/>
      <c r="G68" s="78">
        <f>SUM(G69:G73)</f>
        <v>0</v>
      </c>
    </row>
    <row r="69" spans="1:7" s="46" customFormat="1" ht="12.75">
      <c r="A69" s="107" t="s">
        <v>89</v>
      </c>
      <c r="B69" s="54"/>
      <c r="C69" s="54"/>
      <c r="D69" s="73" t="s">
        <v>75</v>
      </c>
      <c r="E69" s="24"/>
      <c r="F69" s="167"/>
      <c r="G69" s="74">
        <f aca="true" t="shared" si="2" ref="G69:G75">F69*E69</f>
        <v>0</v>
      </c>
    </row>
    <row r="70" spans="1:7" ht="12.75">
      <c r="A70" s="107" t="s">
        <v>90</v>
      </c>
      <c r="B70" s="54"/>
      <c r="C70" s="54"/>
      <c r="D70" s="73" t="s">
        <v>75</v>
      </c>
      <c r="E70" s="24"/>
      <c r="F70" s="167"/>
      <c r="G70" s="74">
        <f t="shared" si="2"/>
        <v>0</v>
      </c>
    </row>
    <row r="71" spans="1:7" ht="12.75">
      <c r="A71" s="107" t="s">
        <v>91</v>
      </c>
      <c r="B71" s="54"/>
      <c r="C71" s="54"/>
      <c r="D71" s="73" t="s">
        <v>75</v>
      </c>
      <c r="E71" s="24"/>
      <c r="F71" s="167"/>
      <c r="G71" s="74">
        <f t="shared" si="2"/>
        <v>0</v>
      </c>
    </row>
    <row r="72" spans="1:7" ht="12.75">
      <c r="A72" s="107" t="s">
        <v>92</v>
      </c>
      <c r="B72" s="54"/>
      <c r="C72" s="54"/>
      <c r="D72" s="73" t="s">
        <v>75</v>
      </c>
      <c r="E72" s="24"/>
      <c r="F72" s="167"/>
      <c r="G72" s="74">
        <f t="shared" si="2"/>
        <v>0</v>
      </c>
    </row>
    <row r="73" spans="1:7" ht="13.5" customHeight="1">
      <c r="A73" s="107" t="s">
        <v>93</v>
      </c>
      <c r="B73" s="53"/>
      <c r="C73" s="53"/>
      <c r="D73" s="73" t="s">
        <v>75</v>
      </c>
      <c r="E73" s="24"/>
      <c r="F73" s="167"/>
      <c r="G73" s="74">
        <f t="shared" si="2"/>
        <v>0</v>
      </c>
    </row>
    <row r="74" spans="1:7" s="46" customFormat="1" ht="12.75">
      <c r="A74" s="109" t="s">
        <v>94</v>
      </c>
      <c r="B74" s="77"/>
      <c r="C74" s="77"/>
      <c r="D74" s="75"/>
      <c r="E74" s="76"/>
      <c r="F74" s="168"/>
      <c r="G74" s="74">
        <f t="shared" si="2"/>
        <v>0</v>
      </c>
    </row>
    <row r="75" spans="1:7" s="46" customFormat="1" ht="12.75">
      <c r="A75" s="17" t="s">
        <v>95</v>
      </c>
      <c r="B75" s="54"/>
      <c r="C75" s="54"/>
      <c r="D75" s="73" t="s">
        <v>96</v>
      </c>
      <c r="E75" s="24">
        <v>4</v>
      </c>
      <c r="F75" s="167">
        <f>'[4]Указания на 2016-2018 годы'!$D$537</f>
        <v>168</v>
      </c>
      <c r="G75" s="74">
        <f t="shared" si="2"/>
        <v>672</v>
      </c>
    </row>
    <row r="76" spans="1:7" ht="12.75">
      <c r="A76" s="17" t="s">
        <v>97</v>
      </c>
      <c r="B76" s="54"/>
      <c r="C76" s="54"/>
      <c r="D76" s="73" t="s">
        <v>98</v>
      </c>
      <c r="E76" s="24"/>
      <c r="F76" s="167"/>
      <c r="G76" s="74"/>
    </row>
    <row r="77" spans="1:7" ht="12.75">
      <c r="A77" s="111" t="s">
        <v>146</v>
      </c>
      <c r="B77" s="77"/>
      <c r="C77" s="77"/>
      <c r="D77" s="75"/>
      <c r="E77" s="76"/>
      <c r="F77" s="168"/>
      <c r="G77" s="78"/>
    </row>
    <row r="78" spans="1:7" ht="12.75">
      <c r="A78" s="17"/>
      <c r="B78" s="54"/>
      <c r="C78" s="54"/>
      <c r="D78" s="73"/>
      <c r="E78" s="24"/>
      <c r="F78" s="167"/>
      <c r="G78" s="74"/>
    </row>
    <row r="79" spans="1:7" s="46" customFormat="1" ht="13.5">
      <c r="A79" s="112" t="s">
        <v>99</v>
      </c>
      <c r="B79" s="91">
        <v>110700</v>
      </c>
      <c r="C79" s="91"/>
      <c r="D79" s="89"/>
      <c r="E79" s="90"/>
      <c r="F79" s="166"/>
      <c r="G79" s="92">
        <f>G81+G86+G87+G88+G92+G93+G94</f>
        <v>95804</v>
      </c>
    </row>
    <row r="80" spans="1:7" s="46" customFormat="1" ht="12.75">
      <c r="A80" s="107" t="s">
        <v>40</v>
      </c>
      <c r="B80" s="54"/>
      <c r="C80" s="54"/>
      <c r="D80" s="73"/>
      <c r="E80" s="24"/>
      <c r="F80" s="167"/>
      <c r="G80" s="74"/>
    </row>
    <row r="81" spans="1:7" s="46" customFormat="1" ht="12.75">
      <c r="A81" s="109" t="s">
        <v>100</v>
      </c>
      <c r="B81" s="77">
        <v>110700</v>
      </c>
      <c r="C81" s="77">
        <v>110710</v>
      </c>
      <c r="D81" s="75"/>
      <c r="E81" s="76"/>
      <c r="F81" s="168" t="s">
        <v>105</v>
      </c>
      <c r="G81" s="78">
        <f>SUM(G82:G85)</f>
        <v>0</v>
      </c>
    </row>
    <row r="82" spans="1:7" ht="12.75">
      <c r="A82" s="113" t="s">
        <v>101</v>
      </c>
      <c r="B82" s="54"/>
      <c r="C82" s="54"/>
      <c r="D82" s="73"/>
      <c r="E82" s="24"/>
      <c r="F82" s="167"/>
      <c r="G82" s="74"/>
    </row>
    <row r="83" spans="1:7" s="63" customFormat="1" ht="12.75">
      <c r="A83" s="113" t="s">
        <v>102</v>
      </c>
      <c r="B83" s="54"/>
      <c r="C83" s="54"/>
      <c r="D83" s="73"/>
      <c r="E83" s="24"/>
      <c r="F83" s="167"/>
      <c r="G83" s="74"/>
    </row>
    <row r="84" spans="1:7" s="63" customFormat="1" ht="12.75">
      <c r="A84" s="113" t="s">
        <v>12</v>
      </c>
      <c r="B84" s="54"/>
      <c r="C84" s="54"/>
      <c r="D84" s="73"/>
      <c r="E84" s="24"/>
      <c r="F84" s="167"/>
      <c r="G84" s="74"/>
    </row>
    <row r="85" spans="1:7" ht="12.75">
      <c r="A85" s="113"/>
      <c r="B85" s="54"/>
      <c r="C85" s="54"/>
      <c r="D85" s="73"/>
      <c r="E85" s="24"/>
      <c r="F85" s="167"/>
      <c r="G85" s="74"/>
    </row>
    <row r="86" spans="1:9" s="46" customFormat="1" ht="12.75">
      <c r="A86" s="109" t="s">
        <v>103</v>
      </c>
      <c r="B86" s="77">
        <v>110700</v>
      </c>
      <c r="C86" s="77">
        <v>110720</v>
      </c>
      <c r="D86" s="75" t="s">
        <v>104</v>
      </c>
      <c r="E86" s="76">
        <v>20.89</v>
      </c>
      <c r="F86" s="168">
        <f>'[4]Указания на 2016-2018 годы'!$D$193</f>
        <v>578.59</v>
      </c>
      <c r="G86" s="78">
        <f>E86*F86</f>
        <v>12087</v>
      </c>
      <c r="I86" s="524">
        <f>'[4]Указания на 2016-2018 годы'!$D$193</f>
        <v>579</v>
      </c>
    </row>
    <row r="87" spans="1:7" s="46" customFormat="1" ht="12.75">
      <c r="A87" s="109" t="s">
        <v>106</v>
      </c>
      <c r="B87" s="77">
        <v>110700</v>
      </c>
      <c r="C87" s="77">
        <v>110730</v>
      </c>
      <c r="D87" s="75" t="s">
        <v>107</v>
      </c>
      <c r="E87" s="76">
        <v>101065</v>
      </c>
      <c r="F87" s="168">
        <f>'[4]Указания на 2016-2018 годы'!$D$66</f>
        <v>0.57</v>
      </c>
      <c r="G87" s="78">
        <f aca="true" t="shared" si="3" ref="G87:G94">E87*F87</f>
        <v>57607</v>
      </c>
    </row>
    <row r="88" spans="1:7" s="46" customFormat="1" ht="12.75">
      <c r="A88" s="109" t="s">
        <v>108</v>
      </c>
      <c r="B88" s="77">
        <v>110700</v>
      </c>
      <c r="C88" s="77">
        <v>110740</v>
      </c>
      <c r="D88" s="75"/>
      <c r="E88" s="76"/>
      <c r="F88" s="168" t="s">
        <v>105</v>
      </c>
      <c r="G88" s="78">
        <f>G89+G90</f>
        <v>1989</v>
      </c>
    </row>
    <row r="89" spans="1:7" s="63" customFormat="1" ht="12.75">
      <c r="A89" s="107" t="s">
        <v>109</v>
      </c>
      <c r="B89" s="54"/>
      <c r="C89" s="54"/>
      <c r="D89" s="73" t="s">
        <v>110</v>
      </c>
      <c r="E89" s="24">
        <v>349</v>
      </c>
      <c r="F89" s="167">
        <f>'[4]Указания на 2016-2018 годы'!$D$464</f>
        <v>4.52</v>
      </c>
      <c r="G89" s="78">
        <f t="shared" si="3"/>
        <v>1577</v>
      </c>
    </row>
    <row r="90" spans="1:7" s="46" customFormat="1" ht="12.75">
      <c r="A90" s="107" t="s">
        <v>111</v>
      </c>
      <c r="B90" s="54"/>
      <c r="C90" s="54"/>
      <c r="D90" s="73" t="s">
        <v>110</v>
      </c>
      <c r="E90" s="24">
        <v>106</v>
      </c>
      <c r="F90" s="167">
        <f>'[4]Указания на 2016-2018 годы'!$D$470</f>
        <v>3.89</v>
      </c>
      <c r="G90" s="78">
        <f t="shared" si="3"/>
        <v>412</v>
      </c>
    </row>
    <row r="91" spans="1:7" s="46" customFormat="1" ht="12.75">
      <c r="A91" s="107" t="s">
        <v>112</v>
      </c>
      <c r="B91" s="54"/>
      <c r="C91" s="54"/>
      <c r="D91" s="73" t="s">
        <v>11</v>
      </c>
      <c r="E91" s="24"/>
      <c r="F91" s="167"/>
      <c r="G91" s="78">
        <f t="shared" si="3"/>
        <v>0</v>
      </c>
    </row>
    <row r="92" spans="1:7" s="46" customFormat="1" ht="12.75">
      <c r="A92" s="109" t="s">
        <v>113</v>
      </c>
      <c r="B92" s="77">
        <v>110700</v>
      </c>
      <c r="C92" s="77">
        <v>110750</v>
      </c>
      <c r="D92" s="75" t="s">
        <v>110</v>
      </c>
      <c r="E92" s="76"/>
      <c r="F92" s="168" t="s">
        <v>105</v>
      </c>
      <c r="G92" s="78"/>
    </row>
    <row r="93" spans="1:7" s="46" customFormat="1" ht="13.5" thickBot="1">
      <c r="A93" s="109" t="s">
        <v>114</v>
      </c>
      <c r="B93" s="77">
        <v>110700</v>
      </c>
      <c r="C93" s="77">
        <v>110760</v>
      </c>
      <c r="D93" s="75"/>
      <c r="E93" s="76"/>
      <c r="F93" s="168" t="s">
        <v>105</v>
      </c>
      <c r="G93" s="78"/>
    </row>
    <row r="94" spans="1:7" s="46" customFormat="1" ht="12.75">
      <c r="A94" s="97" t="s">
        <v>147</v>
      </c>
      <c r="B94" s="125">
        <v>110700</v>
      </c>
      <c r="C94" s="126">
        <v>110780</v>
      </c>
      <c r="D94" s="75"/>
      <c r="E94" s="76">
        <v>12.18</v>
      </c>
      <c r="F94" s="168">
        <f>'[4]Указания на 2016-2018 годы'!$D$166</f>
        <v>1980.36</v>
      </c>
      <c r="G94" s="78">
        <f t="shared" si="3"/>
        <v>24121</v>
      </c>
    </row>
    <row r="95" spans="1:7" s="46" customFormat="1" ht="12.75">
      <c r="A95" s="107" t="s">
        <v>115</v>
      </c>
      <c r="B95" s="54"/>
      <c r="C95" s="54"/>
      <c r="D95" s="73" t="s">
        <v>116</v>
      </c>
      <c r="E95" s="76"/>
      <c r="F95" s="167"/>
      <c r="G95" s="74">
        <f>SUM(G96:G99)</f>
        <v>0</v>
      </c>
    </row>
    <row r="96" spans="1:7" s="46" customFormat="1" ht="12.75">
      <c r="A96" s="107" t="s">
        <v>117</v>
      </c>
      <c r="B96" s="54"/>
      <c r="C96" s="54"/>
      <c r="D96" s="73" t="s">
        <v>116</v>
      </c>
      <c r="E96" s="80"/>
      <c r="F96" s="167"/>
      <c r="G96" s="74">
        <f>F96*E96</f>
        <v>0</v>
      </c>
    </row>
    <row r="97" spans="1:7" s="46" customFormat="1" ht="12.75">
      <c r="A97" s="107" t="s">
        <v>118</v>
      </c>
      <c r="B97" s="54"/>
      <c r="C97" s="54"/>
      <c r="D97" s="73" t="s">
        <v>116</v>
      </c>
      <c r="E97" s="80"/>
      <c r="F97" s="167"/>
      <c r="G97" s="74">
        <f>F97*E97</f>
        <v>0</v>
      </c>
    </row>
    <row r="98" spans="1:7" s="46" customFormat="1" ht="12.75">
      <c r="A98" s="107" t="s">
        <v>148</v>
      </c>
      <c r="B98" s="54"/>
      <c r="C98" s="54"/>
      <c r="D98" s="73" t="s">
        <v>116</v>
      </c>
      <c r="E98" s="80"/>
      <c r="F98" s="167"/>
      <c r="G98" s="74">
        <f>F98*E98</f>
        <v>0</v>
      </c>
    </row>
    <row r="99" spans="1:7" ht="12.75">
      <c r="A99" s="107" t="s">
        <v>119</v>
      </c>
      <c r="B99" s="54"/>
      <c r="C99" s="54"/>
      <c r="D99" s="73" t="s">
        <v>116</v>
      </c>
      <c r="E99" s="80"/>
      <c r="F99" s="167"/>
      <c r="G99" s="74">
        <f>F99*E99</f>
        <v>0</v>
      </c>
    </row>
    <row r="100" spans="1:7" ht="12.75">
      <c r="A100" s="107" t="s">
        <v>120</v>
      </c>
      <c r="B100" s="54"/>
      <c r="C100" s="54"/>
      <c r="D100" s="73" t="s">
        <v>121</v>
      </c>
      <c r="E100" s="24"/>
      <c r="F100" s="167"/>
      <c r="G100" s="74">
        <f>F100*E100</f>
        <v>0</v>
      </c>
    </row>
    <row r="101" spans="1:7" s="46" customFormat="1" ht="12.75">
      <c r="A101" s="114" t="s">
        <v>128</v>
      </c>
      <c r="B101" s="71"/>
      <c r="C101" s="71"/>
      <c r="D101" s="69"/>
      <c r="E101" s="70"/>
      <c r="F101" s="170"/>
      <c r="G101" s="72"/>
    </row>
    <row r="102" spans="1:7" s="46" customFormat="1" ht="27">
      <c r="A102" s="106" t="s">
        <v>149</v>
      </c>
      <c r="B102" s="91">
        <v>111000</v>
      </c>
      <c r="C102" s="91"/>
      <c r="D102" s="89"/>
      <c r="E102" s="90"/>
      <c r="F102" s="166"/>
      <c r="G102" s="92" t="e">
        <f>SUM(G104,G105,G106,G107)</f>
        <v>#REF!</v>
      </c>
    </row>
    <row r="103" spans="1:7" s="46" customFormat="1" ht="12.75">
      <c r="A103" s="107" t="s">
        <v>40</v>
      </c>
      <c r="B103" s="54"/>
      <c r="C103" s="54"/>
      <c r="D103" s="73"/>
      <c r="E103" s="24"/>
      <c r="F103" s="167"/>
      <c r="G103" s="74"/>
    </row>
    <row r="104" spans="1:7" s="46" customFormat="1" ht="12.75">
      <c r="A104" s="109" t="s">
        <v>150</v>
      </c>
      <c r="B104" s="77">
        <v>111000</v>
      </c>
      <c r="C104" s="77">
        <v>111010</v>
      </c>
      <c r="D104" s="75" t="s">
        <v>11</v>
      </c>
      <c r="E104" s="76"/>
      <c r="F104" s="168"/>
      <c r="G104" s="78"/>
    </row>
    <row r="105" spans="1:7" s="46" customFormat="1" ht="26.25">
      <c r="A105" s="115" t="s">
        <v>151</v>
      </c>
      <c r="B105" s="77">
        <v>111000</v>
      </c>
      <c r="C105" s="77">
        <v>111020</v>
      </c>
      <c r="D105" s="75" t="s">
        <v>11</v>
      </c>
      <c r="E105" s="76">
        <f>'оборудов. и инвент.'!F311</f>
        <v>822056.95</v>
      </c>
      <c r="F105" s="168">
        <v>0.05</v>
      </c>
      <c r="G105" s="78">
        <f>E105*F105</f>
        <v>41103</v>
      </c>
    </row>
    <row r="106" spans="1:7" s="46" customFormat="1" ht="12.75">
      <c r="A106" s="109" t="s">
        <v>152</v>
      </c>
      <c r="B106" s="77">
        <v>111000</v>
      </c>
      <c r="C106" s="77">
        <v>111030</v>
      </c>
      <c r="D106" s="75" t="s">
        <v>122</v>
      </c>
      <c r="E106" s="76">
        <f>'здания и сооружения'!F92</f>
        <v>8708.9</v>
      </c>
      <c r="F106" s="168">
        <f>'[4]Указания на 2016-2018 годы'!$D$790</f>
        <v>5.25</v>
      </c>
      <c r="G106" s="78">
        <f>F106*E106</f>
        <v>45722</v>
      </c>
    </row>
    <row r="107" spans="1:7" s="46" customFormat="1" ht="12.75">
      <c r="A107" s="109" t="s">
        <v>153</v>
      </c>
      <c r="B107" s="77">
        <v>111000</v>
      </c>
      <c r="C107" s="77">
        <v>111040</v>
      </c>
      <c r="D107" s="75" t="s">
        <v>11</v>
      </c>
      <c r="E107" s="100"/>
      <c r="F107" s="171"/>
      <c r="G107" s="101" t="e">
        <f>G109+G110+G111+G112+G113+G117+G118+G119+G120</f>
        <v>#REF!</v>
      </c>
    </row>
    <row r="108" spans="1:7" s="46" customFormat="1" ht="12.75">
      <c r="A108" s="107" t="s">
        <v>40</v>
      </c>
      <c r="B108" s="81"/>
      <c r="C108" s="81"/>
      <c r="D108" s="79"/>
      <c r="E108" s="81"/>
      <c r="F108" s="172"/>
      <c r="G108" s="82"/>
    </row>
    <row r="109" spans="1:7" s="46" customFormat="1" ht="12.75">
      <c r="A109" s="109" t="s">
        <v>155</v>
      </c>
      <c r="B109" s="77">
        <v>111000</v>
      </c>
      <c r="C109" s="77">
        <v>111041</v>
      </c>
      <c r="D109" s="75" t="s">
        <v>11</v>
      </c>
      <c r="E109" s="77"/>
      <c r="F109" s="168"/>
      <c r="G109" s="85"/>
    </row>
    <row r="110" spans="1:7" ht="12.75">
      <c r="A110" s="109" t="s">
        <v>154</v>
      </c>
      <c r="B110" s="77">
        <v>111000</v>
      </c>
      <c r="C110" s="77">
        <v>111042</v>
      </c>
      <c r="D110" s="75" t="s">
        <v>11</v>
      </c>
      <c r="E110" s="77">
        <v>4</v>
      </c>
      <c r="F110" s="168">
        <f>'[4]Указания на 2016-2018 годы'!$D$588</f>
        <v>1436.36</v>
      </c>
      <c r="G110" s="78">
        <f>E110*F110</f>
        <v>5745</v>
      </c>
    </row>
    <row r="111" spans="1:7" ht="39">
      <c r="A111" s="108" t="s">
        <v>249</v>
      </c>
      <c r="B111" s="77">
        <v>111000</v>
      </c>
      <c r="C111" s="77">
        <v>111044</v>
      </c>
      <c r="D111" s="75" t="s">
        <v>11</v>
      </c>
      <c r="E111" s="551" t="e">
        <f>#REF!-#REF!</f>
        <v>#REF!</v>
      </c>
      <c r="F111" s="168">
        <v>0.01</v>
      </c>
      <c r="G111" s="85" t="e">
        <f>E111*F111</f>
        <v>#REF!</v>
      </c>
    </row>
    <row r="112" spans="1:7" ht="12.75">
      <c r="A112" s="109" t="s">
        <v>156</v>
      </c>
      <c r="B112" s="77">
        <v>111000</v>
      </c>
      <c r="C112" s="77">
        <v>111045</v>
      </c>
      <c r="D112" s="75" t="s">
        <v>11</v>
      </c>
      <c r="E112" s="77"/>
      <c r="F112" s="168"/>
      <c r="G112" s="85"/>
    </row>
    <row r="113" spans="1:7" ht="12.75">
      <c r="A113" s="109" t="s">
        <v>157</v>
      </c>
      <c r="B113" s="77">
        <v>111000</v>
      </c>
      <c r="C113" s="77">
        <v>111047</v>
      </c>
      <c r="D113" s="75" t="s">
        <v>11</v>
      </c>
      <c r="E113" s="77"/>
      <c r="F113" s="168" t="s">
        <v>105</v>
      </c>
      <c r="G113" s="85">
        <f>SUM(G114:G116)</f>
        <v>0</v>
      </c>
    </row>
    <row r="114" spans="1:7" ht="12.75">
      <c r="A114" s="107" t="s">
        <v>123</v>
      </c>
      <c r="B114" s="54"/>
      <c r="C114" s="54"/>
      <c r="D114" s="73"/>
      <c r="E114" s="54"/>
      <c r="F114" s="167"/>
      <c r="G114" s="83"/>
    </row>
    <row r="115" spans="1:9" s="63" customFormat="1" ht="12.75">
      <c r="A115" s="107" t="s">
        <v>124</v>
      </c>
      <c r="B115" s="54"/>
      <c r="C115" s="54"/>
      <c r="D115" s="73"/>
      <c r="E115" s="54"/>
      <c r="F115" s="167"/>
      <c r="G115" s="83"/>
      <c r="I115" s="102"/>
    </row>
    <row r="116" spans="1:9" ht="12.75">
      <c r="A116" s="107" t="s">
        <v>125</v>
      </c>
      <c r="B116" s="54"/>
      <c r="C116" s="54"/>
      <c r="D116" s="73"/>
      <c r="E116" s="54"/>
      <c r="F116" s="167"/>
      <c r="G116" s="83"/>
      <c r="I116" s="3"/>
    </row>
    <row r="117" spans="1:7" s="46" customFormat="1" ht="12.75">
      <c r="A117" s="109" t="s">
        <v>158</v>
      </c>
      <c r="B117" s="77">
        <v>111000</v>
      </c>
      <c r="C117" s="77">
        <v>111050</v>
      </c>
      <c r="D117" s="75" t="s">
        <v>11</v>
      </c>
      <c r="E117" s="77"/>
      <c r="F117" s="168"/>
      <c r="G117" s="85"/>
    </row>
    <row r="118" spans="1:7" s="46" customFormat="1" ht="12.75">
      <c r="A118" s="109" t="s">
        <v>159</v>
      </c>
      <c r="B118" s="77">
        <v>111000</v>
      </c>
      <c r="C118" s="77">
        <v>111051</v>
      </c>
      <c r="D118" s="75" t="s">
        <v>11</v>
      </c>
      <c r="E118" s="77"/>
      <c r="F118" s="168"/>
      <c r="G118" s="85"/>
    </row>
    <row r="119" spans="1:7" s="46" customFormat="1" ht="12.75">
      <c r="A119" s="109" t="s">
        <v>160</v>
      </c>
      <c r="B119" s="77">
        <v>111000</v>
      </c>
      <c r="C119" s="77">
        <v>111055</v>
      </c>
      <c r="D119" s="75" t="s">
        <v>11</v>
      </c>
      <c r="E119" s="77"/>
      <c r="F119" s="168"/>
      <c r="G119" s="85"/>
    </row>
    <row r="120" spans="1:7" s="46" customFormat="1" ht="12.75">
      <c r="A120" s="109" t="s">
        <v>161</v>
      </c>
      <c r="B120" s="77">
        <v>111000</v>
      </c>
      <c r="C120" s="77">
        <v>111070</v>
      </c>
      <c r="D120" s="75" t="s">
        <v>11</v>
      </c>
      <c r="E120" s="77"/>
      <c r="F120" s="168"/>
      <c r="G120" s="85">
        <f>SUM(G122:G125)</f>
        <v>0</v>
      </c>
    </row>
    <row r="121" spans="1:7" ht="12.75">
      <c r="A121" s="107" t="s">
        <v>40</v>
      </c>
      <c r="B121" s="54"/>
      <c r="C121" s="54"/>
      <c r="D121" s="75"/>
      <c r="E121" s="54"/>
      <c r="F121" s="167"/>
      <c r="G121" s="83">
        <f>SUM(G122:G125)</f>
        <v>0</v>
      </c>
    </row>
    <row r="122" spans="1:7" ht="12.75">
      <c r="A122" s="116"/>
      <c r="B122" s="54"/>
      <c r="C122" s="54"/>
      <c r="D122" s="121"/>
      <c r="E122" s="55"/>
      <c r="F122" s="173"/>
      <c r="G122" s="84"/>
    </row>
    <row r="123" spans="1:7" ht="12.75">
      <c r="A123" s="116"/>
      <c r="B123" s="54"/>
      <c r="C123" s="54"/>
      <c r="D123" s="121"/>
      <c r="E123" s="55"/>
      <c r="F123" s="173"/>
      <c r="G123" s="84"/>
    </row>
    <row r="124" spans="1:7" ht="12.75">
      <c r="A124" s="113"/>
      <c r="B124" s="54"/>
      <c r="C124" s="54"/>
      <c r="D124" s="121"/>
      <c r="E124" s="55"/>
      <c r="F124" s="173"/>
      <c r="G124" s="84"/>
    </row>
    <row r="125" spans="1:7" ht="12.75">
      <c r="A125" s="113"/>
      <c r="B125" s="54"/>
      <c r="C125" s="54"/>
      <c r="D125" s="121"/>
      <c r="E125" s="55"/>
      <c r="F125" s="173"/>
      <c r="G125" s="84"/>
    </row>
    <row r="126" spans="1:7" ht="13.5">
      <c r="A126" s="110" t="s">
        <v>167</v>
      </c>
      <c r="B126" s="91">
        <v>130000</v>
      </c>
      <c r="C126" s="91"/>
      <c r="D126" s="122"/>
      <c r="E126" s="103"/>
      <c r="F126" s="174"/>
      <c r="G126" s="104">
        <f>SUM(G132,G148,G160)</f>
        <v>0</v>
      </c>
    </row>
    <row r="127" spans="1:7" s="46" customFormat="1" ht="26.25">
      <c r="A127" s="108" t="s">
        <v>163</v>
      </c>
      <c r="B127" s="77">
        <v>130000</v>
      </c>
      <c r="C127" s="77">
        <v>130410</v>
      </c>
      <c r="D127" s="75"/>
      <c r="E127" s="77"/>
      <c r="F127" s="168"/>
      <c r="G127" s="85"/>
    </row>
    <row r="128" spans="1:7" s="46" customFormat="1" ht="26.25">
      <c r="A128" s="117" t="s">
        <v>162</v>
      </c>
      <c r="B128" s="127">
        <v>130000</v>
      </c>
      <c r="C128" s="127">
        <v>130540</v>
      </c>
      <c r="D128" s="75"/>
      <c r="E128" s="77"/>
      <c r="F128" s="168"/>
      <c r="G128" s="85"/>
    </row>
    <row r="129" spans="1:7" s="46" customFormat="1" ht="12.75">
      <c r="A129" s="109" t="s">
        <v>164</v>
      </c>
      <c r="B129" s="77">
        <v>130000</v>
      </c>
      <c r="C129" s="77">
        <v>130650</v>
      </c>
      <c r="D129" s="123"/>
      <c r="E129" s="100"/>
      <c r="F129" s="171"/>
      <c r="G129" s="101" t="e">
        <f>SUM(G132:G145)</f>
        <v>#REF!</v>
      </c>
    </row>
    <row r="130" spans="1:7" ht="12.75">
      <c r="A130" s="107" t="s">
        <v>40</v>
      </c>
      <c r="B130" s="54"/>
      <c r="C130" s="54"/>
      <c r="D130" s="73"/>
      <c r="E130" s="54"/>
      <c r="F130" s="167"/>
      <c r="G130" s="83"/>
    </row>
    <row r="131" spans="1:7" ht="12.75">
      <c r="A131" s="107"/>
      <c r="B131" s="54"/>
      <c r="C131" s="54"/>
      <c r="D131" s="73"/>
      <c r="E131" s="54"/>
      <c r="F131" s="167"/>
      <c r="G131" s="83"/>
    </row>
    <row r="132" spans="1:7" ht="12.75">
      <c r="A132" s="107"/>
      <c r="B132" s="54"/>
      <c r="C132" s="54"/>
      <c r="D132" s="73"/>
      <c r="E132" s="54"/>
      <c r="F132" s="167"/>
      <c r="G132" s="83"/>
    </row>
    <row r="133" spans="1:7" ht="12.75">
      <c r="A133" s="107"/>
      <c r="B133" s="54"/>
      <c r="C133" s="54"/>
      <c r="D133" s="73"/>
      <c r="E133" s="54"/>
      <c r="F133" s="167"/>
      <c r="G133" s="83"/>
    </row>
    <row r="134" spans="1:7" ht="12.75">
      <c r="A134" s="107"/>
      <c r="B134" s="54"/>
      <c r="C134" s="54"/>
      <c r="D134" s="73"/>
      <c r="E134" s="54"/>
      <c r="F134" s="167"/>
      <c r="G134" s="83"/>
    </row>
    <row r="135" spans="1:7" ht="12.75">
      <c r="A135" s="107"/>
      <c r="B135" s="54"/>
      <c r="C135" s="54"/>
      <c r="D135" s="73"/>
      <c r="E135" s="54"/>
      <c r="F135" s="167"/>
      <c r="G135" s="83"/>
    </row>
    <row r="136" spans="1:7" ht="12.75">
      <c r="A136" s="8"/>
      <c r="B136" s="9"/>
      <c r="C136" s="9"/>
      <c r="D136" s="73"/>
      <c r="E136" s="54"/>
      <c r="F136" s="167"/>
      <c r="G136" s="83"/>
    </row>
    <row r="137" spans="1:7" ht="12.75">
      <c r="A137" s="118" t="s">
        <v>165</v>
      </c>
      <c r="B137" s="77">
        <v>130000</v>
      </c>
      <c r="C137" s="77">
        <v>130660</v>
      </c>
      <c r="D137" s="75"/>
      <c r="E137" s="77"/>
      <c r="F137" s="168"/>
      <c r="G137" s="85">
        <f>SUM(G138)</f>
        <v>0</v>
      </c>
    </row>
    <row r="138" spans="1:7" ht="12.75">
      <c r="A138" s="107" t="s">
        <v>126</v>
      </c>
      <c r="B138" s="54"/>
      <c r="C138" s="54"/>
      <c r="D138" s="73"/>
      <c r="E138" s="54"/>
      <c r="F138" s="167"/>
      <c r="G138" s="83"/>
    </row>
    <row r="139" spans="1:7" ht="12.75">
      <c r="A139" s="107"/>
      <c r="B139" s="54"/>
      <c r="C139" s="54"/>
      <c r="D139" s="73"/>
      <c r="E139" s="54"/>
      <c r="F139" s="167"/>
      <c r="G139" s="83"/>
    </row>
    <row r="140" spans="1:7" ht="12.75">
      <c r="A140" s="107"/>
      <c r="B140" s="54"/>
      <c r="C140" s="54"/>
      <c r="D140" s="73"/>
      <c r="E140" s="54"/>
      <c r="F140" s="167"/>
      <c r="G140" s="83"/>
    </row>
    <row r="141" spans="1:7" ht="12.75">
      <c r="A141" s="107"/>
      <c r="B141" s="54"/>
      <c r="C141" s="54"/>
      <c r="D141" s="73"/>
      <c r="E141" s="54"/>
      <c r="F141" s="167"/>
      <c r="G141" s="83"/>
    </row>
    <row r="142" spans="1:7" ht="12.75">
      <c r="A142" s="107"/>
      <c r="B142" s="54"/>
      <c r="C142" s="54"/>
      <c r="D142" s="73"/>
      <c r="E142" s="54"/>
      <c r="F142" s="167"/>
      <c r="G142" s="83"/>
    </row>
    <row r="143" spans="1:7" s="63" customFormat="1" ht="12.75">
      <c r="A143" s="114" t="s">
        <v>128</v>
      </c>
      <c r="B143" s="71"/>
      <c r="C143" s="71"/>
      <c r="D143" s="69"/>
      <c r="E143" s="71"/>
      <c r="F143" s="170"/>
      <c r="G143" s="86"/>
    </row>
    <row r="144" spans="1:7" s="63" customFormat="1" ht="41.25">
      <c r="A144" s="106" t="s">
        <v>166</v>
      </c>
      <c r="B144" s="91">
        <v>240100</v>
      </c>
      <c r="C144" s="91"/>
      <c r="D144" s="89"/>
      <c r="E144" s="91"/>
      <c r="F144" s="166"/>
      <c r="G144" s="105" t="e">
        <f>G146</f>
        <v>#REF!</v>
      </c>
    </row>
    <row r="145" spans="1:7" ht="12.75">
      <c r="A145" s="107" t="s">
        <v>40</v>
      </c>
      <c r="B145" s="54"/>
      <c r="C145" s="54"/>
      <c r="D145" s="73"/>
      <c r="E145" s="54"/>
      <c r="F145" s="167"/>
      <c r="G145" s="105">
        <f>G147</f>
        <v>0</v>
      </c>
    </row>
    <row r="146" spans="1:7" s="46" customFormat="1" ht="68.25" customHeight="1">
      <c r="A146" s="119" t="s">
        <v>248</v>
      </c>
      <c r="B146" s="77">
        <v>240100</v>
      </c>
      <c r="C146" s="77">
        <v>240120</v>
      </c>
      <c r="D146" s="75"/>
      <c r="E146" s="551" t="e">
        <f>#REF!-#REF!</f>
        <v>#REF!</v>
      </c>
      <c r="F146" s="168" t="s">
        <v>15</v>
      </c>
      <c r="G146" s="105" t="e">
        <f>E146*F146</f>
        <v>#REF!</v>
      </c>
    </row>
    <row r="147" spans="1:7" ht="12.75">
      <c r="A147" s="8"/>
      <c r="B147" s="11"/>
      <c r="C147" s="226"/>
      <c r="D147" s="96"/>
      <c r="E147" s="9"/>
      <c r="F147" s="175"/>
      <c r="G147" s="105">
        <f>G149</f>
        <v>0</v>
      </c>
    </row>
    <row r="148" spans="1:7" ht="13.5" thickBot="1">
      <c r="A148" s="120"/>
      <c r="B148" s="19"/>
      <c r="C148" s="629"/>
      <c r="D148" s="41"/>
      <c r="E148" s="10"/>
      <c r="F148" s="176"/>
      <c r="G148" s="87"/>
    </row>
    <row r="149" spans="1:7" ht="12.75">
      <c r="A149" s="12"/>
      <c r="B149" s="293"/>
      <c r="C149" s="402"/>
      <c r="D149" s="124"/>
      <c r="E149" s="7"/>
      <c r="F149" s="177"/>
      <c r="G149" s="88"/>
    </row>
    <row r="150" spans="1:7" ht="12.75">
      <c r="A150" s="50" t="s">
        <v>127</v>
      </c>
      <c r="B150" s="22"/>
      <c r="C150" s="53"/>
      <c r="D150" s="60"/>
      <c r="E150" s="50"/>
      <c r="F150" s="164"/>
      <c r="G150" s="623" t="e">
        <f>G11+G41+G46+G48+G79+G102+G126+G144+1</f>
        <v>#REF!</v>
      </c>
    </row>
    <row r="151" spans="1:7" ht="12.75">
      <c r="A151" s="37" t="s">
        <v>1109</v>
      </c>
      <c r="B151" s="15"/>
      <c r="C151" s="54"/>
      <c r="D151" s="73"/>
      <c r="E151" s="54"/>
      <c r="F151" s="167"/>
      <c r="G151" s="625">
        <f>мобилизация!I45</f>
        <v>1931663</v>
      </c>
    </row>
    <row r="152" spans="1:7" ht="13.5" thickBot="1">
      <c r="A152" s="20" t="s">
        <v>1110</v>
      </c>
      <c r="B152" s="627"/>
      <c r="C152" s="21"/>
      <c r="D152" s="628"/>
      <c r="E152" s="21"/>
      <c r="F152" s="624"/>
      <c r="G152" s="626" t="e">
        <f>G150-G151</f>
        <v>#REF!</v>
      </c>
    </row>
    <row r="153" spans="1:7" ht="12.75">
      <c r="A153" s="3"/>
      <c r="B153" s="29"/>
      <c r="C153" s="29"/>
      <c r="D153" s="29"/>
      <c r="E153" s="29"/>
      <c r="F153" s="178"/>
      <c r="G153" s="65"/>
    </row>
    <row r="154" spans="1:7" ht="12.75">
      <c r="A154" s="3"/>
      <c r="B154" s="29"/>
      <c r="C154" s="29"/>
      <c r="D154" s="29"/>
      <c r="E154" s="29"/>
      <c r="F154" s="178"/>
      <c r="G154" s="65"/>
    </row>
    <row r="155" spans="1:7" ht="12.75">
      <c r="A155" s="3"/>
      <c r="B155" s="29"/>
      <c r="C155" s="29"/>
      <c r="D155" s="29"/>
      <c r="E155" s="29"/>
      <c r="F155" s="178"/>
      <c r="G155" s="65"/>
    </row>
    <row r="156" spans="1:7" ht="12.75">
      <c r="A156" s="3"/>
      <c r="B156" s="29"/>
      <c r="C156" s="29"/>
      <c r="D156" s="29"/>
      <c r="E156" s="29"/>
      <c r="F156" s="178"/>
      <c r="G156" s="65"/>
    </row>
    <row r="157" spans="1:3" ht="12.75">
      <c r="A157" s="1" t="s">
        <v>8</v>
      </c>
      <c r="B157" s="1"/>
      <c r="C157" s="1"/>
    </row>
    <row r="158" spans="2:3" ht="12.75">
      <c r="B158" s="1"/>
      <c r="C158" s="1"/>
    </row>
    <row r="159" spans="1:6" s="46" customFormat="1" ht="12.75">
      <c r="A159" s="1" t="s">
        <v>24</v>
      </c>
      <c r="B159" s="1"/>
      <c r="C159" s="1"/>
      <c r="D159" s="1"/>
      <c r="F159" s="179"/>
    </row>
    <row r="160" spans="1:6" s="66" customFormat="1" ht="12.75">
      <c r="A160" s="1"/>
      <c r="B160" s="1"/>
      <c r="C160" s="1"/>
      <c r="D160" s="1"/>
      <c r="F160" s="180"/>
    </row>
    <row r="161" spans="2:6" s="46" customFormat="1" ht="12.75">
      <c r="B161" s="98"/>
      <c r="C161" s="98"/>
      <c r="F161" s="179"/>
    </row>
    <row r="163" spans="1:4" s="190" customFormat="1" ht="15">
      <c r="A163" s="25"/>
      <c r="B163" s="189"/>
      <c r="C163" s="189"/>
      <c r="D163" s="189"/>
    </row>
    <row r="164" spans="1:4" s="190" customFormat="1" ht="15">
      <c r="A164" s="673"/>
      <c r="B164" s="673"/>
      <c r="C164" s="673"/>
      <c r="D164" s="673"/>
    </row>
    <row r="165" spans="2:6" s="66" customFormat="1" ht="12.75">
      <c r="B165" s="99"/>
      <c r="C165" s="99"/>
      <c r="F165" s="180"/>
    </row>
  </sheetData>
  <sheetProtection/>
  <mergeCells count="11">
    <mergeCell ref="A164:D164"/>
    <mergeCell ref="B59:C63"/>
    <mergeCell ref="B7:C7"/>
    <mergeCell ref="B8:C8"/>
    <mergeCell ref="B9:B10"/>
    <mergeCell ref="C9:C10"/>
    <mergeCell ref="A5:G5"/>
    <mergeCell ref="A2:G2"/>
    <mergeCell ref="A3:G3"/>
    <mergeCell ref="B57:C57"/>
    <mergeCell ref="A4:G4"/>
  </mergeCells>
  <printOptions horizontalCentered="1"/>
  <pageMargins left="0.3937007874015748" right="0" top="0.3937007874015748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G20" sqref="G20"/>
    </sheetView>
  </sheetViews>
  <sheetFormatPr defaultColWidth="9.125" defaultRowHeight="12.75"/>
  <cols>
    <col min="1" max="1" width="7.125" style="131" customWidth="1"/>
    <col min="2" max="2" width="59.125" style="132" customWidth="1"/>
    <col min="3" max="3" width="18.625" style="135" customWidth="1"/>
    <col min="4" max="4" width="9.125" style="132" customWidth="1"/>
    <col min="5" max="5" width="10.125" style="132" bestFit="1" customWidth="1"/>
    <col min="6" max="6" width="11.875" style="132" bestFit="1" customWidth="1"/>
    <col min="7" max="16384" width="9.125" style="132" customWidth="1"/>
  </cols>
  <sheetData>
    <row r="1" ht="15">
      <c r="C1" s="1" t="s">
        <v>209</v>
      </c>
    </row>
    <row r="2" spans="2:3" ht="15">
      <c r="B2" s="131" t="s">
        <v>172</v>
      </c>
      <c r="C2" s="133"/>
    </row>
    <row r="3" spans="2:3" ht="15">
      <c r="B3" s="684" t="s">
        <v>173</v>
      </c>
      <c r="C3" s="684"/>
    </row>
    <row r="4" spans="1:7" ht="15">
      <c r="A4" s="132"/>
      <c r="B4" s="2" t="s">
        <v>261</v>
      </c>
      <c r="C4" s="2"/>
      <c r="D4" s="2"/>
      <c r="E4" s="2"/>
      <c r="F4" s="2"/>
      <c r="G4" s="2"/>
    </row>
    <row r="5" spans="1:7" ht="15">
      <c r="A5" s="132"/>
      <c r="B5" s="2" t="s">
        <v>469</v>
      </c>
      <c r="C5" s="2"/>
      <c r="D5" s="2"/>
      <c r="E5" s="2"/>
      <c r="F5" s="2"/>
      <c r="G5" s="2"/>
    </row>
    <row r="6" spans="1:7" ht="15">
      <c r="A6" s="141" t="s">
        <v>171</v>
      </c>
      <c r="B6" s="2"/>
      <c r="C6" s="2"/>
      <c r="D6" s="2"/>
      <c r="E6" s="2"/>
      <c r="F6" s="2"/>
      <c r="G6" s="2"/>
    </row>
    <row r="7" spans="2:3" ht="15">
      <c r="B7" s="134"/>
      <c r="C7" s="134"/>
    </row>
    <row r="8" ht="15.75" thickBot="1"/>
    <row r="9" spans="1:3" ht="15.75" thickBot="1">
      <c r="A9" s="136" t="s">
        <v>174</v>
      </c>
      <c r="B9" s="600" t="s">
        <v>175</v>
      </c>
      <c r="C9" s="137"/>
    </row>
    <row r="10" spans="1:3" ht="15">
      <c r="A10" s="604"/>
      <c r="B10" s="601"/>
      <c r="C10" s="138"/>
    </row>
    <row r="11" spans="1:3" ht="15">
      <c r="A11" s="605">
        <v>1</v>
      </c>
      <c r="B11" s="516" t="s">
        <v>176</v>
      </c>
      <c r="C11" s="139"/>
    </row>
    <row r="12" spans="1:3" ht="15">
      <c r="A12" s="604"/>
      <c r="B12" s="602"/>
      <c r="C12" s="140"/>
    </row>
    <row r="13" spans="1:3" ht="15">
      <c r="A13" s="605">
        <v>2</v>
      </c>
      <c r="B13" s="516" t="s">
        <v>177</v>
      </c>
      <c r="C13" s="139"/>
    </row>
    <row r="14" spans="1:3" ht="15">
      <c r="A14" s="604"/>
      <c r="B14" s="602"/>
      <c r="C14" s="140"/>
    </row>
    <row r="15" spans="1:3" ht="15">
      <c r="A15" s="605">
        <v>3</v>
      </c>
      <c r="B15" s="516" t="s">
        <v>216</v>
      </c>
      <c r="C15" s="512" t="e">
        <f>бензин!J36+#REF!</f>
        <v>#REF!</v>
      </c>
    </row>
    <row r="16" spans="1:3" ht="15">
      <c r="A16" s="604"/>
      <c r="B16" s="602"/>
      <c r="C16" s="140"/>
    </row>
    <row r="17" spans="1:3" ht="15">
      <c r="A17" s="605">
        <v>4</v>
      </c>
      <c r="B17" s="516" t="s">
        <v>178</v>
      </c>
      <c r="C17" s="512" t="e">
        <f>бензин!L36+#REF!</f>
        <v>#REF!</v>
      </c>
    </row>
    <row r="18" spans="1:3" ht="15">
      <c r="A18" s="604"/>
      <c r="B18" s="602"/>
      <c r="C18" s="140"/>
    </row>
    <row r="19" spans="1:3" ht="15">
      <c r="A19" s="605">
        <v>5</v>
      </c>
      <c r="B19" s="516" t="s">
        <v>258</v>
      </c>
      <c r="C19" s="512" t="e">
        <f>'расчет масла'!E32+#REF!</f>
        <v>#REF!</v>
      </c>
    </row>
    <row r="20" spans="1:3" ht="15">
      <c r="A20" s="604"/>
      <c r="B20" s="602"/>
      <c r="C20" s="140"/>
    </row>
    <row r="21" spans="1:3" ht="15">
      <c r="A21" s="605">
        <v>6</v>
      </c>
      <c r="B21" s="516" t="s">
        <v>218</v>
      </c>
      <c r="C21" s="539">
        <v>12084.55</v>
      </c>
    </row>
    <row r="22" spans="1:3" ht="15">
      <c r="A22" s="604"/>
      <c r="B22" s="602"/>
      <c r="C22" s="140"/>
    </row>
    <row r="23" spans="1:3" ht="15.75" thickBot="1">
      <c r="A23" s="605">
        <v>7</v>
      </c>
      <c r="B23" s="516" t="s">
        <v>179</v>
      </c>
      <c r="C23" s="517" t="e">
        <f>'расчет масла'!G32+#REF!</f>
        <v>#REF!</v>
      </c>
    </row>
    <row r="24" spans="1:3" ht="15">
      <c r="A24" s="606"/>
      <c r="B24" s="515"/>
      <c r="C24" s="138"/>
    </row>
    <row r="25" spans="1:3" ht="15">
      <c r="A25" s="605">
        <v>8</v>
      </c>
      <c r="B25" s="229" t="s">
        <v>420</v>
      </c>
      <c r="C25" s="513" t="e">
        <f>бензин!J43+бензин!J60+#REF!</f>
        <v>#REF!</v>
      </c>
    </row>
    <row r="26" spans="1:3" ht="15">
      <c r="A26" s="606"/>
      <c r="B26" s="515"/>
      <c r="C26" s="511"/>
    </row>
    <row r="27" spans="1:3" ht="15">
      <c r="A27" s="605">
        <v>9</v>
      </c>
      <c r="B27" s="229" t="s">
        <v>421</v>
      </c>
      <c r="C27" s="512" t="e">
        <f>бензин!L61+#REF!</f>
        <v>#REF!</v>
      </c>
    </row>
    <row r="28" spans="1:3" ht="15">
      <c r="A28" s="606"/>
      <c r="B28" s="515"/>
      <c r="C28" s="511"/>
    </row>
    <row r="29" spans="1:3" ht="15">
      <c r="A29" s="605">
        <v>10</v>
      </c>
      <c r="B29" s="229" t="s">
        <v>422</v>
      </c>
      <c r="C29" s="513" t="e">
        <f>'расчет масла'!E57+#REF!</f>
        <v>#REF!</v>
      </c>
    </row>
    <row r="30" spans="1:3" ht="15">
      <c r="A30" s="606"/>
      <c r="B30" s="515"/>
      <c r="C30" s="511"/>
    </row>
    <row r="31" spans="1:3" ht="15">
      <c r="A31" s="605">
        <v>11</v>
      </c>
      <c r="B31" s="516" t="s">
        <v>423</v>
      </c>
      <c r="C31" s="512" t="e">
        <f>'расчет масла'!G57+#REF!</f>
        <v>#REF!</v>
      </c>
    </row>
    <row r="32" spans="1:3" ht="15">
      <c r="A32" s="604"/>
      <c r="B32" s="506"/>
      <c r="C32" s="140"/>
    </row>
    <row r="33" spans="1:3" ht="15.75" thickBot="1">
      <c r="A33" s="605">
        <v>12</v>
      </c>
      <c r="B33" s="229" t="s">
        <v>180</v>
      </c>
      <c r="C33" s="514">
        <f>'расчет текущего ремонта'!E40</f>
        <v>186633.05</v>
      </c>
    </row>
    <row r="34" spans="1:3" ht="15.75" thickBot="1">
      <c r="A34" s="604"/>
      <c r="B34" s="602"/>
      <c r="C34" s="140"/>
    </row>
    <row r="35" spans="1:6" ht="15.75" thickBot="1">
      <c r="A35" s="136"/>
      <c r="B35" s="603" t="s">
        <v>181</v>
      </c>
      <c r="C35" s="518" t="e">
        <f>C17+C23+C27+C31+C33</f>
        <v>#REF!</v>
      </c>
      <c r="F35" s="528"/>
    </row>
    <row r="38" ht="15">
      <c r="B38" s="132" t="s">
        <v>182</v>
      </c>
    </row>
    <row r="40" ht="15">
      <c r="B40" s="3" t="s">
        <v>217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O64" sqref="O64"/>
    </sheetView>
  </sheetViews>
  <sheetFormatPr defaultColWidth="9.125" defaultRowHeight="12.75"/>
  <cols>
    <col min="1" max="1" width="3.50390625" style="3" bestFit="1" customWidth="1"/>
    <col min="2" max="2" width="19.125" style="3" customWidth="1"/>
    <col min="3" max="3" width="13.125" style="3" customWidth="1"/>
    <col min="4" max="5" width="7.50390625" style="3" bestFit="1" customWidth="1"/>
    <col min="6" max="6" width="10.50390625" style="3" bestFit="1" customWidth="1"/>
    <col min="7" max="7" width="11.125" style="3" bestFit="1" customWidth="1"/>
    <col min="8" max="9" width="14.875" style="3" bestFit="1" customWidth="1"/>
    <col min="10" max="10" width="12.50390625" style="3" bestFit="1" customWidth="1"/>
    <col min="11" max="11" width="8.875" style="3" customWidth="1"/>
    <col min="12" max="12" width="11.125" style="3" customWidth="1"/>
    <col min="13" max="16384" width="9.125" style="3" customWidth="1"/>
  </cols>
  <sheetData>
    <row r="1" ht="12.75">
      <c r="J1" s="1" t="s">
        <v>212</v>
      </c>
    </row>
    <row r="2" spans="1:2" ht="12.75">
      <c r="A2" s="58"/>
      <c r="B2" s="142"/>
    </row>
    <row r="3" spans="1:3" ht="12.75">
      <c r="A3" s="58"/>
      <c r="C3" s="142" t="s">
        <v>262</v>
      </c>
    </row>
    <row r="4" spans="1:2" ht="12.75">
      <c r="A4" s="58"/>
      <c r="B4" s="58" t="s">
        <v>183</v>
      </c>
    </row>
    <row r="5" spans="1:2" ht="13.5" thickBot="1">
      <c r="A5" s="58"/>
      <c r="B5" s="58"/>
    </row>
    <row r="6" spans="1:12" s="29" customFormat="1" ht="12.75">
      <c r="A6" s="7" t="s">
        <v>184</v>
      </c>
      <c r="B6" s="64" t="s">
        <v>185</v>
      </c>
      <c r="C6" s="7" t="s">
        <v>186</v>
      </c>
      <c r="D6" s="157" t="s">
        <v>187</v>
      </c>
      <c r="E6" s="158" t="s">
        <v>185</v>
      </c>
      <c r="F6" s="64" t="s">
        <v>188</v>
      </c>
      <c r="G6" s="7" t="s">
        <v>188</v>
      </c>
      <c r="H6" s="64" t="s">
        <v>189</v>
      </c>
      <c r="I6" s="7" t="s">
        <v>189</v>
      </c>
      <c r="J6" s="64" t="s">
        <v>190</v>
      </c>
      <c r="K6" s="7" t="s">
        <v>191</v>
      </c>
      <c r="L6" s="7" t="s">
        <v>22</v>
      </c>
    </row>
    <row r="7" spans="1:12" s="29" customFormat="1" ht="12.75">
      <c r="A7" s="9" t="s">
        <v>192</v>
      </c>
      <c r="B7" s="29" t="s">
        <v>193</v>
      </c>
      <c r="C7" s="9" t="s">
        <v>194</v>
      </c>
      <c r="D7" s="29" t="s">
        <v>195</v>
      </c>
      <c r="E7" s="9" t="s">
        <v>196</v>
      </c>
      <c r="F7" s="29" t="s">
        <v>197</v>
      </c>
      <c r="G7" s="9" t="s">
        <v>197</v>
      </c>
      <c r="H7" s="29" t="s">
        <v>198</v>
      </c>
      <c r="I7" s="9" t="s">
        <v>198</v>
      </c>
      <c r="J7" s="29" t="s">
        <v>199</v>
      </c>
      <c r="K7" s="9" t="s">
        <v>200</v>
      </c>
      <c r="L7" s="9" t="s">
        <v>201</v>
      </c>
    </row>
    <row r="8" spans="1:12" s="29" customFormat="1" ht="12.75">
      <c r="A8" s="9"/>
      <c r="C8" s="9" t="s">
        <v>202</v>
      </c>
      <c r="D8" s="29" t="s">
        <v>203</v>
      </c>
      <c r="E8" s="9"/>
      <c r="F8" s="29" t="s">
        <v>204</v>
      </c>
      <c r="G8" s="9" t="s">
        <v>205</v>
      </c>
      <c r="H8" s="29" t="s">
        <v>206</v>
      </c>
      <c r="I8" s="9" t="s">
        <v>207</v>
      </c>
      <c r="J8" s="29" t="s">
        <v>213</v>
      </c>
      <c r="K8" s="9" t="s">
        <v>215</v>
      </c>
      <c r="L8" s="9" t="s">
        <v>51</v>
      </c>
    </row>
    <row r="9" spans="1:12" ht="13.5" thickBot="1">
      <c r="A9" s="10"/>
      <c r="B9" s="40"/>
      <c r="C9" s="13"/>
      <c r="D9" s="34" t="s">
        <v>235</v>
      </c>
      <c r="E9" s="13"/>
      <c r="F9" s="34" t="s">
        <v>208</v>
      </c>
      <c r="G9" s="10" t="s">
        <v>208</v>
      </c>
      <c r="H9" s="159" t="s">
        <v>259</v>
      </c>
      <c r="I9" s="160" t="s">
        <v>260</v>
      </c>
      <c r="J9" s="159" t="s">
        <v>214</v>
      </c>
      <c r="K9" s="160" t="s">
        <v>196</v>
      </c>
      <c r="L9" s="13"/>
    </row>
    <row r="10" spans="1:12" s="29" customFormat="1" ht="13.5" thickBot="1">
      <c r="A10" s="42">
        <v>1</v>
      </c>
      <c r="B10" s="43">
        <v>2</v>
      </c>
      <c r="C10" s="42">
        <v>3</v>
      </c>
      <c r="D10" s="43">
        <v>4</v>
      </c>
      <c r="E10" s="42"/>
      <c r="F10" s="43">
        <v>5</v>
      </c>
      <c r="G10" s="42">
        <v>6</v>
      </c>
      <c r="H10" s="43">
        <v>7</v>
      </c>
      <c r="I10" s="42">
        <v>8</v>
      </c>
      <c r="J10" s="43">
        <v>9</v>
      </c>
      <c r="K10" s="42">
        <v>10</v>
      </c>
      <c r="L10" s="42">
        <v>11</v>
      </c>
    </row>
    <row r="11" spans="1:12" ht="13.5" thickBot="1">
      <c r="A11" s="143"/>
      <c r="B11" s="144"/>
      <c r="C11" s="18"/>
      <c r="D11" s="145"/>
      <c r="E11" s="16"/>
      <c r="F11" s="145"/>
      <c r="G11" s="16"/>
      <c r="H11" s="145">
        <f aca="true" t="shared" si="0" ref="H11:H41">(D11*F11)/100*7</f>
        <v>0</v>
      </c>
      <c r="I11" s="16">
        <f aca="true" t="shared" si="1" ref="I11:I41">D11*G11/100*5</f>
        <v>0</v>
      </c>
      <c r="J11" s="145">
        <f aca="true" t="shared" si="2" ref="J11:J58">(H11+I11)</f>
        <v>0</v>
      </c>
      <c r="K11" s="16"/>
      <c r="L11" s="16">
        <f>J11*K11</f>
        <v>0</v>
      </c>
    </row>
    <row r="12" spans="1:12" ht="12.75">
      <c r="A12" s="53"/>
      <c r="B12" s="224" t="s">
        <v>324</v>
      </c>
      <c r="C12" s="402">
        <v>1986</v>
      </c>
      <c r="D12" s="481">
        <v>1800</v>
      </c>
      <c r="E12" s="16" t="s">
        <v>393</v>
      </c>
      <c r="F12" s="471">
        <f>0.3625*100</f>
        <v>36.25</v>
      </c>
      <c r="G12" s="302">
        <f aca="true" t="shared" si="3" ref="G12:G21">F12*10/100+F12</f>
        <v>39.88</v>
      </c>
      <c r="H12" s="473">
        <f aca="true" t="shared" si="4" ref="H12:H21">(D12*F12)/100*8</f>
        <v>5220</v>
      </c>
      <c r="I12" s="354">
        <f aca="true" t="shared" si="5" ref="I12:I21">D12*G12/100*4</f>
        <v>2871.4</v>
      </c>
      <c r="J12" s="473">
        <f t="shared" si="2"/>
        <v>8091.4</v>
      </c>
      <c r="K12" s="407">
        <f>'[4]Указания на 2016-2018 годы'!$D$555</f>
        <v>9792</v>
      </c>
      <c r="L12" s="354">
        <f>J12*K12/1000</f>
        <v>79231</v>
      </c>
    </row>
    <row r="13" spans="1:12" ht="12.75">
      <c r="A13" s="53"/>
      <c r="B13" s="224" t="s">
        <v>326</v>
      </c>
      <c r="C13" s="54">
        <v>1977</v>
      </c>
      <c r="D13" s="481">
        <v>1800</v>
      </c>
      <c r="E13" s="16"/>
      <c r="F13" s="471">
        <f>0.3625*100</f>
        <v>36.25</v>
      </c>
      <c r="G13" s="302">
        <f t="shared" si="3"/>
        <v>39.88</v>
      </c>
      <c r="H13" s="473">
        <f t="shared" si="4"/>
        <v>5220</v>
      </c>
      <c r="I13" s="354">
        <f t="shared" si="5"/>
        <v>2871.4</v>
      </c>
      <c r="J13" s="473">
        <f t="shared" si="2"/>
        <v>8091.4</v>
      </c>
      <c r="K13" s="407">
        <f>'[4]Указания на 2016-2018 годы'!$D$555</f>
        <v>9792</v>
      </c>
      <c r="L13" s="354">
        <f aca="true" t="shared" si="6" ref="L13:L34">J13*K13/1000</f>
        <v>79231</v>
      </c>
    </row>
    <row r="14" spans="1:12" ht="12.75">
      <c r="A14" s="53"/>
      <c r="B14" s="224" t="s">
        <v>327</v>
      </c>
      <c r="C14" s="54">
        <v>1977</v>
      </c>
      <c r="D14" s="481">
        <v>2500</v>
      </c>
      <c r="E14" s="16"/>
      <c r="F14" s="471">
        <f>0.406*100</f>
        <v>40.6</v>
      </c>
      <c r="G14" s="302">
        <f t="shared" si="3"/>
        <v>44.66</v>
      </c>
      <c r="H14" s="473">
        <f t="shared" si="4"/>
        <v>8120</v>
      </c>
      <c r="I14" s="354">
        <f t="shared" si="5"/>
        <v>4466</v>
      </c>
      <c r="J14" s="473">
        <f t="shared" si="2"/>
        <v>12586</v>
      </c>
      <c r="K14" s="407">
        <f>'[4]Указания на 2016-2018 годы'!$D$555</f>
        <v>9792</v>
      </c>
      <c r="L14" s="354">
        <f t="shared" si="6"/>
        <v>123242.1</v>
      </c>
    </row>
    <row r="15" spans="1:12" ht="12.75">
      <c r="A15" s="53"/>
      <c r="B15" s="224" t="s">
        <v>329</v>
      </c>
      <c r="C15" s="54">
        <v>1980</v>
      </c>
      <c r="D15" s="481">
        <v>2500</v>
      </c>
      <c r="E15" s="16"/>
      <c r="F15" s="471">
        <v>19.2</v>
      </c>
      <c r="G15" s="302">
        <v>21.12</v>
      </c>
      <c r="H15" s="473">
        <f t="shared" si="4"/>
        <v>3840</v>
      </c>
      <c r="I15" s="354">
        <f t="shared" si="5"/>
        <v>2112</v>
      </c>
      <c r="J15" s="473">
        <f t="shared" si="2"/>
        <v>5952</v>
      </c>
      <c r="K15" s="407">
        <f>'[4]Указания на 2016-2018 годы'!$D$555</f>
        <v>9792</v>
      </c>
      <c r="L15" s="354">
        <f t="shared" si="6"/>
        <v>58282</v>
      </c>
    </row>
    <row r="16" spans="1:12" ht="12.75">
      <c r="A16" s="53"/>
      <c r="B16" s="224" t="s">
        <v>331</v>
      </c>
      <c r="C16" s="483">
        <v>1980</v>
      </c>
      <c r="D16" s="481">
        <v>2500</v>
      </c>
      <c r="E16" s="16"/>
      <c r="F16" s="471">
        <f>0.5945*100</f>
        <v>59.45</v>
      </c>
      <c r="G16" s="302">
        <v>0.66</v>
      </c>
      <c r="H16" s="473">
        <f t="shared" si="4"/>
        <v>11890</v>
      </c>
      <c r="I16" s="354">
        <f t="shared" si="5"/>
        <v>66</v>
      </c>
      <c r="J16" s="473">
        <f t="shared" si="2"/>
        <v>11956</v>
      </c>
      <c r="K16" s="407">
        <f>'[4]Указания на 2016-2018 годы'!$D$555</f>
        <v>9792</v>
      </c>
      <c r="L16" s="354">
        <f t="shared" si="6"/>
        <v>117073.2</v>
      </c>
    </row>
    <row r="17" spans="1:12" ht="12.75">
      <c r="A17" s="53"/>
      <c r="B17" s="480" t="s">
        <v>332</v>
      </c>
      <c r="C17" s="474">
        <v>1999</v>
      </c>
      <c r="D17" s="482">
        <v>2500</v>
      </c>
      <c r="E17" s="16"/>
      <c r="F17" s="471">
        <f>0.1284*100</f>
        <v>12.84</v>
      </c>
      <c r="G17" s="302">
        <f t="shared" si="3"/>
        <v>14.12</v>
      </c>
      <c r="H17" s="473">
        <f t="shared" si="4"/>
        <v>2568</v>
      </c>
      <c r="I17" s="354">
        <f t="shared" si="5"/>
        <v>1412</v>
      </c>
      <c r="J17" s="473">
        <f t="shared" si="2"/>
        <v>3980</v>
      </c>
      <c r="K17" s="407">
        <f>'[4]Указания на 2016-2018 годы'!$D$555</f>
        <v>9792</v>
      </c>
      <c r="L17" s="354">
        <f t="shared" si="6"/>
        <v>38972.2</v>
      </c>
    </row>
    <row r="18" spans="1:12" ht="12.75">
      <c r="A18" s="53"/>
      <c r="B18" s="480" t="s">
        <v>333</v>
      </c>
      <c r="C18" s="474">
        <v>1987</v>
      </c>
      <c r="D18" s="482">
        <v>2500</v>
      </c>
      <c r="E18" s="16"/>
      <c r="F18" s="471">
        <v>20.16</v>
      </c>
      <c r="G18" s="302">
        <v>21.57</v>
      </c>
      <c r="H18" s="473">
        <f t="shared" si="4"/>
        <v>4032</v>
      </c>
      <c r="I18" s="354">
        <f t="shared" si="5"/>
        <v>2157</v>
      </c>
      <c r="J18" s="473">
        <f t="shared" si="2"/>
        <v>6189</v>
      </c>
      <c r="K18" s="407">
        <f>'[4]Указания на 2016-2018 годы'!$D$555</f>
        <v>9792</v>
      </c>
      <c r="L18" s="354">
        <f t="shared" si="6"/>
        <v>60602.7</v>
      </c>
    </row>
    <row r="19" spans="1:12" ht="12.75">
      <c r="A19" s="53"/>
      <c r="B19" s="480" t="s">
        <v>334</v>
      </c>
      <c r="C19" s="474">
        <v>1981</v>
      </c>
      <c r="D19" s="482">
        <v>1600</v>
      </c>
      <c r="E19" s="16"/>
      <c r="F19" s="472">
        <f>0.216*100</f>
        <v>21.6</v>
      </c>
      <c r="G19" s="302">
        <f t="shared" si="3"/>
        <v>23.76</v>
      </c>
      <c r="H19" s="473">
        <f t="shared" si="4"/>
        <v>2764.8</v>
      </c>
      <c r="I19" s="354">
        <f t="shared" si="5"/>
        <v>1520.6</v>
      </c>
      <c r="J19" s="473">
        <f t="shared" si="2"/>
        <v>4285.4</v>
      </c>
      <c r="K19" s="407">
        <f>'[4]Указания на 2016-2018 годы'!$D$555</f>
        <v>9792</v>
      </c>
      <c r="L19" s="354">
        <f t="shared" si="6"/>
        <v>41962.6</v>
      </c>
    </row>
    <row r="20" spans="1:12" ht="12.75">
      <c r="A20" s="53"/>
      <c r="B20" s="480" t="s">
        <v>337</v>
      </c>
      <c r="C20" s="475">
        <v>1981</v>
      </c>
      <c r="D20" s="482">
        <v>1300</v>
      </c>
      <c r="E20" s="16"/>
      <c r="F20" s="471">
        <v>13.8</v>
      </c>
      <c r="G20" s="302">
        <v>14.77</v>
      </c>
      <c r="H20" s="473">
        <f t="shared" si="4"/>
        <v>1435.2</v>
      </c>
      <c r="I20" s="354">
        <f t="shared" si="5"/>
        <v>768</v>
      </c>
      <c r="J20" s="473">
        <f t="shared" si="2"/>
        <v>2203.2</v>
      </c>
      <c r="K20" s="407">
        <f>'[4]Указания на 2016-2018 годы'!$D$555</f>
        <v>9792</v>
      </c>
      <c r="L20" s="354">
        <f t="shared" si="6"/>
        <v>21573.7</v>
      </c>
    </row>
    <row r="21" spans="1:12" ht="12.75">
      <c r="A21" s="53"/>
      <c r="B21" s="480" t="s">
        <v>335</v>
      </c>
      <c r="C21" s="470">
        <v>1992</v>
      </c>
      <c r="D21" s="482">
        <v>1600</v>
      </c>
      <c r="E21" s="16"/>
      <c r="F21" s="471">
        <v>12</v>
      </c>
      <c r="G21" s="315">
        <f t="shared" si="3"/>
        <v>13.2</v>
      </c>
      <c r="H21" s="473">
        <f t="shared" si="4"/>
        <v>1536</v>
      </c>
      <c r="I21" s="354">
        <f t="shared" si="5"/>
        <v>844.8</v>
      </c>
      <c r="J21" s="473">
        <f t="shared" si="2"/>
        <v>2380.8</v>
      </c>
      <c r="K21" s="407">
        <f>'[4]Указания на 2016-2018 годы'!$D$555</f>
        <v>9792</v>
      </c>
      <c r="L21" s="354">
        <f t="shared" si="6"/>
        <v>23312.8</v>
      </c>
    </row>
    <row r="22" spans="1:12" ht="12.75">
      <c r="A22" s="53"/>
      <c r="B22" s="145" t="s">
        <v>377</v>
      </c>
      <c r="C22" s="226">
        <v>1995</v>
      </c>
      <c r="D22" s="145">
        <v>1500</v>
      </c>
      <c r="E22" s="16"/>
      <c r="F22" s="540">
        <v>18.12</v>
      </c>
      <c r="G22" s="302">
        <v>19.93</v>
      </c>
      <c r="H22" s="473">
        <f t="shared" si="0"/>
        <v>1902.6</v>
      </c>
      <c r="I22" s="354">
        <f t="shared" si="1"/>
        <v>1494.8</v>
      </c>
      <c r="J22" s="473">
        <f t="shared" si="2"/>
        <v>3397.4</v>
      </c>
      <c r="K22" s="407">
        <f>'[4]Указания на 2016-2018 годы'!$D$555</f>
        <v>9792</v>
      </c>
      <c r="L22" s="354">
        <f t="shared" si="6"/>
        <v>33267.3</v>
      </c>
    </row>
    <row r="23" spans="1:12" ht="12.75">
      <c r="A23" s="53"/>
      <c r="B23" s="406" t="s">
        <v>379</v>
      </c>
      <c r="C23" s="404">
        <v>1990</v>
      </c>
      <c r="D23" s="38">
        <v>1400</v>
      </c>
      <c r="E23" s="16"/>
      <c r="F23" s="541">
        <v>21</v>
      </c>
      <c r="G23" s="305">
        <v>22.47</v>
      </c>
      <c r="H23" s="473">
        <f t="shared" si="0"/>
        <v>2058</v>
      </c>
      <c r="I23" s="354">
        <f t="shared" si="1"/>
        <v>1572.9</v>
      </c>
      <c r="J23" s="473">
        <f t="shared" si="2"/>
        <v>3630.9</v>
      </c>
      <c r="K23" s="407">
        <f>'[4]Указания на 2016-2018 годы'!$D$555</f>
        <v>9792</v>
      </c>
      <c r="L23" s="354">
        <f t="shared" si="6"/>
        <v>35553.8</v>
      </c>
    </row>
    <row r="24" spans="1:12" ht="12.75">
      <c r="A24" s="53"/>
      <c r="B24" s="406" t="s">
        <v>380</v>
      </c>
      <c r="C24" s="54">
        <v>2010</v>
      </c>
      <c r="D24" s="38">
        <v>1400</v>
      </c>
      <c r="E24" s="16"/>
      <c r="F24" s="541">
        <v>10.8</v>
      </c>
      <c r="G24" s="305">
        <v>11.56</v>
      </c>
      <c r="H24" s="473">
        <f t="shared" si="0"/>
        <v>1058.4</v>
      </c>
      <c r="I24" s="354">
        <f t="shared" si="1"/>
        <v>809.2</v>
      </c>
      <c r="J24" s="473">
        <f t="shared" si="2"/>
        <v>1867.6</v>
      </c>
      <c r="K24" s="407">
        <f>'[4]Указания на 2016-2018 годы'!$D$555</f>
        <v>9792</v>
      </c>
      <c r="L24" s="354">
        <f t="shared" si="6"/>
        <v>18287.5</v>
      </c>
    </row>
    <row r="25" spans="1:12" ht="12.75">
      <c r="A25" s="53"/>
      <c r="B25" s="406" t="s">
        <v>381</v>
      </c>
      <c r="C25" s="54">
        <v>1989</v>
      </c>
      <c r="D25" s="38">
        <v>1400</v>
      </c>
      <c r="E25" s="16"/>
      <c r="F25" s="541">
        <v>10.32</v>
      </c>
      <c r="G25" s="305">
        <v>11.04</v>
      </c>
      <c r="H25" s="473">
        <f t="shared" si="0"/>
        <v>1011.4</v>
      </c>
      <c r="I25" s="354">
        <f t="shared" si="1"/>
        <v>772.8</v>
      </c>
      <c r="J25" s="473">
        <f t="shared" si="2"/>
        <v>1784.2</v>
      </c>
      <c r="K25" s="407">
        <f>'[4]Указания на 2016-2018 годы'!$D$555</f>
        <v>9792</v>
      </c>
      <c r="L25" s="354">
        <f t="shared" si="6"/>
        <v>17470.9</v>
      </c>
    </row>
    <row r="26" spans="1:12" ht="12.75">
      <c r="A26" s="53"/>
      <c r="B26" s="406" t="s">
        <v>382</v>
      </c>
      <c r="C26" s="54">
        <v>2005</v>
      </c>
      <c r="D26" s="38">
        <v>1200</v>
      </c>
      <c r="E26" s="16"/>
      <c r="F26" s="541">
        <v>13.8</v>
      </c>
      <c r="G26" s="305">
        <v>14.77</v>
      </c>
      <c r="H26" s="473">
        <f t="shared" si="0"/>
        <v>1159.2</v>
      </c>
      <c r="I26" s="354">
        <f t="shared" si="1"/>
        <v>886.2</v>
      </c>
      <c r="J26" s="473">
        <f t="shared" si="2"/>
        <v>2045.4</v>
      </c>
      <c r="K26" s="407">
        <f>'[4]Указания на 2016-2018 годы'!$D$555</f>
        <v>9792</v>
      </c>
      <c r="L26" s="354">
        <f t="shared" si="6"/>
        <v>20028.6</v>
      </c>
    </row>
    <row r="27" spans="1:12" ht="12.75">
      <c r="A27" s="53"/>
      <c r="B27" s="38" t="s">
        <v>384</v>
      </c>
      <c r="C27" s="54">
        <v>1983</v>
      </c>
      <c r="D27" s="38">
        <v>1000</v>
      </c>
      <c r="E27" s="16"/>
      <c r="F27" s="541">
        <v>49.2</v>
      </c>
      <c r="G27" s="305">
        <v>52.64</v>
      </c>
      <c r="H27" s="473">
        <f t="shared" si="0"/>
        <v>3444</v>
      </c>
      <c r="I27" s="354">
        <f t="shared" si="1"/>
        <v>2632</v>
      </c>
      <c r="J27" s="473">
        <f t="shared" si="2"/>
        <v>6076</v>
      </c>
      <c r="K27" s="407">
        <f>'[4]Указания на 2016-2018 годы'!$D$555</f>
        <v>9792</v>
      </c>
      <c r="L27" s="354">
        <f t="shared" si="6"/>
        <v>59496.2</v>
      </c>
    </row>
    <row r="28" spans="1:12" ht="12.75">
      <c r="A28" s="53"/>
      <c r="B28" s="406" t="s">
        <v>392</v>
      </c>
      <c r="C28" s="474">
        <v>1983</v>
      </c>
      <c r="D28" s="406">
        <v>2000</v>
      </c>
      <c r="E28" s="16"/>
      <c r="F28" s="541">
        <v>10.8</v>
      </c>
      <c r="G28" s="418">
        <v>11.56</v>
      </c>
      <c r="H28" s="473">
        <f t="shared" si="0"/>
        <v>1512</v>
      </c>
      <c r="I28" s="354">
        <f t="shared" si="1"/>
        <v>1156</v>
      </c>
      <c r="J28" s="473">
        <f t="shared" si="2"/>
        <v>2668</v>
      </c>
      <c r="K28" s="407">
        <f>'[4]Указания на 2016-2018 годы'!$D$555</f>
        <v>9792</v>
      </c>
      <c r="L28" s="354">
        <f t="shared" si="6"/>
        <v>26125.1</v>
      </c>
    </row>
    <row r="29" spans="1:12" ht="12.75">
      <c r="A29" s="53"/>
      <c r="B29" s="406" t="s">
        <v>382</v>
      </c>
      <c r="C29" s="474">
        <v>1997</v>
      </c>
      <c r="D29" s="406">
        <v>2000</v>
      </c>
      <c r="E29" s="16"/>
      <c r="F29" s="541">
        <v>13.8</v>
      </c>
      <c r="G29" s="418">
        <v>14.77</v>
      </c>
      <c r="H29" s="473">
        <f t="shared" si="0"/>
        <v>1932</v>
      </c>
      <c r="I29" s="354">
        <f t="shared" si="1"/>
        <v>1477</v>
      </c>
      <c r="J29" s="473">
        <f t="shared" si="2"/>
        <v>3409</v>
      </c>
      <c r="K29" s="407">
        <f>'[4]Указания на 2016-2018 годы'!$D$555</f>
        <v>9792</v>
      </c>
      <c r="L29" s="354">
        <f t="shared" si="6"/>
        <v>33380.9</v>
      </c>
    </row>
    <row r="30" spans="1:12" ht="12.75">
      <c r="A30" s="53"/>
      <c r="B30" s="406" t="s">
        <v>394</v>
      </c>
      <c r="C30" s="474">
        <v>1988</v>
      </c>
      <c r="D30" s="406">
        <v>2000</v>
      </c>
      <c r="E30" s="16"/>
      <c r="F30" s="541">
        <v>40.6</v>
      </c>
      <c r="G30" s="418">
        <v>43.44</v>
      </c>
      <c r="H30" s="473">
        <f t="shared" si="0"/>
        <v>5684</v>
      </c>
      <c r="I30" s="354">
        <f t="shared" si="1"/>
        <v>4344</v>
      </c>
      <c r="J30" s="473">
        <f t="shared" si="2"/>
        <v>10028</v>
      </c>
      <c r="K30" s="407">
        <f>'[4]Указания на 2016-2018 годы'!$D$555</f>
        <v>9792</v>
      </c>
      <c r="L30" s="354">
        <f t="shared" si="6"/>
        <v>98194.2</v>
      </c>
    </row>
    <row r="31" spans="1:12" ht="12.75">
      <c r="A31" s="53"/>
      <c r="B31" s="406" t="s">
        <v>395</v>
      </c>
      <c r="C31" s="474">
        <v>1983</v>
      </c>
      <c r="D31" s="406">
        <v>1500</v>
      </c>
      <c r="E31" s="16"/>
      <c r="F31" s="541">
        <v>10.8</v>
      </c>
      <c r="G31" s="418">
        <v>11.56</v>
      </c>
      <c r="H31" s="473">
        <f t="shared" si="0"/>
        <v>1134</v>
      </c>
      <c r="I31" s="354">
        <f t="shared" si="1"/>
        <v>867</v>
      </c>
      <c r="J31" s="473">
        <f t="shared" si="2"/>
        <v>2001</v>
      </c>
      <c r="K31" s="407">
        <f>'[4]Указания на 2016-2018 годы'!$D$555</f>
        <v>9792</v>
      </c>
      <c r="L31" s="354">
        <f t="shared" si="6"/>
        <v>19593.8</v>
      </c>
    </row>
    <row r="32" spans="1:12" ht="12.75">
      <c r="A32" s="53"/>
      <c r="B32" s="406" t="s">
        <v>396</v>
      </c>
      <c r="C32" s="475">
        <v>1988</v>
      </c>
      <c r="D32" s="406">
        <v>2000</v>
      </c>
      <c r="E32" s="16"/>
      <c r="F32" s="542">
        <v>10.8</v>
      </c>
      <c r="G32" s="488">
        <v>11.56</v>
      </c>
      <c r="H32" s="473">
        <f t="shared" si="0"/>
        <v>1512</v>
      </c>
      <c r="I32" s="354">
        <f t="shared" si="1"/>
        <v>1156</v>
      </c>
      <c r="J32" s="473">
        <f t="shared" si="2"/>
        <v>2668</v>
      </c>
      <c r="K32" s="407">
        <f>'[4]Указания на 2016-2018 годы'!$D$555</f>
        <v>9792</v>
      </c>
      <c r="L32" s="354">
        <f t="shared" si="6"/>
        <v>26125.1</v>
      </c>
    </row>
    <row r="33" spans="1:12" ht="12.75">
      <c r="A33" s="53"/>
      <c r="B33" s="406" t="s">
        <v>385</v>
      </c>
      <c r="C33" s="54">
        <v>2007</v>
      </c>
      <c r="D33" s="38">
        <v>2500</v>
      </c>
      <c r="E33" s="37" t="s">
        <v>386</v>
      </c>
      <c r="F33" s="541">
        <v>9.84</v>
      </c>
      <c r="G33" s="305">
        <v>10.53</v>
      </c>
      <c r="H33" s="473">
        <f t="shared" si="0"/>
        <v>1722</v>
      </c>
      <c r="I33" s="354">
        <f t="shared" si="1"/>
        <v>1316.3</v>
      </c>
      <c r="J33" s="473">
        <f t="shared" si="2"/>
        <v>3038.3</v>
      </c>
      <c r="K33" s="407">
        <f>'[4]Указания на 2016-2018 годы'!$D$556</f>
        <v>10251</v>
      </c>
      <c r="L33" s="354">
        <f t="shared" si="6"/>
        <v>31145.6</v>
      </c>
    </row>
    <row r="34" spans="1:12" ht="12.75">
      <c r="A34" s="53"/>
      <c r="B34" s="406" t="s">
        <v>387</v>
      </c>
      <c r="C34" s="54">
        <v>1998</v>
      </c>
      <c r="D34" s="38">
        <v>3000</v>
      </c>
      <c r="E34" s="37" t="s">
        <v>386</v>
      </c>
      <c r="F34" s="541">
        <v>13.2</v>
      </c>
      <c r="G34" s="305">
        <v>14.12</v>
      </c>
      <c r="H34" s="473">
        <f t="shared" si="0"/>
        <v>2772</v>
      </c>
      <c r="I34" s="354">
        <f t="shared" si="1"/>
        <v>2118</v>
      </c>
      <c r="J34" s="473">
        <f t="shared" si="2"/>
        <v>4890</v>
      </c>
      <c r="K34" s="407">
        <f>'[4]Указания на 2016-2018 годы'!$D$556</f>
        <v>10251</v>
      </c>
      <c r="L34" s="354">
        <f t="shared" si="6"/>
        <v>50127.4</v>
      </c>
    </row>
    <row r="35" spans="1:12" ht="12.75">
      <c r="A35" s="53"/>
      <c r="B35" s="146"/>
      <c r="C35" s="37"/>
      <c r="D35" s="38"/>
      <c r="E35" s="37"/>
      <c r="F35" s="38"/>
      <c r="G35" s="37"/>
      <c r="H35" s="38"/>
      <c r="I35" s="37"/>
      <c r="J35" s="38"/>
      <c r="K35" s="37"/>
      <c r="L35" s="37"/>
    </row>
    <row r="36" spans="1:12" ht="12.75">
      <c r="A36" s="53"/>
      <c r="B36" s="146" t="s">
        <v>407</v>
      </c>
      <c r="C36" s="37"/>
      <c r="D36" s="38"/>
      <c r="E36" s="37"/>
      <c r="F36" s="38"/>
      <c r="G36" s="37"/>
      <c r="H36" s="484">
        <f>SUM(H12:H35)</f>
        <v>73527.6</v>
      </c>
      <c r="I36" s="484">
        <f>SUM(I12:I35)</f>
        <v>39691.4</v>
      </c>
      <c r="J36" s="484">
        <f>SUM(J12:J35)</f>
        <v>113219</v>
      </c>
      <c r="K36" s="37"/>
      <c r="L36" s="478">
        <f>SUM(L12:L35)</f>
        <v>1112279.7</v>
      </c>
    </row>
    <row r="37" spans="1:12" ht="12.75">
      <c r="A37" s="53"/>
      <c r="B37" s="146"/>
      <c r="C37" s="37"/>
      <c r="D37" s="38"/>
      <c r="E37" s="37"/>
      <c r="F37" s="38"/>
      <c r="G37" s="37"/>
      <c r="H37" s="38"/>
      <c r="I37" s="37"/>
      <c r="J37" s="38"/>
      <c r="K37" s="37"/>
      <c r="L37" s="37"/>
    </row>
    <row r="38" spans="1:12" ht="12.75">
      <c r="A38" s="53"/>
      <c r="B38" s="146" t="s">
        <v>408</v>
      </c>
      <c r="C38" s="37"/>
      <c r="D38" s="38"/>
      <c r="E38" s="37"/>
      <c r="F38" s="406"/>
      <c r="G38" s="37"/>
      <c r="H38" s="38"/>
      <c r="I38" s="37"/>
      <c r="J38" s="38"/>
      <c r="K38" s="37"/>
      <c r="L38" s="37"/>
    </row>
    <row r="39" spans="1:12" ht="12.75">
      <c r="A39" s="53"/>
      <c r="B39" s="406" t="s">
        <v>388</v>
      </c>
      <c r="C39" s="54">
        <v>2005</v>
      </c>
      <c r="D39" s="38">
        <v>1500</v>
      </c>
      <c r="E39" s="37" t="s">
        <v>368</v>
      </c>
      <c r="F39" s="543">
        <v>36.3</v>
      </c>
      <c r="G39" s="354">
        <v>38.8</v>
      </c>
      <c r="H39" s="38">
        <f t="shared" si="0"/>
        <v>3811.5</v>
      </c>
      <c r="I39" s="37">
        <f t="shared" si="1"/>
        <v>2910</v>
      </c>
      <c r="J39" s="38">
        <f t="shared" si="2"/>
        <v>6721.5</v>
      </c>
      <c r="K39" s="407">
        <f>'[4]Указания на 2016-2018 годы'!$D$557</f>
        <v>9180</v>
      </c>
      <c r="L39" s="305">
        <f>J39*K39/1000</f>
        <v>61703.37</v>
      </c>
    </row>
    <row r="40" spans="1:12" ht="12.75">
      <c r="A40" s="53"/>
      <c r="B40" s="38" t="s">
        <v>389</v>
      </c>
      <c r="C40" s="54">
        <v>1989</v>
      </c>
      <c r="D40" s="38">
        <v>1500</v>
      </c>
      <c r="E40" s="37" t="s">
        <v>368</v>
      </c>
      <c r="F40" s="543">
        <v>38.4</v>
      </c>
      <c r="G40" s="354">
        <v>41.1</v>
      </c>
      <c r="H40" s="38">
        <f t="shared" si="0"/>
        <v>4032</v>
      </c>
      <c r="I40" s="37">
        <f t="shared" si="1"/>
        <v>3082.5</v>
      </c>
      <c r="J40" s="38">
        <f t="shared" si="2"/>
        <v>7114.5</v>
      </c>
      <c r="K40" s="407">
        <f>'[4]Указания на 2016-2018 годы'!$D$557</f>
        <v>9180</v>
      </c>
      <c r="L40" s="305">
        <f>J40*K40/1000</f>
        <v>65311.11</v>
      </c>
    </row>
    <row r="41" spans="1:12" ht="12.75">
      <c r="A41" s="53"/>
      <c r="B41" s="38" t="s">
        <v>390</v>
      </c>
      <c r="C41" s="54">
        <v>1991</v>
      </c>
      <c r="D41" s="38">
        <v>1200</v>
      </c>
      <c r="E41" s="37" t="s">
        <v>368</v>
      </c>
      <c r="F41" s="543">
        <v>33.4</v>
      </c>
      <c r="G41" s="354">
        <v>35.7</v>
      </c>
      <c r="H41" s="38">
        <f t="shared" si="0"/>
        <v>2805.6</v>
      </c>
      <c r="I41" s="37">
        <f t="shared" si="1"/>
        <v>2142</v>
      </c>
      <c r="J41" s="38">
        <f t="shared" si="2"/>
        <v>4947.6</v>
      </c>
      <c r="K41" s="407">
        <f>'[4]Указания на 2016-2018 годы'!$D$557</f>
        <v>9180</v>
      </c>
      <c r="L41" s="305">
        <f>J41*K41/1000</f>
        <v>45418.97</v>
      </c>
    </row>
    <row r="42" spans="1:12" ht="12.75">
      <c r="A42" s="53"/>
      <c r="B42" s="146"/>
      <c r="C42" s="54"/>
      <c r="D42" s="38"/>
      <c r="E42" s="37"/>
      <c r="F42" s="38"/>
      <c r="G42" s="37"/>
      <c r="H42" s="38"/>
      <c r="I42" s="37"/>
      <c r="J42" s="38"/>
      <c r="K42" s="37"/>
      <c r="L42" s="37"/>
    </row>
    <row r="43" spans="1:12" ht="12.75">
      <c r="A43" s="53"/>
      <c r="B43" s="146" t="s">
        <v>409</v>
      </c>
      <c r="C43" s="37"/>
      <c r="D43" s="38"/>
      <c r="E43" s="37"/>
      <c r="F43" s="38"/>
      <c r="G43" s="37"/>
      <c r="H43" s="147">
        <f>SUM(H39:H42)</f>
        <v>10649.1</v>
      </c>
      <c r="I43" s="147">
        <f>SUM(I39:I42)</f>
        <v>8134.5</v>
      </c>
      <c r="J43" s="147">
        <f>SUM(J39:J42)</f>
        <v>18783.6</v>
      </c>
      <c r="K43" s="37"/>
      <c r="L43" s="479">
        <f>SUM(L39:L42)</f>
        <v>172433.45</v>
      </c>
    </row>
    <row r="44" spans="1:12" ht="12.75">
      <c r="A44" s="53"/>
      <c r="B44" s="146"/>
      <c r="C44" s="37"/>
      <c r="D44" s="38"/>
      <c r="E44" s="37"/>
      <c r="F44" s="38"/>
      <c r="G44" s="37"/>
      <c r="H44" s="38"/>
      <c r="I44" s="37"/>
      <c r="J44" s="38"/>
      <c r="K44" s="37"/>
      <c r="L44" s="37"/>
    </row>
    <row r="45" spans="1:12" ht="12.75">
      <c r="A45" s="53"/>
      <c r="B45" s="146" t="s">
        <v>408</v>
      </c>
      <c r="C45" s="37"/>
      <c r="D45" s="38"/>
      <c r="E45" s="37"/>
      <c r="F45" s="38"/>
      <c r="G45" s="37"/>
      <c r="H45" s="38"/>
      <c r="I45" s="37"/>
      <c r="J45" s="38"/>
      <c r="K45" s="37"/>
      <c r="L45" s="37"/>
    </row>
    <row r="46" spans="1:12" ht="12.75">
      <c r="A46" s="53"/>
      <c r="B46" s="146" t="s">
        <v>399</v>
      </c>
      <c r="C46" s="37"/>
      <c r="D46" s="38" t="s">
        <v>340</v>
      </c>
      <c r="E46" s="37"/>
      <c r="F46" s="38"/>
      <c r="G46" s="37"/>
      <c r="H46" s="38"/>
      <c r="I46" s="37"/>
      <c r="J46" s="38"/>
      <c r="K46" s="37"/>
      <c r="L46" s="37"/>
    </row>
    <row r="47" spans="1:12" ht="12.75">
      <c r="A47" s="53"/>
      <c r="B47" s="161" t="s">
        <v>341</v>
      </c>
      <c r="C47" s="226">
        <v>1990</v>
      </c>
      <c r="D47" s="224">
        <v>40</v>
      </c>
      <c r="E47" s="54" t="s">
        <v>368</v>
      </c>
      <c r="F47" s="107">
        <f>12.7</f>
        <v>12.7</v>
      </c>
      <c r="G47" s="354">
        <f aca="true" t="shared" si="7" ref="G47:G58">F47*1.07</f>
        <v>13.6</v>
      </c>
      <c r="H47" s="38">
        <f>(D47*F47)*7</f>
        <v>3556</v>
      </c>
      <c r="I47" s="37">
        <f>(D47*G47)*5</f>
        <v>2720</v>
      </c>
      <c r="J47" s="473">
        <f t="shared" si="2"/>
        <v>6276</v>
      </c>
      <c r="K47" s="407">
        <f>'[4]Указания на 2016-2018 годы'!$D$557</f>
        <v>9180</v>
      </c>
      <c r="L47" s="305">
        <f>J47*K47/1000</f>
        <v>57613.68</v>
      </c>
    </row>
    <row r="48" spans="1:12" ht="12.75">
      <c r="A48" s="53"/>
      <c r="B48" s="161" t="s">
        <v>345</v>
      </c>
      <c r="C48" s="226">
        <v>1984</v>
      </c>
      <c r="D48" s="224">
        <v>120</v>
      </c>
      <c r="E48" s="54" t="s">
        <v>368</v>
      </c>
      <c r="F48" s="107">
        <f>12.6</f>
        <v>12.6</v>
      </c>
      <c r="G48" s="354">
        <f t="shared" si="7"/>
        <v>13.5</v>
      </c>
      <c r="H48" s="38">
        <f aca="true" t="shared" si="8" ref="H48:H58">(D48*F48)*7</f>
        <v>10584</v>
      </c>
      <c r="I48" s="37">
        <f aca="true" t="shared" si="9" ref="I48:I58">(D48*G48)*5</f>
        <v>8100</v>
      </c>
      <c r="J48" s="473">
        <f t="shared" si="2"/>
        <v>18684</v>
      </c>
      <c r="K48" s="407">
        <f>'[4]Указания на 2016-2018 годы'!$D$557</f>
        <v>9180</v>
      </c>
      <c r="L48" s="305">
        <f aca="true" t="shared" si="10" ref="L48:L58">J48*K48/1000</f>
        <v>171519.12</v>
      </c>
    </row>
    <row r="49" spans="1:12" ht="12.75">
      <c r="A49" s="53"/>
      <c r="B49" s="161" t="s">
        <v>347</v>
      </c>
      <c r="C49" s="226">
        <v>2013</v>
      </c>
      <c r="D49" s="224">
        <v>130</v>
      </c>
      <c r="E49" s="54" t="s">
        <v>368</v>
      </c>
      <c r="F49" s="107">
        <f>13.6</f>
        <v>13.6</v>
      </c>
      <c r="G49" s="354">
        <f t="shared" si="7"/>
        <v>14.6</v>
      </c>
      <c r="H49" s="38">
        <f t="shared" si="8"/>
        <v>12376</v>
      </c>
      <c r="I49" s="37">
        <f t="shared" si="9"/>
        <v>9490</v>
      </c>
      <c r="J49" s="473">
        <f t="shared" si="2"/>
        <v>21866</v>
      </c>
      <c r="K49" s="407">
        <f>'[4]Указания на 2016-2018 годы'!$D$557</f>
        <v>9180</v>
      </c>
      <c r="L49" s="305">
        <f t="shared" si="10"/>
        <v>200729.88</v>
      </c>
    </row>
    <row r="50" spans="1:12" ht="12.75">
      <c r="A50" s="53"/>
      <c r="B50" s="161" t="s">
        <v>349</v>
      </c>
      <c r="C50" s="226">
        <v>1986</v>
      </c>
      <c r="D50" s="224">
        <v>100</v>
      </c>
      <c r="E50" s="54" t="s">
        <v>368</v>
      </c>
      <c r="F50" s="107">
        <f>5.3</f>
        <v>5.3</v>
      </c>
      <c r="G50" s="354">
        <f t="shared" si="7"/>
        <v>5.7</v>
      </c>
      <c r="H50" s="38">
        <f t="shared" si="8"/>
        <v>3710</v>
      </c>
      <c r="I50" s="37">
        <f t="shared" si="9"/>
        <v>2850</v>
      </c>
      <c r="J50" s="473">
        <f t="shared" si="2"/>
        <v>6560</v>
      </c>
      <c r="K50" s="407">
        <f>'[4]Указания на 2016-2018 годы'!$D$557</f>
        <v>9180</v>
      </c>
      <c r="L50" s="305">
        <f t="shared" si="10"/>
        <v>60220.8</v>
      </c>
    </row>
    <row r="51" spans="1:12" ht="12.75">
      <c r="A51" s="53"/>
      <c r="B51" s="161" t="s">
        <v>351</v>
      </c>
      <c r="C51" s="226"/>
      <c r="D51" s="224">
        <v>140</v>
      </c>
      <c r="E51" s="54" t="s">
        <v>368</v>
      </c>
      <c r="F51" s="38">
        <f>2.1</f>
        <v>2.1</v>
      </c>
      <c r="G51" s="354">
        <f t="shared" si="7"/>
        <v>2.2</v>
      </c>
      <c r="H51" s="38">
        <f t="shared" si="8"/>
        <v>2058</v>
      </c>
      <c r="I51" s="37">
        <f t="shared" si="9"/>
        <v>1540</v>
      </c>
      <c r="J51" s="473">
        <f t="shared" si="2"/>
        <v>3598</v>
      </c>
      <c r="K51" s="407">
        <f>'[4]Указания на 2016-2018 годы'!$D$557</f>
        <v>9180</v>
      </c>
      <c r="L51" s="305">
        <f t="shared" si="10"/>
        <v>33029.64</v>
      </c>
    </row>
    <row r="52" spans="1:12" ht="12.75">
      <c r="A52" s="476"/>
      <c r="B52" s="477" t="s">
        <v>367</v>
      </c>
      <c r="C52" s="161"/>
      <c r="D52" s="161">
        <v>50</v>
      </c>
      <c r="E52" s="54" t="s">
        <v>368</v>
      </c>
      <c r="F52" s="161">
        <v>12.6</v>
      </c>
      <c r="G52" s="228">
        <f t="shared" si="7"/>
        <v>13.48</v>
      </c>
      <c r="H52" s="38">
        <f t="shared" si="8"/>
        <v>4410</v>
      </c>
      <c r="I52" s="37">
        <f t="shared" si="9"/>
        <v>3370</v>
      </c>
      <c r="J52" s="473">
        <f t="shared" si="2"/>
        <v>7780</v>
      </c>
      <c r="K52" s="407">
        <f>'[4]Указания на 2016-2018 годы'!$D$557</f>
        <v>9180</v>
      </c>
      <c r="L52" s="305">
        <f t="shared" si="10"/>
        <v>71420.4</v>
      </c>
    </row>
    <row r="53" spans="1:12" ht="12.75">
      <c r="A53" s="476"/>
      <c r="B53" s="477" t="s">
        <v>345</v>
      </c>
      <c r="C53" s="161"/>
      <c r="D53" s="161">
        <v>100</v>
      </c>
      <c r="E53" s="54" t="s">
        <v>368</v>
      </c>
      <c r="F53" s="161">
        <v>12.6</v>
      </c>
      <c r="G53" s="228">
        <f t="shared" si="7"/>
        <v>13.48</v>
      </c>
      <c r="H53" s="38">
        <f t="shared" si="8"/>
        <v>8820</v>
      </c>
      <c r="I53" s="37">
        <f t="shared" si="9"/>
        <v>6740</v>
      </c>
      <c r="J53" s="473">
        <f t="shared" si="2"/>
        <v>15560</v>
      </c>
      <c r="K53" s="407">
        <f>'[4]Указания на 2016-2018 годы'!$D$557</f>
        <v>9180</v>
      </c>
      <c r="L53" s="305">
        <f t="shared" si="10"/>
        <v>142840.8</v>
      </c>
    </row>
    <row r="54" spans="1:12" ht="12.75">
      <c r="A54" s="476"/>
      <c r="B54" s="477" t="s">
        <v>345</v>
      </c>
      <c r="C54" s="161"/>
      <c r="D54" s="161">
        <v>80</v>
      </c>
      <c r="E54" s="54" t="s">
        <v>368</v>
      </c>
      <c r="F54" s="161">
        <v>12.6</v>
      </c>
      <c r="G54" s="228">
        <f t="shared" si="7"/>
        <v>13.48</v>
      </c>
      <c r="H54" s="38">
        <f t="shared" si="8"/>
        <v>7056</v>
      </c>
      <c r="I54" s="37">
        <f t="shared" si="9"/>
        <v>5392</v>
      </c>
      <c r="J54" s="473">
        <f t="shared" si="2"/>
        <v>12448</v>
      </c>
      <c r="K54" s="407">
        <f>'[4]Указания на 2016-2018 годы'!$D$557</f>
        <v>9180</v>
      </c>
      <c r="L54" s="305">
        <f t="shared" si="10"/>
        <v>114272.64</v>
      </c>
    </row>
    <row r="55" spans="1:12" ht="12.75">
      <c r="A55" s="476"/>
      <c r="B55" s="406" t="s">
        <v>404</v>
      </c>
      <c r="C55" s="23"/>
      <c r="D55" s="406">
        <v>90</v>
      </c>
      <c r="E55" s="54" t="s">
        <v>368</v>
      </c>
      <c r="F55" s="406">
        <v>7.2</v>
      </c>
      <c r="G55" s="418">
        <f t="shared" si="7"/>
        <v>7.7</v>
      </c>
      <c r="H55" s="38">
        <f t="shared" si="8"/>
        <v>4536</v>
      </c>
      <c r="I55" s="37">
        <f t="shared" si="9"/>
        <v>3465</v>
      </c>
      <c r="J55" s="473">
        <f t="shared" si="2"/>
        <v>8001</v>
      </c>
      <c r="K55" s="407">
        <f>'[4]Указания на 2016-2018 годы'!$D$557</f>
        <v>9180</v>
      </c>
      <c r="L55" s="305">
        <f t="shared" si="10"/>
        <v>73449.18</v>
      </c>
    </row>
    <row r="56" spans="1:12" ht="12.75">
      <c r="A56" s="476"/>
      <c r="B56" s="406" t="s">
        <v>405</v>
      </c>
      <c r="C56" s="23"/>
      <c r="D56" s="406">
        <v>80</v>
      </c>
      <c r="E56" s="54" t="s">
        <v>368</v>
      </c>
      <c r="F56" s="406">
        <v>9.4</v>
      </c>
      <c r="G56" s="418">
        <f t="shared" si="7"/>
        <v>10.06</v>
      </c>
      <c r="H56" s="38">
        <f t="shared" si="8"/>
        <v>5264</v>
      </c>
      <c r="I56" s="37">
        <f t="shared" si="9"/>
        <v>4024</v>
      </c>
      <c r="J56" s="473">
        <f t="shared" si="2"/>
        <v>9288</v>
      </c>
      <c r="K56" s="407">
        <f>'[4]Указания на 2016-2018 годы'!$D$557</f>
        <v>9180</v>
      </c>
      <c r="L56" s="305">
        <f t="shared" si="10"/>
        <v>85263.84</v>
      </c>
    </row>
    <row r="57" spans="1:12" ht="12.75">
      <c r="A57" s="476"/>
      <c r="B57" s="406" t="s">
        <v>345</v>
      </c>
      <c r="C57" s="23"/>
      <c r="D57" s="406">
        <v>90</v>
      </c>
      <c r="E57" s="54" t="s">
        <v>368</v>
      </c>
      <c r="F57" s="406">
        <v>12.6</v>
      </c>
      <c r="G57" s="418">
        <f t="shared" si="7"/>
        <v>13.48</v>
      </c>
      <c r="H57" s="38">
        <f t="shared" si="8"/>
        <v>7938</v>
      </c>
      <c r="I57" s="37">
        <f t="shared" si="9"/>
        <v>6066</v>
      </c>
      <c r="J57" s="473">
        <f t="shared" si="2"/>
        <v>14004</v>
      </c>
      <c r="K57" s="407">
        <f>'[4]Указания на 2016-2018 годы'!$D$557</f>
        <v>9180</v>
      </c>
      <c r="L57" s="305">
        <f t="shared" si="10"/>
        <v>128556.72</v>
      </c>
    </row>
    <row r="58" spans="1:12" ht="12.75">
      <c r="A58" s="476"/>
      <c r="B58" s="406" t="s">
        <v>341</v>
      </c>
      <c r="C58" s="23"/>
      <c r="D58" s="406">
        <v>80</v>
      </c>
      <c r="E58" s="54" t="s">
        <v>368</v>
      </c>
      <c r="F58" s="406">
        <v>12.17</v>
      </c>
      <c r="G58" s="418">
        <f t="shared" si="7"/>
        <v>13.02</v>
      </c>
      <c r="H58" s="38">
        <f t="shared" si="8"/>
        <v>6815.2</v>
      </c>
      <c r="I58" s="37">
        <f t="shared" si="9"/>
        <v>5208</v>
      </c>
      <c r="J58" s="473">
        <f t="shared" si="2"/>
        <v>12023.2</v>
      </c>
      <c r="K58" s="407">
        <f>'[4]Указания на 2016-2018 годы'!$D$557</f>
        <v>9180</v>
      </c>
      <c r="L58" s="305">
        <f t="shared" si="10"/>
        <v>110372.98</v>
      </c>
    </row>
    <row r="59" spans="1:12" ht="12.75">
      <c r="A59" s="231"/>
      <c r="B59" s="161"/>
      <c r="C59" s="226"/>
      <c r="D59" s="38"/>
      <c r="E59" s="54"/>
      <c r="F59" s="38"/>
      <c r="G59" s="354"/>
      <c r="H59" s="38"/>
      <c r="I59" s="37"/>
      <c r="J59" s="473"/>
      <c r="K59" s="37"/>
      <c r="L59" s="37"/>
    </row>
    <row r="60" spans="1:12" ht="12.75">
      <c r="A60" s="231"/>
      <c r="B60" s="225" t="s">
        <v>409</v>
      </c>
      <c r="C60" s="226"/>
      <c r="D60" s="38"/>
      <c r="E60" s="54"/>
      <c r="F60" s="38"/>
      <c r="G60" s="354"/>
      <c r="H60" s="484">
        <f>SUM(H47:H59)</f>
        <v>77123.2</v>
      </c>
      <c r="I60" s="484">
        <f>SUM(I47:I59)</f>
        <v>58965</v>
      </c>
      <c r="J60" s="484">
        <f>SUM(J47:J59)</f>
        <v>136088.2</v>
      </c>
      <c r="K60" s="147"/>
      <c r="L60" s="485">
        <f>SUM(L47:L59)</f>
        <v>1249289.68</v>
      </c>
    </row>
    <row r="61" spans="1:12" ht="12.75">
      <c r="A61" s="231"/>
      <c r="B61" s="225" t="s">
        <v>410</v>
      </c>
      <c r="C61" s="226"/>
      <c r="D61" s="38"/>
      <c r="E61" s="54"/>
      <c r="F61" s="38"/>
      <c r="G61" s="354"/>
      <c r="H61" s="484">
        <f>H43+H60</f>
        <v>87772.3</v>
      </c>
      <c r="I61" s="484">
        <f>I43+I60</f>
        <v>67099.5</v>
      </c>
      <c r="J61" s="484">
        <f>J43+J60</f>
        <v>154871.8</v>
      </c>
      <c r="K61" s="37"/>
      <c r="L61" s="479">
        <f>L43+L60</f>
        <v>1421723.13</v>
      </c>
    </row>
    <row r="62" spans="1:12" ht="13.5" thickBot="1">
      <c r="A62" s="55"/>
      <c r="B62" s="148"/>
      <c r="C62" s="149"/>
      <c r="D62" s="150"/>
      <c r="E62" s="149"/>
      <c r="F62" s="150"/>
      <c r="G62" s="149"/>
      <c r="H62" s="150"/>
      <c r="I62" s="149"/>
      <c r="J62" s="150"/>
      <c r="K62" s="149"/>
      <c r="L62" s="149"/>
    </row>
    <row r="63" spans="1:12" s="142" customFormat="1" ht="13.5" thickBot="1">
      <c r="A63" s="151"/>
      <c r="B63" s="129" t="s">
        <v>19</v>
      </c>
      <c r="C63" s="130"/>
      <c r="D63" s="152"/>
      <c r="E63" s="130"/>
      <c r="F63" s="152"/>
      <c r="G63" s="130"/>
      <c r="H63" s="152"/>
      <c r="I63" s="130"/>
      <c r="J63" s="152"/>
      <c r="K63" s="130"/>
      <c r="L63" s="409">
        <f>L36+L43+L60</f>
        <v>2534002.83</v>
      </c>
    </row>
    <row r="64" ht="12.75">
      <c r="A64" s="153"/>
    </row>
    <row r="65" spans="1:2" ht="12.75">
      <c r="A65" s="29"/>
      <c r="B65" s="3" t="s">
        <v>210</v>
      </c>
    </row>
    <row r="66" spans="1:2" ht="12.75">
      <c r="A66" s="58"/>
      <c r="B66" s="3" t="s">
        <v>211</v>
      </c>
    </row>
    <row r="67" ht="12.75">
      <c r="A67" s="58"/>
    </row>
    <row r="68" spans="1:2" ht="12.75">
      <c r="A68" s="154"/>
      <c r="B68" s="142"/>
    </row>
    <row r="69" spans="1:2" ht="12.75">
      <c r="A69" s="154"/>
      <c r="B69" s="142"/>
    </row>
    <row r="70" spans="1:2" ht="12.75">
      <c r="A70" s="154"/>
      <c r="B70" s="142"/>
    </row>
    <row r="71" spans="1:2" ht="15">
      <c r="A71" s="154"/>
      <c r="B71" s="132" t="s">
        <v>182</v>
      </c>
    </row>
    <row r="72" spans="1:2" ht="12.75">
      <c r="A72" s="154"/>
      <c r="B72" s="142"/>
    </row>
    <row r="73" spans="1:2" ht="12.75">
      <c r="A73" s="154"/>
      <c r="B73" s="3" t="s">
        <v>217</v>
      </c>
    </row>
    <row r="74" spans="1:2" ht="12.75">
      <c r="A74" s="154"/>
      <c r="B74" s="142"/>
    </row>
    <row r="75" spans="1:2" ht="12.75">
      <c r="A75" s="154"/>
      <c r="B75" s="142"/>
    </row>
    <row r="76" spans="1:2" ht="12.75">
      <c r="A76" s="154"/>
      <c r="B76" s="142"/>
    </row>
    <row r="77" spans="1:2" ht="12.75">
      <c r="A77" s="154"/>
      <c r="B77" s="142"/>
    </row>
    <row r="78" spans="1:2" ht="12.75">
      <c r="A78" s="154"/>
      <c r="B78" s="142"/>
    </row>
    <row r="79" spans="1:2" ht="12.75">
      <c r="A79" s="154"/>
      <c r="B79" s="142"/>
    </row>
    <row r="80" spans="1:2" ht="12.75">
      <c r="A80" s="154"/>
      <c r="B80" s="142"/>
    </row>
    <row r="81" spans="1:2" ht="12.75">
      <c r="A81" s="154"/>
      <c r="B81" s="142"/>
    </row>
    <row r="82" spans="1:2" ht="12.75">
      <c r="A82" s="154"/>
      <c r="B82" s="142"/>
    </row>
    <row r="83" spans="1:2" ht="12.75">
      <c r="A83" s="154"/>
      <c r="B83" s="142"/>
    </row>
    <row r="84" spans="1:2" ht="12.75">
      <c r="A84" s="154"/>
      <c r="B84" s="155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96" ht="12.75">
      <c r="A96" s="156"/>
    </row>
    <row r="97" ht="12.75">
      <c r="A97" s="156"/>
    </row>
    <row r="98" ht="12.75">
      <c r="A98" s="156"/>
    </row>
    <row r="99" ht="12.75">
      <c r="A99" s="156"/>
    </row>
    <row r="100" ht="12.75">
      <c r="A100" s="156"/>
    </row>
    <row r="101" ht="12.75">
      <c r="A101" s="156"/>
    </row>
    <row r="102" ht="12.75">
      <c r="A102" s="156"/>
    </row>
    <row r="103" ht="12.75">
      <c r="A103" s="156"/>
    </row>
    <row r="104" ht="12.75">
      <c r="A104" s="156"/>
    </row>
    <row r="105" ht="12.75">
      <c r="A105" s="156"/>
    </row>
    <row r="106" ht="12.75">
      <c r="A106" s="156"/>
    </row>
    <row r="107" ht="12.75">
      <c r="A107" s="156"/>
    </row>
    <row r="108" ht="12.75">
      <c r="A108" s="156"/>
    </row>
    <row r="109" ht="12.75">
      <c r="A109" s="156"/>
    </row>
    <row r="110" ht="12.75">
      <c r="A110" s="156"/>
    </row>
  </sheetData>
  <sheetProtection/>
  <printOptions/>
  <pageMargins left="0.7874015748031497" right="0.3937007874015748" top="0.5905511811023623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7.125" style="0" customWidth="1"/>
  </cols>
  <sheetData>
    <row r="2" spans="1:22" ht="12.75">
      <c r="A2" s="695" t="s">
        <v>265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232"/>
      <c r="T2" s="232"/>
      <c r="U2" s="232"/>
      <c r="V2" s="232"/>
    </row>
    <row r="3" spans="1:22" ht="12.75">
      <c r="A3" s="695" t="s">
        <v>266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232"/>
      <c r="T3" s="232"/>
      <c r="U3" s="232"/>
      <c r="V3" s="232"/>
    </row>
    <row r="4" spans="1:22" ht="12.75">
      <c r="A4" s="695" t="s">
        <v>267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232"/>
      <c r="T4" s="232"/>
      <c r="U4" s="232"/>
      <c r="V4" s="232"/>
    </row>
    <row r="5" spans="1:22" ht="13.5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3.5" thickBot="1">
      <c r="A6" s="233" t="s">
        <v>268</v>
      </c>
      <c r="B6" s="234">
        <v>12.27096</v>
      </c>
      <c r="C6" s="233" t="s">
        <v>11</v>
      </c>
      <c r="D6" s="233"/>
      <c r="E6" s="233" t="s">
        <v>269</v>
      </c>
      <c r="F6" s="233"/>
      <c r="G6" s="232"/>
      <c r="H6" s="235">
        <v>12.3786</v>
      </c>
      <c r="I6" s="233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2" ht="13.5" thickBot="1">
      <c r="A7" s="696" t="s">
        <v>271</v>
      </c>
      <c r="B7" s="687" t="s">
        <v>272</v>
      </c>
      <c r="C7" s="687" t="s">
        <v>273</v>
      </c>
      <c r="D7" s="703" t="s">
        <v>274</v>
      </c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236" t="s">
        <v>275</v>
      </c>
      <c r="S7" s="237" t="s">
        <v>275</v>
      </c>
      <c r="T7" s="236" t="s">
        <v>275</v>
      </c>
      <c r="U7" s="237" t="s">
        <v>275</v>
      </c>
      <c r="V7" s="238" t="s">
        <v>276</v>
      </c>
    </row>
    <row r="8" spans="1:22" ht="23.25" customHeight="1" thickBot="1">
      <c r="A8" s="697"/>
      <c r="B8" s="699"/>
      <c r="C8" s="701"/>
      <c r="D8" s="705" t="s">
        <v>277</v>
      </c>
      <c r="E8" s="706"/>
      <c r="F8" s="707"/>
      <c r="G8" s="686" t="s">
        <v>278</v>
      </c>
      <c r="H8" s="687"/>
      <c r="I8" s="688"/>
      <c r="J8" s="685" t="s">
        <v>279</v>
      </c>
      <c r="K8" s="686"/>
      <c r="L8" s="687"/>
      <c r="M8" s="708"/>
      <c r="N8" s="685" t="s">
        <v>280</v>
      </c>
      <c r="O8" s="686"/>
      <c r="P8" s="687"/>
      <c r="Q8" s="688"/>
      <c r="R8" s="689" t="s">
        <v>281</v>
      </c>
      <c r="S8" s="691" t="s">
        <v>282</v>
      </c>
      <c r="T8" s="689" t="s">
        <v>283</v>
      </c>
      <c r="U8" s="691" t="s">
        <v>284</v>
      </c>
      <c r="V8" s="693" t="s">
        <v>11</v>
      </c>
    </row>
    <row r="9" spans="1:22" ht="24" thickBot="1">
      <c r="A9" s="698"/>
      <c r="B9" s="700"/>
      <c r="C9" s="702"/>
      <c r="D9" s="239" t="s">
        <v>285</v>
      </c>
      <c r="E9" s="240" t="s">
        <v>286</v>
      </c>
      <c r="F9" s="241" t="s">
        <v>287</v>
      </c>
      <c r="G9" s="242" t="s">
        <v>285</v>
      </c>
      <c r="H9" s="243" t="s">
        <v>286</v>
      </c>
      <c r="I9" s="244" t="s">
        <v>288</v>
      </c>
      <c r="J9" s="245" t="s">
        <v>285</v>
      </c>
      <c r="K9" s="242"/>
      <c r="L9" s="243" t="s">
        <v>286</v>
      </c>
      <c r="M9" s="246" t="s">
        <v>288</v>
      </c>
      <c r="N9" s="245" t="s">
        <v>285</v>
      </c>
      <c r="O9" s="242"/>
      <c r="P9" s="243" t="s">
        <v>286</v>
      </c>
      <c r="Q9" s="244" t="s">
        <v>288</v>
      </c>
      <c r="R9" s="690"/>
      <c r="S9" s="692"/>
      <c r="T9" s="690"/>
      <c r="U9" s="692"/>
      <c r="V9" s="694"/>
    </row>
    <row r="10" spans="1:22" ht="12.75">
      <c r="A10" s="247"/>
      <c r="B10" s="248"/>
      <c r="C10" s="249"/>
      <c r="D10" s="250"/>
      <c r="E10" s="251"/>
      <c r="F10" s="252"/>
      <c r="G10" s="253"/>
      <c r="H10" s="248"/>
      <c r="I10" s="249"/>
      <c r="J10" s="247"/>
      <c r="K10" s="253"/>
      <c r="L10" s="248"/>
      <c r="M10" s="254"/>
      <c r="N10" s="247"/>
      <c r="O10" s="253"/>
      <c r="P10" s="248"/>
      <c r="Q10" s="254"/>
      <c r="R10" s="255"/>
      <c r="S10" s="256"/>
      <c r="T10" s="250"/>
      <c r="U10" s="256"/>
      <c r="V10" s="257"/>
    </row>
    <row r="11" spans="1:22" ht="12.75">
      <c r="A11" s="258" t="s">
        <v>289</v>
      </c>
      <c r="B11" s="259">
        <f>1360/2</f>
        <v>680</v>
      </c>
      <c r="C11" s="260">
        <v>0.05</v>
      </c>
      <c r="D11" s="258"/>
      <c r="E11" s="259"/>
      <c r="F11" s="261"/>
      <c r="G11" s="262">
        <v>680</v>
      </c>
      <c r="H11" s="259">
        <v>0.43</v>
      </c>
      <c r="I11" s="263">
        <f>G11*H11</f>
        <v>292</v>
      </c>
      <c r="J11" s="258">
        <v>90</v>
      </c>
      <c r="K11" s="525">
        <f>J11/G11*100</f>
        <v>13</v>
      </c>
      <c r="L11" s="259">
        <v>0.26</v>
      </c>
      <c r="M11" s="264">
        <f>J11*L11</f>
        <v>23</v>
      </c>
      <c r="N11" s="258"/>
      <c r="O11" s="262"/>
      <c r="P11" s="259"/>
      <c r="Q11" s="265">
        <f>N11*P11</f>
        <v>0</v>
      </c>
      <c r="R11" s="262">
        <f>I11+M11+Q11</f>
        <v>315</v>
      </c>
      <c r="S11" s="266">
        <f>R11*B6</f>
        <v>3865.35</v>
      </c>
      <c r="T11" s="258"/>
      <c r="U11" s="260"/>
      <c r="V11" s="267">
        <f>S11+U11</f>
        <v>3865.35</v>
      </c>
    </row>
    <row r="12" spans="1:22" ht="12.75">
      <c r="A12" s="258" t="s">
        <v>290</v>
      </c>
      <c r="B12" s="259">
        <v>4200</v>
      </c>
      <c r="C12" s="260">
        <v>0.19</v>
      </c>
      <c r="D12" s="258"/>
      <c r="E12" s="259"/>
      <c r="F12" s="261"/>
      <c r="G12" s="262">
        <v>4200</v>
      </c>
      <c r="H12" s="259">
        <v>0.35</v>
      </c>
      <c r="I12" s="263">
        <f>G12*H12</f>
        <v>1470</v>
      </c>
      <c r="J12" s="258">
        <v>2960</v>
      </c>
      <c r="K12" s="525">
        <f>J12/G12*100</f>
        <v>70</v>
      </c>
      <c r="L12" s="259">
        <v>0.23</v>
      </c>
      <c r="M12" s="264">
        <f>J12*L12</f>
        <v>681</v>
      </c>
      <c r="N12" s="258">
        <v>400</v>
      </c>
      <c r="O12" s="525">
        <f>N12/G12*100</f>
        <v>10</v>
      </c>
      <c r="P12" s="259">
        <v>0.12</v>
      </c>
      <c r="Q12" s="265">
        <f>N12*P12</f>
        <v>48</v>
      </c>
      <c r="R12" s="262">
        <f>I12+M12+Q12</f>
        <v>2199</v>
      </c>
      <c r="S12" s="266">
        <f>R12*B6</f>
        <v>26983.84</v>
      </c>
      <c r="T12" s="258"/>
      <c r="U12" s="260"/>
      <c r="V12" s="267">
        <f>S12+U12</f>
        <v>26983.84</v>
      </c>
    </row>
    <row r="13" spans="1:22" ht="12.75">
      <c r="A13" s="258" t="s">
        <v>291</v>
      </c>
      <c r="B13" s="259">
        <v>4620</v>
      </c>
      <c r="C13" s="260">
        <v>0.15</v>
      </c>
      <c r="D13" s="258"/>
      <c r="E13" s="259"/>
      <c r="F13" s="261"/>
      <c r="G13" s="262">
        <v>4620</v>
      </c>
      <c r="H13" s="259">
        <v>0.35</v>
      </c>
      <c r="I13" s="263">
        <f>G13*H13</f>
        <v>1617</v>
      </c>
      <c r="J13" s="258">
        <v>3667</v>
      </c>
      <c r="K13" s="525">
        <f>J13/G13*100</f>
        <v>79</v>
      </c>
      <c r="L13" s="259">
        <v>0.23</v>
      </c>
      <c r="M13" s="264">
        <f>J13*L13</f>
        <v>843</v>
      </c>
      <c r="N13" s="258">
        <v>29</v>
      </c>
      <c r="O13" s="525">
        <f>N13/G13*100</f>
        <v>1</v>
      </c>
      <c r="P13" s="259">
        <v>0.12</v>
      </c>
      <c r="Q13" s="265">
        <f>N13*P13</f>
        <v>3.5</v>
      </c>
      <c r="R13" s="262">
        <f>I13+M13+Q13</f>
        <v>2463.5</v>
      </c>
      <c r="S13" s="266">
        <f>R13*B6</f>
        <v>30229.51</v>
      </c>
      <c r="T13" s="258"/>
      <c r="U13" s="260"/>
      <c r="V13" s="267">
        <f>S13+U13</f>
        <v>30229.51</v>
      </c>
    </row>
    <row r="14" spans="1:22" ht="12.75">
      <c r="A14" s="258" t="s">
        <v>292</v>
      </c>
      <c r="B14" s="259">
        <f>4900+350+400</f>
        <v>5650</v>
      </c>
      <c r="C14" s="260">
        <v>0.11</v>
      </c>
      <c r="D14" s="258"/>
      <c r="E14" s="259"/>
      <c r="F14" s="261"/>
      <c r="G14" s="262">
        <v>5650</v>
      </c>
      <c r="H14" s="259">
        <v>0.43</v>
      </c>
      <c r="I14" s="263">
        <f>G14*H14</f>
        <v>2430</v>
      </c>
      <c r="J14" s="258">
        <v>4120</v>
      </c>
      <c r="K14" s="525">
        <f>J14/G14*100</f>
        <v>73</v>
      </c>
      <c r="L14" s="268">
        <v>0.26</v>
      </c>
      <c r="M14" s="264">
        <f>J14*L14</f>
        <v>1071</v>
      </c>
      <c r="N14" s="258">
        <v>400</v>
      </c>
      <c r="O14" s="525">
        <f>N14/G14*100</f>
        <v>7</v>
      </c>
      <c r="P14" s="268">
        <v>0.15</v>
      </c>
      <c r="Q14" s="265">
        <f>N14*P14</f>
        <v>60</v>
      </c>
      <c r="R14" s="269">
        <f>I14+M14+Q14</f>
        <v>3561</v>
      </c>
      <c r="S14" s="266">
        <f>R14*B6</f>
        <v>43696.89</v>
      </c>
      <c r="T14" s="258"/>
      <c r="U14" s="260"/>
      <c r="V14" s="267">
        <f>S14+U14</f>
        <v>43696.89</v>
      </c>
    </row>
    <row r="15" spans="1:22" ht="12.75">
      <c r="A15" s="270" t="s">
        <v>293</v>
      </c>
      <c r="B15" s="271">
        <v>829</v>
      </c>
      <c r="C15" s="272">
        <v>0.16</v>
      </c>
      <c r="D15" s="270">
        <v>829</v>
      </c>
      <c r="E15" s="271">
        <f>2.6*1.2</f>
        <v>3.12</v>
      </c>
      <c r="F15" s="273">
        <f>D15*E15</f>
        <v>2586</v>
      </c>
      <c r="G15" s="274"/>
      <c r="H15" s="271"/>
      <c r="I15" s="272"/>
      <c r="J15" s="270"/>
      <c r="K15" s="526"/>
      <c r="L15" s="275"/>
      <c r="M15" s="276"/>
      <c r="N15" s="270"/>
      <c r="O15" s="274"/>
      <c r="P15" s="275"/>
      <c r="Q15" s="276"/>
      <c r="R15" s="274"/>
      <c r="S15" s="272"/>
      <c r="T15" s="277">
        <v>2586</v>
      </c>
      <c r="U15" s="266">
        <f>T15*H6</f>
        <v>32011.06</v>
      </c>
      <c r="V15" s="267">
        <f>S15+U15</f>
        <v>32011.06</v>
      </c>
    </row>
    <row r="16" spans="1:22" ht="13.5" thickBot="1">
      <c r="A16" s="270"/>
      <c r="B16" s="271"/>
      <c r="C16" s="272"/>
      <c r="D16" s="278"/>
      <c r="E16" s="279"/>
      <c r="F16" s="280"/>
      <c r="G16" s="274"/>
      <c r="H16" s="271"/>
      <c r="I16" s="272"/>
      <c r="J16" s="278"/>
      <c r="K16" s="432"/>
      <c r="L16" s="279"/>
      <c r="M16" s="280"/>
      <c r="N16" s="278"/>
      <c r="O16" s="432"/>
      <c r="P16" s="279"/>
      <c r="Q16" s="280"/>
      <c r="R16" s="274"/>
      <c r="S16" s="272"/>
      <c r="T16" s="258"/>
      <c r="U16" s="260"/>
      <c r="V16" s="281"/>
    </row>
    <row r="17" spans="1:22" ht="13.5" thickBot="1">
      <c r="A17" s="282" t="s">
        <v>7</v>
      </c>
      <c r="B17" s="283">
        <f>SUM(B11:B16)</f>
        <v>15979</v>
      </c>
      <c r="C17" s="283"/>
      <c r="D17" s="283"/>
      <c r="E17" s="283"/>
      <c r="F17" s="283"/>
      <c r="G17" s="283">
        <f>SUM(G11:G16)</f>
        <v>15150</v>
      </c>
      <c r="H17" s="283"/>
      <c r="I17" s="283">
        <f>SUM(I11:I16)</f>
        <v>5809</v>
      </c>
      <c r="J17" s="283">
        <f>SUM(J11:J16)</f>
        <v>10837</v>
      </c>
      <c r="K17" s="283"/>
      <c r="L17" s="283"/>
      <c r="M17" s="283">
        <f>SUM(M11:M16)</f>
        <v>2618</v>
      </c>
      <c r="N17" s="283">
        <f>SUM(N11:N16)</f>
        <v>829</v>
      </c>
      <c r="O17" s="283"/>
      <c r="P17" s="283"/>
      <c r="Q17" s="283">
        <f aca="true" t="shared" si="0" ref="Q17:V17">SUM(Q11:Q16)</f>
        <v>111.5</v>
      </c>
      <c r="R17" s="284">
        <f>SUM(R11:R16)</f>
        <v>8538.5</v>
      </c>
      <c r="S17" s="285">
        <f t="shared" si="0"/>
        <v>104775.59</v>
      </c>
      <c r="T17" s="286">
        <f t="shared" si="0"/>
        <v>2586</v>
      </c>
      <c r="U17" s="285">
        <f t="shared" si="0"/>
        <v>32011.06</v>
      </c>
      <c r="V17" s="287">
        <f t="shared" si="0"/>
        <v>136786.65</v>
      </c>
    </row>
    <row r="18" spans="1:22" ht="13.5" thickBo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ht="13.5" thickBot="1">
      <c r="A19" s="233" t="s">
        <v>294</v>
      </c>
      <c r="B19" s="288">
        <v>29.0628</v>
      </c>
      <c r="C19" s="233" t="s">
        <v>11</v>
      </c>
      <c r="D19" s="233"/>
      <c r="E19" s="233"/>
      <c r="F19" s="233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89"/>
    </row>
    <row r="20" spans="1:22" ht="13.5" thickBot="1">
      <c r="A20" s="233" t="s">
        <v>295</v>
      </c>
      <c r="B20" s="288">
        <v>31.43088</v>
      </c>
      <c r="C20" s="233" t="s">
        <v>11</v>
      </c>
      <c r="D20" s="233"/>
      <c r="E20" s="233"/>
      <c r="F20" s="233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89"/>
    </row>
    <row r="21" spans="1:22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</row>
    <row r="22" spans="1:22" ht="12.75">
      <c r="A22" s="232" t="s">
        <v>296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 t="s">
        <v>297</v>
      </c>
      <c r="M22" s="232"/>
      <c r="N22" s="232"/>
      <c r="O22" s="232"/>
      <c r="P22" s="232"/>
      <c r="Q22" s="232"/>
      <c r="R22" s="232"/>
      <c r="S22" s="232"/>
      <c r="T22" s="232"/>
      <c r="U22" s="232"/>
      <c r="V22" s="232"/>
    </row>
    <row r="23" spans="1:22" ht="12.75">
      <c r="A23" s="232" t="s">
        <v>298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 t="s">
        <v>299</v>
      </c>
      <c r="M23" s="232"/>
      <c r="N23" s="232"/>
      <c r="O23" s="232"/>
      <c r="P23" s="232"/>
      <c r="Q23" s="232"/>
      <c r="R23" s="232"/>
      <c r="S23" s="232" t="s">
        <v>300</v>
      </c>
      <c r="T23" s="232"/>
      <c r="U23" s="232">
        <v>4441</v>
      </c>
      <c r="V23" s="232"/>
    </row>
    <row r="24" spans="1:22" ht="12.75">
      <c r="A24" s="232" t="s">
        <v>301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 t="s">
        <v>302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1:22" ht="12.75">
      <c r="A25" s="232" t="s">
        <v>303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 t="s">
        <v>304</v>
      </c>
      <c r="M25" s="232"/>
      <c r="N25" s="232"/>
      <c r="O25" s="232"/>
      <c r="P25" s="232"/>
      <c r="Q25" s="232"/>
      <c r="R25" s="232"/>
      <c r="S25" s="232"/>
      <c r="T25" s="232"/>
      <c r="U25" s="232"/>
      <c r="V25" s="232"/>
    </row>
    <row r="26" spans="1:22" ht="12.75">
      <c r="A26" s="232" t="s">
        <v>305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 t="s">
        <v>306</v>
      </c>
      <c r="M26" s="232"/>
      <c r="N26" s="232"/>
      <c r="O26" s="232"/>
      <c r="P26" s="232"/>
      <c r="Q26" s="232"/>
      <c r="R26" s="232"/>
      <c r="S26" s="232"/>
      <c r="T26" s="232"/>
      <c r="U26" s="232"/>
      <c r="V26" s="232"/>
    </row>
    <row r="27" spans="1:22" ht="12.75">
      <c r="A27" s="232" t="s">
        <v>307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 t="s">
        <v>308</v>
      </c>
      <c r="M27" s="232"/>
      <c r="N27" s="232"/>
      <c r="O27" s="232"/>
      <c r="P27" s="232"/>
      <c r="Q27" s="232"/>
      <c r="R27" s="232"/>
      <c r="S27" s="232" t="s">
        <v>309</v>
      </c>
      <c r="T27" s="232"/>
      <c r="U27" s="232">
        <v>116</v>
      </c>
      <c r="V27" s="232"/>
    </row>
    <row r="28" spans="1:22" ht="12.75">
      <c r="A28" s="232" t="s">
        <v>310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 t="s">
        <v>311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</row>
    <row r="29" spans="1:22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</row>
    <row r="30" spans="1:22" ht="12.75">
      <c r="A30" s="233" t="s">
        <v>312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90">
        <v>269508.99</v>
      </c>
      <c r="M30" s="233" t="s">
        <v>50</v>
      </c>
      <c r="N30" s="232"/>
      <c r="O30" s="232"/>
      <c r="P30" s="232"/>
      <c r="Q30" s="232"/>
      <c r="R30" s="232"/>
      <c r="S30" s="232"/>
      <c r="T30" s="232"/>
      <c r="U30" s="232"/>
      <c r="V30" s="232"/>
    </row>
    <row r="31" spans="1:22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</row>
    <row r="32" spans="1:22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</sheetData>
  <sheetProtection/>
  <mergeCells count="16">
    <mergeCell ref="A2:R2"/>
    <mergeCell ref="A3:R3"/>
    <mergeCell ref="A4:R4"/>
    <mergeCell ref="A7:A9"/>
    <mergeCell ref="B7:B9"/>
    <mergeCell ref="C7:C9"/>
    <mergeCell ref="D7:Q7"/>
    <mergeCell ref="D8:F8"/>
    <mergeCell ref="G8:I8"/>
    <mergeCell ref="J8:M8"/>
    <mergeCell ref="N8:Q8"/>
    <mergeCell ref="R8:R9"/>
    <mergeCell ref="S8:S9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R28" sqref="R28"/>
    </sheetView>
  </sheetViews>
  <sheetFormatPr defaultColWidth="9.00390625" defaultRowHeight="12.75"/>
  <cols>
    <col min="1" max="1" width="15.875" style="0" customWidth="1"/>
    <col min="11" max="11" width="11.125" style="0" customWidth="1"/>
    <col min="12" max="12" width="11.50390625" style="0" customWidth="1"/>
    <col min="13" max="13" width="12.50390625" style="0" customWidth="1"/>
  </cols>
  <sheetData>
    <row r="2" spans="1:14" ht="12.75">
      <c r="A2" s="3"/>
      <c r="B2" s="142" t="s">
        <v>313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8" t="s">
        <v>183</v>
      </c>
      <c r="B3" s="3"/>
      <c r="C3" s="3"/>
      <c r="D3" s="3"/>
      <c r="E3" s="3"/>
      <c r="F3" s="3"/>
      <c r="G3" s="3"/>
      <c r="H3" s="3"/>
      <c r="I3" s="3" t="s">
        <v>314</v>
      </c>
      <c r="J3" s="3">
        <v>269.63</v>
      </c>
      <c r="K3" s="3"/>
      <c r="L3" s="291"/>
      <c r="M3" s="291"/>
      <c r="N3" s="3"/>
    </row>
    <row r="4" spans="1:14" ht="13.5" thickBot="1">
      <c r="A4" s="58"/>
      <c r="B4" s="3"/>
      <c r="C4" s="3"/>
      <c r="D4" s="3"/>
      <c r="E4" s="3"/>
      <c r="F4" s="3"/>
      <c r="G4" s="3"/>
      <c r="H4" s="3"/>
      <c r="I4" s="3" t="s">
        <v>315</v>
      </c>
      <c r="J4" s="292">
        <v>414.31</v>
      </c>
      <c r="K4" s="3"/>
      <c r="L4" s="291"/>
      <c r="M4" s="291"/>
      <c r="N4" s="3"/>
    </row>
    <row r="5" spans="1:14" ht="13.5">
      <c r="A5" s="64" t="s">
        <v>185</v>
      </c>
      <c r="B5" s="7" t="s">
        <v>186</v>
      </c>
      <c r="C5" s="157" t="s">
        <v>187</v>
      </c>
      <c r="D5" s="158" t="s">
        <v>185</v>
      </c>
      <c r="E5" s="64" t="s">
        <v>188</v>
      </c>
      <c r="F5" s="7" t="s">
        <v>188</v>
      </c>
      <c r="G5" s="64" t="s">
        <v>189</v>
      </c>
      <c r="H5" s="7" t="s">
        <v>189</v>
      </c>
      <c r="I5" s="64" t="s">
        <v>190</v>
      </c>
      <c r="J5" s="7" t="s">
        <v>191</v>
      </c>
      <c r="K5" s="293" t="s">
        <v>22</v>
      </c>
      <c r="L5" s="7" t="s">
        <v>316</v>
      </c>
      <c r="M5" s="294" t="s">
        <v>190</v>
      </c>
      <c r="N5" s="29"/>
    </row>
    <row r="6" spans="1:14" ht="13.5">
      <c r="A6" s="29" t="s">
        <v>193</v>
      </c>
      <c r="B6" s="9" t="s">
        <v>194</v>
      </c>
      <c r="C6" s="29" t="s">
        <v>195</v>
      </c>
      <c r="D6" s="9" t="s">
        <v>196</v>
      </c>
      <c r="E6" s="29" t="s">
        <v>197</v>
      </c>
      <c r="F6" s="9" t="s">
        <v>197</v>
      </c>
      <c r="G6" s="29" t="s">
        <v>198</v>
      </c>
      <c r="H6" s="9" t="s">
        <v>198</v>
      </c>
      <c r="I6" s="29" t="s">
        <v>199</v>
      </c>
      <c r="J6" s="9" t="s">
        <v>200</v>
      </c>
      <c r="K6" s="11" t="s">
        <v>201</v>
      </c>
      <c r="L6" s="9" t="s">
        <v>317</v>
      </c>
      <c r="M6" s="295" t="s">
        <v>318</v>
      </c>
      <c r="N6" s="29"/>
    </row>
    <row r="7" spans="1:14" ht="13.5">
      <c r="A7" s="29"/>
      <c r="B7" s="9" t="s">
        <v>202</v>
      </c>
      <c r="C7" s="29" t="s">
        <v>319</v>
      </c>
      <c r="D7" s="9"/>
      <c r="E7" s="29" t="s">
        <v>204</v>
      </c>
      <c r="F7" s="9" t="s">
        <v>205</v>
      </c>
      <c r="G7" s="29" t="s">
        <v>206</v>
      </c>
      <c r="H7" s="9" t="s">
        <v>207</v>
      </c>
      <c r="I7" s="29" t="s">
        <v>213</v>
      </c>
      <c r="J7" s="9" t="s">
        <v>215</v>
      </c>
      <c r="K7" s="11" t="s">
        <v>51</v>
      </c>
      <c r="L7" s="9" t="s">
        <v>320</v>
      </c>
      <c r="M7" s="295" t="s">
        <v>321</v>
      </c>
      <c r="N7" s="29"/>
    </row>
    <row r="8" spans="1:14" ht="14.25" thickBot="1">
      <c r="A8" s="40"/>
      <c r="B8" s="13"/>
      <c r="C8" s="34"/>
      <c r="D8" s="13"/>
      <c r="E8" s="34" t="s">
        <v>208</v>
      </c>
      <c r="F8" s="10" t="s">
        <v>208</v>
      </c>
      <c r="G8" s="159" t="s">
        <v>322</v>
      </c>
      <c r="H8" s="160" t="s">
        <v>323</v>
      </c>
      <c r="I8" s="159" t="s">
        <v>214</v>
      </c>
      <c r="J8" s="160" t="s">
        <v>196</v>
      </c>
      <c r="K8" s="39"/>
      <c r="L8" s="10" t="s">
        <v>321</v>
      </c>
      <c r="M8" s="296"/>
      <c r="N8" s="3"/>
    </row>
    <row r="9" spans="1:14" ht="13.5" thickBot="1">
      <c r="A9" s="43">
        <v>2</v>
      </c>
      <c r="B9" s="42">
        <v>3</v>
      </c>
      <c r="C9" s="43">
        <v>4</v>
      </c>
      <c r="D9" s="42"/>
      <c r="E9" s="43">
        <v>5</v>
      </c>
      <c r="F9" s="42">
        <v>6</v>
      </c>
      <c r="G9" s="43">
        <v>7</v>
      </c>
      <c r="H9" s="42">
        <v>8</v>
      </c>
      <c r="I9" s="43">
        <v>9</v>
      </c>
      <c r="J9" s="42">
        <v>10</v>
      </c>
      <c r="K9" s="297">
        <v>11</v>
      </c>
      <c r="L9" s="42">
        <v>12</v>
      </c>
      <c r="M9" s="44">
        <v>13</v>
      </c>
      <c r="N9" s="29"/>
    </row>
    <row r="10" spans="1:14" ht="12.75">
      <c r="A10" s="298" t="s">
        <v>324</v>
      </c>
      <c r="B10" s="299">
        <v>1986</v>
      </c>
      <c r="C10" s="300">
        <v>22</v>
      </c>
      <c r="D10" s="16" t="s">
        <v>325</v>
      </c>
      <c r="E10" s="228">
        <f>0.3625*100</f>
        <v>36.25</v>
      </c>
      <c r="F10" s="302">
        <f aca="true" t="shared" si="0" ref="F10:F21">E10*10/100+E10</f>
        <v>39.88</v>
      </c>
      <c r="G10" s="301">
        <f>(C10*E10)/12*7</f>
        <v>465.21</v>
      </c>
      <c r="H10" s="302">
        <f>C10*F10/12*5</f>
        <v>365.57</v>
      </c>
      <c r="I10" s="303">
        <f>(G10+H10)</f>
        <v>830.78</v>
      </c>
      <c r="J10" s="16">
        <v>12270.96</v>
      </c>
      <c r="K10" s="304">
        <f>I10*J10</f>
        <v>10194468.15</v>
      </c>
      <c r="L10" s="305">
        <f>C10*J4</f>
        <v>9114.82</v>
      </c>
      <c r="M10" s="306">
        <f aca="true" t="shared" si="1" ref="M10:M21">K10+L10</f>
        <v>10203582.97</v>
      </c>
      <c r="N10" s="3"/>
    </row>
    <row r="11" spans="1:14" ht="12.75">
      <c r="A11" s="298" t="s">
        <v>326</v>
      </c>
      <c r="B11" s="299">
        <v>1977</v>
      </c>
      <c r="C11" s="300">
        <v>20</v>
      </c>
      <c r="D11" s="16" t="s">
        <v>325</v>
      </c>
      <c r="E11" s="228">
        <f>0.3625*100</f>
        <v>36.25</v>
      </c>
      <c r="F11" s="302">
        <f t="shared" si="0"/>
        <v>39.88</v>
      </c>
      <c r="G11" s="301">
        <f>(C11*E11)/12*7</f>
        <v>422.92</v>
      </c>
      <c r="H11" s="302">
        <f>C11*F11/12*5</f>
        <v>332.33</v>
      </c>
      <c r="I11" s="303">
        <f>(G11+H11)</f>
        <v>755.25</v>
      </c>
      <c r="J11" s="16">
        <v>12270.96</v>
      </c>
      <c r="K11" s="304">
        <f>I11*J11</f>
        <v>9267642.54</v>
      </c>
      <c r="L11" s="305">
        <f>C11*J4</f>
        <v>8286.2</v>
      </c>
      <c r="M11" s="306">
        <f>K11+L11</f>
        <v>9275928.74</v>
      </c>
      <c r="N11" s="3"/>
    </row>
    <row r="12" spans="1:14" ht="12.75">
      <c r="A12" s="298" t="s">
        <v>327</v>
      </c>
      <c r="B12" s="299">
        <v>1977</v>
      </c>
      <c r="C12" s="300">
        <v>36</v>
      </c>
      <c r="D12" s="16" t="s">
        <v>325</v>
      </c>
      <c r="E12" s="228">
        <f>0.406*100</f>
        <v>40.6</v>
      </c>
      <c r="F12" s="302">
        <f t="shared" si="0"/>
        <v>44.66</v>
      </c>
      <c r="G12" s="301">
        <f aca="true" t="shared" si="2" ref="G12:G21">(C12*E12)/12*7</f>
        <v>852.6</v>
      </c>
      <c r="H12" s="302">
        <f>C12*F12/12*5</f>
        <v>669.9</v>
      </c>
      <c r="I12" s="303">
        <f aca="true" t="shared" si="3" ref="I12:I31">(G12+H12)</f>
        <v>1522.5</v>
      </c>
      <c r="J12" s="16">
        <v>12270.96</v>
      </c>
      <c r="K12" s="304">
        <f aca="true" t="shared" si="4" ref="K12:K21">I12*J12</f>
        <v>18682536.6</v>
      </c>
      <c r="L12" s="305">
        <f>C12*J4</f>
        <v>14915.16</v>
      </c>
      <c r="M12" s="306">
        <f t="shared" si="1"/>
        <v>18697451.76</v>
      </c>
      <c r="N12" s="3"/>
    </row>
    <row r="13" spans="1:14" ht="13.5" thickBot="1">
      <c r="A13" s="298" t="s">
        <v>328</v>
      </c>
      <c r="B13" s="299">
        <v>1984</v>
      </c>
      <c r="C13" s="300">
        <v>18</v>
      </c>
      <c r="D13" s="16" t="s">
        <v>325</v>
      </c>
      <c r="E13" s="228">
        <f>0.319*100</f>
        <v>31.9</v>
      </c>
      <c r="F13" s="302">
        <f t="shared" si="0"/>
        <v>35.09</v>
      </c>
      <c r="G13" s="301">
        <f t="shared" si="2"/>
        <v>334.95</v>
      </c>
      <c r="H13" s="302">
        <f>C13*F13/12*5</f>
        <v>263.18</v>
      </c>
      <c r="I13" s="303">
        <f t="shared" si="3"/>
        <v>598.13</v>
      </c>
      <c r="J13" s="16">
        <v>12270.96</v>
      </c>
      <c r="K13" s="304">
        <f t="shared" si="4"/>
        <v>7339629.3</v>
      </c>
      <c r="L13" s="305">
        <f>C13*J4</f>
        <v>7457.58</v>
      </c>
      <c r="M13" s="306">
        <f t="shared" si="1"/>
        <v>7347086.88</v>
      </c>
      <c r="N13" s="3"/>
    </row>
    <row r="14" spans="1:14" ht="12.75">
      <c r="A14" s="298" t="s">
        <v>329</v>
      </c>
      <c r="B14" s="299">
        <v>1980</v>
      </c>
      <c r="C14" s="300">
        <v>24</v>
      </c>
      <c r="D14" s="16" t="s">
        <v>325</v>
      </c>
      <c r="E14" s="228">
        <f>0.204*100</f>
        <v>20.4</v>
      </c>
      <c r="F14" s="302">
        <f t="shared" si="0"/>
        <v>22.44</v>
      </c>
      <c r="G14" s="301">
        <f t="shared" si="2"/>
        <v>285.6</v>
      </c>
      <c r="H14" s="302">
        <f>C14*F14/12*5</f>
        <v>224.4</v>
      </c>
      <c r="I14" s="303">
        <f t="shared" si="3"/>
        <v>510</v>
      </c>
      <c r="J14" s="16">
        <v>12270.96</v>
      </c>
      <c r="K14" s="304">
        <f t="shared" si="4"/>
        <v>6258189.6</v>
      </c>
      <c r="L14" s="305">
        <f>C14*J4</f>
        <v>9943.44</v>
      </c>
      <c r="M14" s="306">
        <f t="shared" si="1"/>
        <v>6268133.04</v>
      </c>
      <c r="N14" s="12" t="s">
        <v>330</v>
      </c>
    </row>
    <row r="15" spans="1:14" ht="13.5" thickBot="1">
      <c r="A15" s="298" t="s">
        <v>331</v>
      </c>
      <c r="B15" s="307">
        <v>1980</v>
      </c>
      <c r="C15" s="300">
        <v>30</v>
      </c>
      <c r="D15" s="16" t="s">
        <v>325</v>
      </c>
      <c r="E15" s="228">
        <f>0.5945*100</f>
        <v>59.45</v>
      </c>
      <c r="F15" s="302">
        <v>0.66</v>
      </c>
      <c r="G15" s="301">
        <f t="shared" si="2"/>
        <v>1040.38</v>
      </c>
      <c r="H15" s="302">
        <f>(C15*F15)/12*5</f>
        <v>8.25</v>
      </c>
      <c r="I15" s="303">
        <f t="shared" si="3"/>
        <v>1048.63</v>
      </c>
      <c r="J15" s="16">
        <v>12270.96</v>
      </c>
      <c r="K15" s="304">
        <f t="shared" si="4"/>
        <v>12867696.78</v>
      </c>
      <c r="L15" s="305">
        <f>C15*J4</f>
        <v>12429.3</v>
      </c>
      <c r="M15" s="308">
        <f t="shared" si="1"/>
        <v>12880126.08</v>
      </c>
      <c r="N15" s="309">
        <f>SUM(L10:L15)</f>
        <v>62146.5</v>
      </c>
    </row>
    <row r="16" spans="1:14" ht="12.75">
      <c r="A16" s="310" t="s">
        <v>332</v>
      </c>
      <c r="B16" s="311">
        <v>1999</v>
      </c>
      <c r="C16" s="312">
        <v>38</v>
      </c>
      <c r="D16" s="313" t="s">
        <v>325</v>
      </c>
      <c r="E16" s="471">
        <f>0.1284*100</f>
        <v>12.84</v>
      </c>
      <c r="F16" s="302">
        <f t="shared" si="0"/>
        <v>14.12</v>
      </c>
      <c r="G16" s="301">
        <f t="shared" si="2"/>
        <v>284.62</v>
      </c>
      <c r="H16" s="302">
        <f aca="true" t="shared" si="5" ref="H16:H21">C16*F16/12*5</f>
        <v>223.57</v>
      </c>
      <c r="I16" s="303">
        <f t="shared" si="3"/>
        <v>508.19</v>
      </c>
      <c r="J16" s="16">
        <v>12270.96</v>
      </c>
      <c r="K16" s="304">
        <f>I16*J16</f>
        <v>6235979.16</v>
      </c>
      <c r="L16" s="305">
        <f>C16*J3</f>
        <v>10245.94</v>
      </c>
      <c r="M16" s="306">
        <f t="shared" si="1"/>
        <v>6246225.1</v>
      </c>
      <c r="N16" s="3"/>
    </row>
    <row r="17" spans="1:14" ht="12.75">
      <c r="A17" s="310" t="s">
        <v>333</v>
      </c>
      <c r="B17" s="311">
        <v>1987</v>
      </c>
      <c r="C17" s="312">
        <v>34</v>
      </c>
      <c r="D17" s="313" t="s">
        <v>325</v>
      </c>
      <c r="E17" s="471">
        <f>0.1812*100</f>
        <v>18.12</v>
      </c>
      <c r="F17" s="302">
        <f t="shared" si="0"/>
        <v>19.93</v>
      </c>
      <c r="G17" s="301">
        <f t="shared" si="2"/>
        <v>359.38</v>
      </c>
      <c r="H17" s="302">
        <f t="shared" si="5"/>
        <v>282.34</v>
      </c>
      <c r="I17" s="303">
        <f t="shared" si="3"/>
        <v>641.72</v>
      </c>
      <c r="J17" s="16">
        <v>12270.96</v>
      </c>
      <c r="K17" s="304">
        <f>I17*J17</f>
        <v>7874520.45</v>
      </c>
      <c r="L17" s="305">
        <f>C17*J3</f>
        <v>9167.42</v>
      </c>
      <c r="M17" s="306">
        <f>K17+L17</f>
        <v>7883687.87</v>
      </c>
      <c r="N17" s="3"/>
    </row>
    <row r="18" spans="1:14" ht="13.5" thickBot="1">
      <c r="A18" s="310" t="s">
        <v>334</v>
      </c>
      <c r="B18" s="311">
        <v>1981</v>
      </c>
      <c r="C18" s="312">
        <v>20</v>
      </c>
      <c r="D18" s="313" t="s">
        <v>325</v>
      </c>
      <c r="E18" s="472">
        <f>0.216*100</f>
        <v>21.6</v>
      </c>
      <c r="F18" s="302">
        <f t="shared" si="0"/>
        <v>23.76</v>
      </c>
      <c r="G18" s="301">
        <f>(C18*E18)/12*7</f>
        <v>252</v>
      </c>
      <c r="H18" s="302">
        <f t="shared" si="5"/>
        <v>198</v>
      </c>
      <c r="I18" s="303">
        <f t="shared" si="3"/>
        <v>450</v>
      </c>
      <c r="J18" s="16">
        <v>12270.96</v>
      </c>
      <c r="K18" s="304">
        <f t="shared" si="4"/>
        <v>5521932</v>
      </c>
      <c r="L18" s="305">
        <f>C18*J3</f>
        <v>5392.6</v>
      </c>
      <c r="M18" s="306">
        <f t="shared" si="1"/>
        <v>5527324.6</v>
      </c>
      <c r="N18" s="3"/>
    </row>
    <row r="19" spans="1:14" ht="12.75">
      <c r="A19" s="310" t="s">
        <v>335</v>
      </c>
      <c r="B19" s="311">
        <v>1992</v>
      </c>
      <c r="C19" s="312">
        <v>20</v>
      </c>
      <c r="D19" s="313" t="s">
        <v>325</v>
      </c>
      <c r="E19" s="471">
        <f>0.132*100</f>
        <v>13.2</v>
      </c>
      <c r="F19" s="302">
        <f t="shared" si="0"/>
        <v>14.52</v>
      </c>
      <c r="G19" s="301">
        <f t="shared" si="2"/>
        <v>154</v>
      </c>
      <c r="H19" s="302">
        <f t="shared" si="5"/>
        <v>121</v>
      </c>
      <c r="I19" s="303">
        <f t="shared" si="3"/>
        <v>275</v>
      </c>
      <c r="J19" s="16">
        <v>12270.96</v>
      </c>
      <c r="K19" s="304">
        <f t="shared" si="4"/>
        <v>3374514</v>
      </c>
      <c r="L19" s="305">
        <f>C19*J3</f>
        <v>5392.6</v>
      </c>
      <c r="M19" s="308">
        <f t="shared" si="1"/>
        <v>3379906.6</v>
      </c>
      <c r="N19" s="12" t="s">
        <v>336</v>
      </c>
    </row>
    <row r="20" spans="1:14" ht="12.75">
      <c r="A20" s="310" t="s">
        <v>337</v>
      </c>
      <c r="B20" s="311"/>
      <c r="C20" s="312">
        <v>16</v>
      </c>
      <c r="D20" s="313" t="s">
        <v>325</v>
      </c>
      <c r="E20" s="471">
        <f>0.144*100</f>
        <v>14.4</v>
      </c>
      <c r="F20" s="302">
        <f t="shared" si="0"/>
        <v>15.84</v>
      </c>
      <c r="G20" s="301">
        <f>(C20*E20)/12*7</f>
        <v>134.4</v>
      </c>
      <c r="H20" s="302">
        <f t="shared" si="5"/>
        <v>105.6</v>
      </c>
      <c r="I20" s="303">
        <f>(G20+H20)</f>
        <v>240</v>
      </c>
      <c r="J20" s="16">
        <v>12270.96</v>
      </c>
      <c r="K20" s="304">
        <f>I20*J20</f>
        <v>2945030.4</v>
      </c>
      <c r="L20" s="305">
        <f>C20*J3</f>
        <v>4314.08</v>
      </c>
      <c r="M20" s="308">
        <f>K20+L20</f>
        <v>2949344.48</v>
      </c>
      <c r="N20" s="18"/>
    </row>
    <row r="21" spans="1:15" ht="13.5" thickBot="1">
      <c r="A21" s="310" t="s">
        <v>335</v>
      </c>
      <c r="B21" s="311">
        <v>1992</v>
      </c>
      <c r="C21" s="312">
        <v>20</v>
      </c>
      <c r="D21" s="313" t="s">
        <v>325</v>
      </c>
      <c r="E21" s="471">
        <f>0.14*100</f>
        <v>14</v>
      </c>
      <c r="F21" s="315">
        <f t="shared" si="0"/>
        <v>15.4</v>
      </c>
      <c r="G21" s="314">
        <f t="shared" si="2"/>
        <v>163.33</v>
      </c>
      <c r="H21" s="315">
        <f t="shared" si="5"/>
        <v>128.33</v>
      </c>
      <c r="I21" s="316">
        <f t="shared" si="3"/>
        <v>291.66</v>
      </c>
      <c r="J21" s="16">
        <v>12270.96</v>
      </c>
      <c r="K21" s="317">
        <f t="shared" si="4"/>
        <v>3578948.19</v>
      </c>
      <c r="L21" s="318">
        <f>C21*J3</f>
        <v>5392.6</v>
      </c>
      <c r="M21" s="319">
        <f t="shared" si="1"/>
        <v>3584340.79</v>
      </c>
      <c r="N21" s="320">
        <f>SUM(L16:L21)</f>
        <v>39905.24</v>
      </c>
      <c r="O21" s="321"/>
    </row>
    <row r="22" spans="1:14" ht="13.5" thickBot="1">
      <c r="A22" s="322" t="s">
        <v>338</v>
      </c>
      <c r="B22" s="323"/>
      <c r="C22" s="324"/>
      <c r="D22" s="325"/>
      <c r="E22" s="326"/>
      <c r="F22" s="327"/>
      <c r="G22" s="328"/>
      <c r="H22" s="329"/>
      <c r="I22" s="330">
        <v>2.89</v>
      </c>
      <c r="J22" s="331">
        <v>29062.8</v>
      </c>
      <c r="K22" s="332">
        <f>I22*J22</f>
        <v>83991.49</v>
      </c>
      <c r="L22" s="20"/>
      <c r="M22" s="333"/>
      <c r="N22" s="3"/>
    </row>
    <row r="23" spans="1:14" ht="14.25" thickBot="1">
      <c r="A23" s="334"/>
      <c r="B23" s="335"/>
      <c r="C23" s="336">
        <f>SUM(C10:C21)</f>
        <v>298</v>
      </c>
      <c r="D23" s="337"/>
      <c r="E23" s="336"/>
      <c r="F23" s="337"/>
      <c r="G23" s="338">
        <f>SUM(G10:G21)</f>
        <v>4749.39</v>
      </c>
      <c r="H23" s="339">
        <f>SUM(H10:H21)</f>
        <v>2922.47</v>
      </c>
      <c r="I23" s="338">
        <f>SUM(I10:I21)</f>
        <v>7671.86</v>
      </c>
      <c r="J23" s="337"/>
      <c r="K23" s="340">
        <f>SUM(K10:K21)</f>
        <v>94141087.17</v>
      </c>
      <c r="L23" s="341">
        <f>SUM(L10:L21)</f>
        <v>102051.74</v>
      </c>
      <c r="M23" s="342">
        <f>K23+L23</f>
        <v>94243138.91</v>
      </c>
      <c r="N23" s="343"/>
    </row>
    <row r="24" spans="1:14" ht="14.25" thickBot="1">
      <c r="A24" s="344" t="s">
        <v>339</v>
      </c>
      <c r="B24" s="345"/>
      <c r="C24" s="40"/>
      <c r="D24" s="13"/>
      <c r="E24" s="40"/>
      <c r="F24" s="13"/>
      <c r="G24" s="40"/>
      <c r="H24" s="13"/>
      <c r="I24" s="40"/>
      <c r="J24" s="13"/>
      <c r="K24" s="346"/>
      <c r="L24" s="347"/>
      <c r="M24" s="348">
        <f>M23+K22</f>
        <v>94327130.4</v>
      </c>
      <c r="N24" s="292"/>
    </row>
    <row r="25" spans="1:14" ht="13.5">
      <c r="A25" s="349"/>
      <c r="B25" s="350"/>
      <c r="C25" s="3" t="s">
        <v>340</v>
      </c>
      <c r="D25" s="12"/>
      <c r="E25" s="3"/>
      <c r="F25" s="12"/>
      <c r="G25" s="3"/>
      <c r="H25" s="12"/>
      <c r="I25" s="3"/>
      <c r="J25" s="12"/>
      <c r="K25" s="351"/>
      <c r="L25" s="12"/>
      <c r="M25" s="352"/>
      <c r="N25" s="292"/>
    </row>
    <row r="26" spans="1:14" ht="12.75">
      <c r="A26" s="298" t="s">
        <v>341</v>
      </c>
      <c r="B26" s="299">
        <v>1988</v>
      </c>
      <c r="C26" s="353">
        <f>8*21</f>
        <v>168</v>
      </c>
      <c r="D26" s="54" t="s">
        <v>342</v>
      </c>
      <c r="E26" s="107">
        <f>12.7/1000</f>
        <v>0.0127</v>
      </c>
      <c r="F26" s="37">
        <f>((12.7*10%)+12.7)/1000</f>
        <v>0.01397</v>
      </c>
      <c r="G26" s="308">
        <f>(C26*E26)/12*0.5</f>
        <v>0.09</v>
      </c>
      <c r="H26" s="354">
        <f>C26*F26/12*0.5</f>
        <v>0.1</v>
      </c>
      <c r="I26" s="355">
        <f>(G26+H26)</f>
        <v>0.19</v>
      </c>
      <c r="J26" s="305">
        <v>12378.6</v>
      </c>
      <c r="K26" s="308">
        <f aca="true" t="shared" si="6" ref="K26:K32">I26*J26</f>
        <v>2351.93</v>
      </c>
      <c r="L26" s="305"/>
      <c r="M26" s="306">
        <f aca="true" t="shared" si="7" ref="M26:M31">L26+K26</f>
        <v>2351.93</v>
      </c>
      <c r="N26" s="3" t="s">
        <v>343</v>
      </c>
    </row>
    <row r="27" spans="1:14" ht="12.75">
      <c r="A27" s="298" t="s">
        <v>341</v>
      </c>
      <c r="B27" s="299">
        <v>1990</v>
      </c>
      <c r="C27" s="353">
        <f>8*21*2</f>
        <v>336</v>
      </c>
      <c r="D27" s="54" t="s">
        <v>342</v>
      </c>
      <c r="E27" s="107">
        <f>12.7/1000</f>
        <v>0.0127</v>
      </c>
      <c r="F27" s="37">
        <f>((12.7*7%)+12.7)/1000</f>
        <v>0.013589</v>
      </c>
      <c r="G27" s="308">
        <f>(C27*E27)/12</f>
        <v>0.36</v>
      </c>
      <c r="H27" s="354">
        <f>C27*F27/12</f>
        <v>0.4</v>
      </c>
      <c r="I27" s="355">
        <f t="shared" si="3"/>
        <v>0.76</v>
      </c>
      <c r="J27" s="305">
        <v>12378.6</v>
      </c>
      <c r="K27" s="308">
        <f t="shared" si="6"/>
        <v>9407.74</v>
      </c>
      <c r="L27" s="305"/>
      <c r="M27" s="306">
        <f t="shared" si="7"/>
        <v>9407.74</v>
      </c>
      <c r="N27" s="3" t="s">
        <v>344</v>
      </c>
    </row>
    <row r="28" spans="1:14" ht="12.75">
      <c r="A28" s="298" t="s">
        <v>345</v>
      </c>
      <c r="B28" s="299">
        <v>1984</v>
      </c>
      <c r="C28" s="353">
        <f>8*21*6</f>
        <v>1008</v>
      </c>
      <c r="D28" s="54" t="s">
        <v>342</v>
      </c>
      <c r="E28" s="107">
        <f>12.6/1000</f>
        <v>0.0126</v>
      </c>
      <c r="F28" s="37">
        <f>((12.6*10%)+12.6)/1000</f>
        <v>0.01386</v>
      </c>
      <c r="G28" s="308">
        <f>(C28*E28)/12*3</f>
        <v>3.18</v>
      </c>
      <c r="H28" s="354">
        <f>C28*F28/12*3</f>
        <v>3.5</v>
      </c>
      <c r="I28" s="355">
        <f t="shared" si="3"/>
        <v>6.68</v>
      </c>
      <c r="J28" s="305">
        <v>12378.6</v>
      </c>
      <c r="K28" s="308">
        <f t="shared" si="6"/>
        <v>82689.05</v>
      </c>
      <c r="L28" s="305"/>
      <c r="M28" s="306">
        <f>L28+K28</f>
        <v>82689.05</v>
      </c>
      <c r="N28" s="3" t="s">
        <v>346</v>
      </c>
    </row>
    <row r="29" spans="1:14" ht="12.75">
      <c r="A29" s="298" t="s">
        <v>347</v>
      </c>
      <c r="B29" s="299">
        <v>2013</v>
      </c>
      <c r="C29" s="353">
        <f>8*21*12</f>
        <v>2016</v>
      </c>
      <c r="D29" s="54" t="s">
        <v>342</v>
      </c>
      <c r="E29" s="107">
        <f>13.6/1000</f>
        <v>0.0136</v>
      </c>
      <c r="F29" s="37">
        <f>((12.6*10%)+12.6)/1000</f>
        <v>0.01386</v>
      </c>
      <c r="G29" s="308">
        <f>(C29*E29)/12*7</f>
        <v>15.99</v>
      </c>
      <c r="H29" s="354">
        <f>C29*F29/12*5</f>
        <v>11.6</v>
      </c>
      <c r="I29" s="355">
        <f>(G29+H29)</f>
        <v>27.59</v>
      </c>
      <c r="J29" s="305">
        <v>12378.6</v>
      </c>
      <c r="K29" s="308">
        <f t="shared" si="6"/>
        <v>341525.57</v>
      </c>
      <c r="L29" s="305"/>
      <c r="M29" s="306">
        <f>L29+K29</f>
        <v>341525.57</v>
      </c>
      <c r="N29" s="3" t="s">
        <v>348</v>
      </c>
    </row>
    <row r="30" spans="1:14" ht="12.75">
      <c r="A30" s="298" t="s">
        <v>349</v>
      </c>
      <c r="B30" s="299">
        <v>1986</v>
      </c>
      <c r="C30" s="353">
        <f>8*21*6</f>
        <v>1008</v>
      </c>
      <c r="D30" s="54" t="s">
        <v>342</v>
      </c>
      <c r="E30" s="107">
        <f>5.3/1000</f>
        <v>0.0053</v>
      </c>
      <c r="F30" s="37">
        <f>((5.3*10%)+5.3)/1000</f>
        <v>0.00583</v>
      </c>
      <c r="G30" s="308">
        <f>(C30*E30)/12*3</f>
        <v>1.34</v>
      </c>
      <c r="H30" s="354">
        <f>C30*F30/12*3</f>
        <v>1.5</v>
      </c>
      <c r="I30" s="355">
        <f>(G30+H30)</f>
        <v>2.84</v>
      </c>
      <c r="J30" s="305">
        <v>12378.6</v>
      </c>
      <c r="K30" s="308">
        <f t="shared" si="6"/>
        <v>35155.22</v>
      </c>
      <c r="L30" s="305"/>
      <c r="M30" s="306">
        <f t="shared" si="7"/>
        <v>35155.22</v>
      </c>
      <c r="N30" s="3" t="s">
        <v>350</v>
      </c>
    </row>
    <row r="31" spans="1:14" ht="12.75">
      <c r="A31" s="298" t="s">
        <v>351</v>
      </c>
      <c r="B31" s="299">
        <v>1992</v>
      </c>
      <c r="C31" s="353">
        <f>8*21*12</f>
        <v>2016</v>
      </c>
      <c r="D31" s="54" t="s">
        <v>342</v>
      </c>
      <c r="E31" s="38">
        <f>2.1/1000</f>
        <v>0.0021</v>
      </c>
      <c r="F31" s="37">
        <f>((2.1*10%)+2.1)/1000</f>
        <v>0.00231</v>
      </c>
      <c r="G31" s="308">
        <f>(C31*E31)/12*7</f>
        <v>2.47</v>
      </c>
      <c r="H31" s="354">
        <f>C31*F31/12*5</f>
        <v>1.9</v>
      </c>
      <c r="I31" s="355">
        <f t="shared" si="3"/>
        <v>4.37</v>
      </c>
      <c r="J31" s="305">
        <v>12378.6</v>
      </c>
      <c r="K31" s="308">
        <f t="shared" si="6"/>
        <v>54094.48</v>
      </c>
      <c r="L31" s="305"/>
      <c r="M31" s="306">
        <f t="shared" si="7"/>
        <v>54094.48</v>
      </c>
      <c r="N31" s="3" t="s">
        <v>348</v>
      </c>
    </row>
    <row r="32" spans="1:14" ht="13.5" thickBot="1">
      <c r="A32" s="356" t="s">
        <v>352</v>
      </c>
      <c r="B32" s="357"/>
      <c r="C32" s="358"/>
      <c r="D32" s="10"/>
      <c r="E32" s="358"/>
      <c r="F32" s="13"/>
      <c r="G32" s="292"/>
      <c r="H32" s="359"/>
      <c r="I32" s="360">
        <v>2.12</v>
      </c>
      <c r="J32" s="320">
        <v>31430.88</v>
      </c>
      <c r="K32" s="361">
        <f t="shared" si="6"/>
        <v>66633.47</v>
      </c>
      <c r="L32" s="309"/>
      <c r="M32" s="362">
        <f>L32+K32</f>
        <v>66633.47</v>
      </c>
      <c r="N32" s="3"/>
    </row>
    <row r="33" spans="1:14" ht="14.25" thickBot="1">
      <c r="A33" s="363" t="s">
        <v>353</v>
      </c>
      <c r="B33" s="364"/>
      <c r="C33" s="335"/>
      <c r="D33" s="337"/>
      <c r="E33" s="335"/>
      <c r="F33" s="337"/>
      <c r="G33" s="336">
        <f>SUM(G26:G31)</f>
        <v>23.4</v>
      </c>
      <c r="H33" s="365">
        <f>SUM(H26:H31)</f>
        <v>19</v>
      </c>
      <c r="I33" s="338">
        <f>SUM(I26:I31)</f>
        <v>42.43</v>
      </c>
      <c r="J33" s="337"/>
      <c r="K33" s="366">
        <f>SUM(K26:K31)</f>
        <v>525223.99</v>
      </c>
      <c r="L33" s="367"/>
      <c r="M33" s="368">
        <f>K33+K32</f>
        <v>591857.46</v>
      </c>
      <c r="N33" s="369"/>
    </row>
    <row r="34" spans="1:14" ht="14.25" thickBot="1">
      <c r="A34" s="370" t="s">
        <v>354</v>
      </c>
      <c r="B34" s="371"/>
      <c r="C34" s="371"/>
      <c r="D34" s="371"/>
      <c r="E34" s="371"/>
      <c r="F34" s="371"/>
      <c r="G34" s="371"/>
      <c r="H34" s="371"/>
      <c r="I34" s="372"/>
      <c r="J34" s="120"/>
      <c r="K34" s="373">
        <f>K23+K33</f>
        <v>94666311.16</v>
      </c>
      <c r="L34" s="374"/>
      <c r="M34" s="375">
        <f>M24+M33</f>
        <v>94918987.86</v>
      </c>
      <c r="N34" s="142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92"/>
      <c r="L35" s="3"/>
      <c r="M35" s="3"/>
      <c r="N35" s="3"/>
    </row>
    <row r="36" spans="1:14" ht="12.75">
      <c r="A36" s="3" t="s">
        <v>210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 t="s">
        <v>211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H28" sqref="H28"/>
    </sheetView>
  </sheetViews>
  <sheetFormatPr defaultColWidth="9.00390625" defaultRowHeight="12.75"/>
  <cols>
    <col min="12" max="12" width="12.625" style="0" customWidth="1"/>
  </cols>
  <sheetData>
    <row r="2" ht="12.75">
      <c r="C2" t="s">
        <v>355</v>
      </c>
    </row>
    <row r="3" ht="12.75">
      <c r="B3" t="s">
        <v>183</v>
      </c>
    </row>
    <row r="5" spans="1:12" ht="12.75">
      <c r="A5" s="715" t="s">
        <v>174</v>
      </c>
      <c r="B5" s="712" t="s">
        <v>356</v>
      </c>
      <c r="C5" s="712" t="s">
        <v>357</v>
      </c>
      <c r="D5" s="712" t="s">
        <v>358</v>
      </c>
      <c r="E5" s="712" t="s">
        <v>359</v>
      </c>
      <c r="F5" s="709" t="s">
        <v>360</v>
      </c>
      <c r="G5" s="709" t="s">
        <v>361</v>
      </c>
      <c r="H5" s="712" t="s">
        <v>362</v>
      </c>
      <c r="I5" s="712" t="s">
        <v>363</v>
      </c>
      <c r="J5" s="712" t="s">
        <v>364</v>
      </c>
      <c r="K5" s="712" t="s">
        <v>365</v>
      </c>
      <c r="L5" s="712" t="s">
        <v>366</v>
      </c>
    </row>
    <row r="6" spans="1:12" ht="12.75">
      <c r="A6" s="716"/>
      <c r="B6" s="713"/>
      <c r="C6" s="713"/>
      <c r="D6" s="713"/>
      <c r="E6" s="713"/>
      <c r="F6" s="710"/>
      <c r="G6" s="710"/>
      <c r="H6" s="713"/>
      <c r="I6" s="713"/>
      <c r="J6" s="713"/>
      <c r="K6" s="713"/>
      <c r="L6" s="713"/>
    </row>
    <row r="7" spans="1:12" ht="12.75">
      <c r="A7" s="716"/>
      <c r="B7" s="713"/>
      <c r="C7" s="713"/>
      <c r="D7" s="713"/>
      <c r="E7" s="713"/>
      <c r="F7" s="710"/>
      <c r="G7" s="710"/>
      <c r="H7" s="713"/>
      <c r="I7" s="713"/>
      <c r="J7" s="713"/>
      <c r="K7" s="713"/>
      <c r="L7" s="713"/>
    </row>
    <row r="8" spans="1:12" ht="12.75">
      <c r="A8" s="717"/>
      <c r="B8" s="714"/>
      <c r="C8" s="714"/>
      <c r="D8" s="714"/>
      <c r="E8" s="714"/>
      <c r="F8" s="711"/>
      <c r="G8" s="711"/>
      <c r="H8" s="714"/>
      <c r="I8" s="714"/>
      <c r="J8" s="714"/>
      <c r="K8" s="714"/>
      <c r="L8" s="714"/>
    </row>
    <row r="9" spans="1:12" ht="12.75">
      <c r="A9" s="298">
        <v>1</v>
      </c>
      <c r="B9" s="376">
        <v>2</v>
      </c>
      <c r="C9" s="298">
        <v>3</v>
      </c>
      <c r="D9" s="298">
        <v>4</v>
      </c>
      <c r="E9" s="299"/>
      <c r="F9" s="298">
        <v>5</v>
      </c>
      <c r="G9" s="298">
        <v>6</v>
      </c>
      <c r="H9" s="298">
        <v>7</v>
      </c>
      <c r="I9" s="298">
        <v>8</v>
      </c>
      <c r="J9" s="298">
        <v>9</v>
      </c>
      <c r="K9" s="298">
        <v>10</v>
      </c>
      <c r="L9" s="298">
        <v>11</v>
      </c>
    </row>
    <row r="10" spans="1:12" ht="12.7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</row>
    <row r="11" spans="1:12" ht="12.75">
      <c r="A11" s="298"/>
      <c r="B11" s="298" t="s">
        <v>367</v>
      </c>
      <c r="C11" s="298"/>
      <c r="D11" s="298">
        <v>98</v>
      </c>
      <c r="E11" s="298" t="s">
        <v>368</v>
      </c>
      <c r="F11" s="298">
        <v>12.6</v>
      </c>
      <c r="G11" s="377">
        <f>F11*1.07</f>
        <v>13.48</v>
      </c>
      <c r="H11" s="378">
        <f>(D11*F11)*7</f>
        <v>8643.6</v>
      </c>
      <c r="I11" s="298">
        <f>(D11*G11)*5</f>
        <v>6605.2</v>
      </c>
      <c r="J11" s="378">
        <f>H11+I11</f>
        <v>15248.8</v>
      </c>
      <c r="K11" s="379">
        <f>'[1]Хоз. и др.расх.'!F33</f>
        <v>13347.36</v>
      </c>
      <c r="L11" s="377">
        <f>J11*K11/1000</f>
        <v>203531.22</v>
      </c>
    </row>
    <row r="12" spans="1:12" ht="12.75">
      <c r="A12" s="298"/>
      <c r="B12" s="298" t="s">
        <v>345</v>
      </c>
      <c r="C12" s="298"/>
      <c r="D12" s="298">
        <v>102</v>
      </c>
      <c r="E12" s="298" t="s">
        <v>368</v>
      </c>
      <c r="F12" s="298">
        <v>12.6</v>
      </c>
      <c r="G12" s="377">
        <f>F12*1.07</f>
        <v>13.48</v>
      </c>
      <c r="H12" s="378">
        <f>D12*F12*7</f>
        <v>8996.4</v>
      </c>
      <c r="I12" s="298">
        <f>(D12*G12)*5</f>
        <v>6874.8</v>
      </c>
      <c r="J12" s="378">
        <f>H12+I12</f>
        <v>15871.2</v>
      </c>
      <c r="K12" s="379">
        <f>'[1]Хоз. и др.расх.'!F33</f>
        <v>13347.36</v>
      </c>
      <c r="L12" s="377">
        <f>J12*K12/1000</f>
        <v>211838.62</v>
      </c>
    </row>
    <row r="13" spans="1:12" ht="12.75">
      <c r="A13" s="298"/>
      <c r="B13" s="298" t="s">
        <v>345</v>
      </c>
      <c r="C13" s="298"/>
      <c r="D13" s="298">
        <v>80</v>
      </c>
      <c r="E13" s="298" t="s">
        <v>368</v>
      </c>
      <c r="F13" s="298">
        <v>12.6</v>
      </c>
      <c r="G13" s="377">
        <f>F13*1.07</f>
        <v>13.48</v>
      </c>
      <c r="H13" s="378">
        <f>D13*F13*7</f>
        <v>7056</v>
      </c>
      <c r="I13" s="298">
        <f>(D13*G13)*5</f>
        <v>5392</v>
      </c>
      <c r="J13" s="378">
        <f>H13+I13</f>
        <v>12448</v>
      </c>
      <c r="K13" s="379">
        <f>'[1]Хоз. и др.расх.'!F33</f>
        <v>13347.36</v>
      </c>
      <c r="L13" s="377">
        <f>J13*K13/1000</f>
        <v>166147.94</v>
      </c>
    </row>
    <row r="14" spans="1:12" ht="12.7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377"/>
    </row>
    <row r="15" spans="1:12" ht="12.75">
      <c r="A15" s="298"/>
      <c r="B15" s="298"/>
      <c r="C15" s="298"/>
      <c r="D15" s="298"/>
      <c r="E15" s="298"/>
      <c r="F15" s="298"/>
      <c r="G15" s="298"/>
      <c r="H15" s="298"/>
      <c r="I15" s="298"/>
      <c r="J15" s="378">
        <f>SUM(J11:J14)</f>
        <v>43568</v>
      </c>
      <c r="K15" s="298"/>
      <c r="L15" s="377">
        <f>SUM(L11:L14)</f>
        <v>581517.78</v>
      </c>
    </row>
    <row r="17" ht="12.75">
      <c r="B17" t="s">
        <v>210</v>
      </c>
    </row>
    <row r="18" ht="12.75">
      <c r="B18" t="s">
        <v>211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80"/>
      <c r="K20" s="292"/>
    </row>
  </sheetData>
  <sheetProtection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12.625" style="0" customWidth="1"/>
    <col min="8" max="8" width="13.50390625" style="0" customWidth="1"/>
  </cols>
  <sheetData>
    <row r="2" spans="1:21" ht="12.75">
      <c r="A2" s="232" t="s">
        <v>265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2.75">
      <c r="A3" s="232" t="s">
        <v>266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>
      <c r="A4" s="232" t="s">
        <v>369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3.5" thickBot="1">
      <c r="A6" s="232" t="s">
        <v>268</v>
      </c>
      <c r="B6" s="381">
        <v>12.27096</v>
      </c>
      <c r="C6" s="232" t="s">
        <v>11</v>
      </c>
      <c r="D6" s="232"/>
      <c r="E6" s="232" t="s">
        <v>269</v>
      </c>
      <c r="F6" s="232"/>
      <c r="G6" s="232"/>
      <c r="H6" s="232">
        <v>12.3786</v>
      </c>
      <c r="I6" s="232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2.75">
      <c r="A7" s="733" t="s">
        <v>271</v>
      </c>
      <c r="B7" s="736" t="s">
        <v>272</v>
      </c>
      <c r="C7" s="736" t="s">
        <v>273</v>
      </c>
      <c r="D7" s="247" t="s">
        <v>277</v>
      </c>
      <c r="E7" s="248"/>
      <c r="F7" s="254"/>
      <c r="G7" s="247" t="s">
        <v>278</v>
      </c>
      <c r="H7" s="248"/>
      <c r="I7" s="254"/>
      <c r="J7" s="247" t="s">
        <v>279</v>
      </c>
      <c r="K7" s="248"/>
      <c r="L7" s="249"/>
      <c r="M7" s="247" t="s">
        <v>280</v>
      </c>
      <c r="N7" s="248"/>
      <c r="O7" s="254"/>
      <c r="P7" s="736" t="s">
        <v>370</v>
      </c>
      <c r="Q7" s="718" t="s">
        <v>37</v>
      </c>
      <c r="R7" s="733" t="s">
        <v>371</v>
      </c>
      <c r="S7" s="718" t="s">
        <v>372</v>
      </c>
      <c r="T7" s="718" t="s">
        <v>373</v>
      </c>
      <c r="U7" s="232"/>
    </row>
    <row r="8" spans="1:21" ht="12.75">
      <c r="A8" s="734"/>
      <c r="B8" s="737"/>
      <c r="C8" s="737"/>
      <c r="D8" s="721" t="s">
        <v>285</v>
      </c>
      <c r="E8" s="723" t="s">
        <v>286</v>
      </c>
      <c r="F8" s="725" t="s">
        <v>287</v>
      </c>
      <c r="G8" s="727" t="s">
        <v>285</v>
      </c>
      <c r="H8" s="729" t="s">
        <v>286</v>
      </c>
      <c r="I8" s="731" t="s">
        <v>288</v>
      </c>
      <c r="J8" s="721" t="s">
        <v>285</v>
      </c>
      <c r="K8" s="729" t="s">
        <v>286</v>
      </c>
      <c r="L8" s="739" t="s">
        <v>288</v>
      </c>
      <c r="M8" s="727" t="s">
        <v>285</v>
      </c>
      <c r="N8" s="729" t="s">
        <v>286</v>
      </c>
      <c r="O8" s="725" t="s">
        <v>288</v>
      </c>
      <c r="P8" s="737"/>
      <c r="Q8" s="719"/>
      <c r="R8" s="734"/>
      <c r="S8" s="719"/>
      <c r="T8" s="719"/>
      <c r="U8" s="232"/>
    </row>
    <row r="9" spans="1:21" ht="13.5" thickBot="1">
      <c r="A9" s="735"/>
      <c r="B9" s="738"/>
      <c r="C9" s="738"/>
      <c r="D9" s="722"/>
      <c r="E9" s="724"/>
      <c r="F9" s="726"/>
      <c r="G9" s="728"/>
      <c r="H9" s="730"/>
      <c r="I9" s="732"/>
      <c r="J9" s="722"/>
      <c r="K9" s="730"/>
      <c r="L9" s="740"/>
      <c r="M9" s="728"/>
      <c r="N9" s="730"/>
      <c r="O9" s="726"/>
      <c r="P9" s="738"/>
      <c r="Q9" s="720"/>
      <c r="R9" s="735"/>
      <c r="S9" s="720"/>
      <c r="T9" s="720"/>
      <c r="U9" s="232"/>
    </row>
    <row r="10" spans="1:21" ht="12.75">
      <c r="A10" s="257"/>
      <c r="B10" s="257"/>
      <c r="C10" s="257"/>
      <c r="D10" s="250"/>
      <c r="E10" s="251"/>
      <c r="F10" s="252"/>
      <c r="G10" s="250"/>
      <c r="H10" s="251"/>
      <c r="I10" s="252"/>
      <c r="J10" s="255"/>
      <c r="K10" s="251"/>
      <c r="L10" s="256"/>
      <c r="M10" s="250"/>
      <c r="N10" s="251"/>
      <c r="O10" s="252"/>
      <c r="P10" s="257"/>
      <c r="Q10" s="257"/>
      <c r="R10" s="257"/>
      <c r="S10" s="257"/>
      <c r="T10" s="257"/>
      <c r="U10" s="232"/>
    </row>
    <row r="11" spans="1:21" ht="12.75">
      <c r="A11" s="281" t="s">
        <v>289</v>
      </c>
      <c r="B11" s="281">
        <f>'[2]Лист3'!$C$20</f>
        <v>378</v>
      </c>
      <c r="C11" s="281">
        <v>0.05</v>
      </c>
      <c r="D11" s="258"/>
      <c r="E11" s="259"/>
      <c r="F11" s="261"/>
      <c r="G11" s="258">
        <f>B11</f>
        <v>378</v>
      </c>
      <c r="H11" s="259">
        <v>0.43</v>
      </c>
      <c r="I11" s="261">
        <f>G11*H11</f>
        <v>162.54</v>
      </c>
      <c r="J11" s="262">
        <f>B11*0.13</f>
        <v>49.14</v>
      </c>
      <c r="K11" s="259">
        <v>0.26</v>
      </c>
      <c r="L11" s="382">
        <f>J11*K11</f>
        <v>12.8</v>
      </c>
      <c r="M11" s="258"/>
      <c r="N11" s="259"/>
      <c r="O11" s="261"/>
      <c r="P11" s="383">
        <f>L11+O11</f>
        <v>12.8</v>
      </c>
      <c r="Q11" s="267">
        <f>P11*B6</f>
        <v>157.07</v>
      </c>
      <c r="R11" s="281"/>
      <c r="S11" s="281"/>
      <c r="T11" s="267">
        <f>Q11+S11</f>
        <v>157.07</v>
      </c>
      <c r="U11" s="232"/>
    </row>
    <row r="12" spans="1:21" ht="12.75">
      <c r="A12" s="281" t="s">
        <v>290</v>
      </c>
      <c r="B12" s="281">
        <f>'[2]Лист3'!$C$22</f>
        <v>540</v>
      </c>
      <c r="C12" s="281">
        <v>0.19</v>
      </c>
      <c r="D12" s="258"/>
      <c r="E12" s="259"/>
      <c r="F12" s="261"/>
      <c r="G12" s="258">
        <f>B12</f>
        <v>540</v>
      </c>
      <c r="H12" s="259">
        <v>0.35</v>
      </c>
      <c r="I12" s="261">
        <f>G12*H12</f>
        <v>189</v>
      </c>
      <c r="J12" s="262">
        <f>B12*0.7</f>
        <v>378</v>
      </c>
      <c r="K12" s="259">
        <v>0.23</v>
      </c>
      <c r="L12" s="382">
        <f>J12*K12</f>
        <v>86.9</v>
      </c>
      <c r="M12" s="258">
        <f>B12*0.095</f>
        <v>51.3</v>
      </c>
      <c r="N12" s="259">
        <v>0.12</v>
      </c>
      <c r="O12" s="384">
        <f>M12*N12</f>
        <v>6.16</v>
      </c>
      <c r="P12" s="383">
        <f>L12+O12</f>
        <v>93.1</v>
      </c>
      <c r="Q12" s="267">
        <f>P12*B6</f>
        <v>1142.43</v>
      </c>
      <c r="R12" s="281"/>
      <c r="S12" s="281"/>
      <c r="T12" s="267">
        <f aca="true" t="shared" si="0" ref="T12:T17">Q12+S12</f>
        <v>1142.43</v>
      </c>
      <c r="U12" s="232"/>
    </row>
    <row r="13" spans="1:21" ht="12.75">
      <c r="A13" s="281" t="s">
        <v>291</v>
      </c>
      <c r="B13" s="281">
        <f>'[2]Лист3'!$C$24</f>
        <v>6830</v>
      </c>
      <c r="C13" s="281">
        <v>0.15</v>
      </c>
      <c r="D13" s="258"/>
      <c r="E13" s="259"/>
      <c r="F13" s="261"/>
      <c r="G13" s="258">
        <f>B13</f>
        <v>6830</v>
      </c>
      <c r="H13" s="259">
        <v>0.35</v>
      </c>
      <c r="I13" s="261">
        <f>G13*H13</f>
        <v>2390.5</v>
      </c>
      <c r="J13" s="262">
        <f>B13*0.79</f>
        <v>5395.7</v>
      </c>
      <c r="K13" s="259">
        <v>0.23</v>
      </c>
      <c r="L13" s="382">
        <f>J13*K13</f>
        <v>1241</v>
      </c>
      <c r="M13" s="258">
        <f>B13*0.006</f>
        <v>40.98</v>
      </c>
      <c r="N13" s="259">
        <v>0.12</v>
      </c>
      <c r="O13" s="384">
        <f>M13*N13</f>
        <v>4.92</v>
      </c>
      <c r="P13" s="383">
        <f>L13+O13</f>
        <v>1245.9</v>
      </c>
      <c r="Q13" s="267">
        <f>P13*B6</f>
        <v>15288.39</v>
      </c>
      <c r="R13" s="281"/>
      <c r="S13" s="281"/>
      <c r="T13" s="267">
        <f t="shared" si="0"/>
        <v>15288.39</v>
      </c>
      <c r="U13" s="232"/>
    </row>
    <row r="14" spans="1:21" ht="12.75">
      <c r="A14" s="281" t="s">
        <v>292</v>
      </c>
      <c r="B14" s="281">
        <f>'[2]Лист3'!$C$26</f>
        <v>6830</v>
      </c>
      <c r="C14" s="281">
        <v>0.11</v>
      </c>
      <c r="D14" s="258"/>
      <c r="E14" s="259"/>
      <c r="F14" s="261"/>
      <c r="G14" s="258">
        <f>B14</f>
        <v>6830</v>
      </c>
      <c r="H14" s="259">
        <v>0.43</v>
      </c>
      <c r="I14" s="261">
        <f>G14*H14</f>
        <v>2936.9</v>
      </c>
      <c r="J14" s="262">
        <f>B14*0.73</f>
        <v>4985.9</v>
      </c>
      <c r="K14" s="259">
        <v>0.26</v>
      </c>
      <c r="L14" s="382">
        <f>J14*K14</f>
        <v>1296.3</v>
      </c>
      <c r="M14" s="258">
        <f>B14*0.07</f>
        <v>478.1</v>
      </c>
      <c r="N14" s="259">
        <v>0.15</v>
      </c>
      <c r="O14" s="384">
        <f>M14*N14</f>
        <v>71.72</v>
      </c>
      <c r="P14" s="383">
        <f>L14+O14</f>
        <v>1368</v>
      </c>
      <c r="Q14" s="267">
        <f>P14*B6</f>
        <v>16786.67</v>
      </c>
      <c r="R14" s="281"/>
      <c r="S14" s="281"/>
      <c r="T14" s="267">
        <f t="shared" si="0"/>
        <v>16786.67</v>
      </c>
      <c r="U14" s="232"/>
    </row>
    <row r="15" spans="1:21" ht="12.75">
      <c r="A15" s="281" t="s">
        <v>293</v>
      </c>
      <c r="B15" s="281">
        <f>'[2]Лист3'!$C$37</f>
        <v>4000</v>
      </c>
      <c r="C15" s="281">
        <v>0.16</v>
      </c>
      <c r="D15" s="258">
        <v>4000</v>
      </c>
      <c r="E15" s="259">
        <v>3.12</v>
      </c>
      <c r="F15" s="261">
        <f>D15*E15</f>
        <v>12480</v>
      </c>
      <c r="G15" s="258"/>
      <c r="H15" s="259"/>
      <c r="I15" s="261"/>
      <c r="J15" s="262"/>
      <c r="K15" s="259"/>
      <c r="L15" s="260"/>
      <c r="M15" s="258"/>
      <c r="N15" s="259"/>
      <c r="O15" s="384"/>
      <c r="P15" s="383"/>
      <c r="Q15" s="267"/>
      <c r="R15" s="281">
        <f>F15</f>
        <v>12480</v>
      </c>
      <c r="S15" s="281">
        <f>R15*H6</f>
        <v>154484.928</v>
      </c>
      <c r="T15" s="267">
        <f t="shared" si="0"/>
        <v>154484.93</v>
      </c>
      <c r="U15" s="232"/>
    </row>
    <row r="16" spans="1:21" ht="13.5" thickBot="1">
      <c r="A16" s="385"/>
      <c r="B16" s="385"/>
      <c r="C16" s="385"/>
      <c r="D16" s="270"/>
      <c r="E16" s="271"/>
      <c r="F16" s="276"/>
      <c r="G16" s="270"/>
      <c r="H16" s="271"/>
      <c r="I16" s="276"/>
      <c r="J16" s="274"/>
      <c r="K16" s="271"/>
      <c r="L16" s="272"/>
      <c r="M16" s="270"/>
      <c r="N16" s="271"/>
      <c r="O16" s="386"/>
      <c r="P16" s="385"/>
      <c r="Q16" s="387"/>
      <c r="R16" s="385"/>
      <c r="S16" s="385"/>
      <c r="T16" s="267"/>
      <c r="U16" s="232"/>
    </row>
    <row r="17" spans="1:21" ht="13.5" thickBot="1">
      <c r="A17" s="388" t="s">
        <v>7</v>
      </c>
      <c r="B17" s="388">
        <f>SUM(B11:B16)</f>
        <v>18578</v>
      </c>
      <c r="C17" s="388"/>
      <c r="D17" s="389"/>
      <c r="E17" s="390"/>
      <c r="F17" s="391"/>
      <c r="G17" s="389">
        <f>SUM(G11:G16)</f>
        <v>14578</v>
      </c>
      <c r="H17" s="390"/>
      <c r="I17" s="391">
        <f>SUM(I11:I16)</f>
        <v>5678.94</v>
      </c>
      <c r="J17" s="392">
        <f>SUM(J11:J16)</f>
        <v>10808.74</v>
      </c>
      <c r="K17" s="390"/>
      <c r="L17" s="393">
        <f>SUM(L11:L16)</f>
        <v>2637</v>
      </c>
      <c r="M17" s="389">
        <f>SUM(M12:M16)</f>
        <v>570.38</v>
      </c>
      <c r="N17" s="390"/>
      <c r="O17" s="394">
        <f>SUM(O12:O16)</f>
        <v>82.8</v>
      </c>
      <c r="P17" s="395">
        <f>SUM(P11:P16)</f>
        <v>2719.8</v>
      </c>
      <c r="Q17" s="396">
        <f>SUM(Q11:Q16)</f>
        <v>33374.56</v>
      </c>
      <c r="R17" s="388">
        <f>SUM(R15:R16)</f>
        <v>12480</v>
      </c>
      <c r="S17" s="388">
        <f>SUM(S15:S16)</f>
        <v>154484.928</v>
      </c>
      <c r="T17" s="267">
        <f t="shared" si="0"/>
        <v>187859.49</v>
      </c>
      <c r="U17" s="232"/>
    </row>
    <row r="18" spans="1:21" ht="12.75">
      <c r="A18" s="232" t="s">
        <v>294</v>
      </c>
      <c r="B18" s="232">
        <f>'[1]Хоз. и др.расх.'!F29/1000</f>
        <v>0</v>
      </c>
      <c r="C18" s="232" t="s">
        <v>11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2.75">
      <c r="A19" s="232" t="s">
        <v>295</v>
      </c>
      <c r="B19" s="232">
        <f>'[1]Хоз. и др.расх.'!F28/1000</f>
        <v>0</v>
      </c>
      <c r="C19" s="232" t="s">
        <v>11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</row>
    <row r="20" spans="1:21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>
      <c r="A21" s="232" t="s">
        <v>296</v>
      </c>
      <c r="B21" s="232"/>
      <c r="C21" s="232"/>
      <c r="D21" s="232"/>
      <c r="E21" s="232"/>
      <c r="F21" s="232"/>
      <c r="G21" s="397">
        <f>P17</f>
        <v>2719.8</v>
      </c>
      <c r="H21" s="259"/>
      <c r="I21" s="268">
        <f>G21*B6</f>
        <v>33374.56</v>
      </c>
      <c r="J21" s="232"/>
      <c r="K21" s="232" t="s">
        <v>11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 ht="12.75">
      <c r="A22" s="232" t="s">
        <v>298</v>
      </c>
      <c r="B22" s="232"/>
      <c r="C22" s="398">
        <v>0.02</v>
      </c>
      <c r="D22" s="232"/>
      <c r="E22" s="232"/>
      <c r="F22" s="232"/>
      <c r="G22" s="397">
        <f>G21</f>
        <v>2719.8</v>
      </c>
      <c r="H22" s="399">
        <v>0.02</v>
      </c>
      <c r="I22" s="397">
        <f>G22*H22</f>
        <v>54.4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ht="12.75">
      <c r="A23" s="232" t="s">
        <v>301</v>
      </c>
      <c r="B23" s="232"/>
      <c r="C23" s="232"/>
      <c r="D23" s="232"/>
      <c r="E23" s="232"/>
      <c r="F23" s="232"/>
      <c r="G23" s="397">
        <f>G22</f>
        <v>2719.8</v>
      </c>
      <c r="H23" s="399">
        <v>0.5</v>
      </c>
      <c r="I23" s="397">
        <f>G23*H23</f>
        <v>1359.9</v>
      </c>
      <c r="J23" s="232"/>
      <c r="K23" s="232" t="s">
        <v>374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ht="12.75">
      <c r="A24" s="232" t="s">
        <v>303</v>
      </c>
      <c r="B24" s="232"/>
      <c r="C24" s="232"/>
      <c r="D24" s="232"/>
      <c r="E24" s="232"/>
      <c r="F24" s="232"/>
      <c r="G24" s="397">
        <f>I22+I23</f>
        <v>1414.3</v>
      </c>
      <c r="H24" s="259">
        <f>B18</f>
        <v>0</v>
      </c>
      <c r="I24" s="397">
        <f>G24*H24</f>
        <v>0</v>
      </c>
      <c r="J24" s="232"/>
      <c r="K24" s="232" t="s">
        <v>374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12.75">
      <c r="A25" s="232" t="s">
        <v>305</v>
      </c>
      <c r="B25" s="232"/>
      <c r="C25" s="232"/>
      <c r="D25" s="232"/>
      <c r="E25" s="232"/>
      <c r="F25" s="232"/>
      <c r="G25" s="259">
        <f>R17</f>
        <v>12480</v>
      </c>
      <c r="H25" s="259"/>
      <c r="I25" s="259">
        <f>G25*H6</f>
        <v>154484.928</v>
      </c>
      <c r="J25" s="232"/>
      <c r="K25" s="232" t="s">
        <v>11</v>
      </c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2.75">
      <c r="A26" s="232" t="s">
        <v>307</v>
      </c>
      <c r="B26" s="400">
        <v>0.045</v>
      </c>
      <c r="C26" s="232"/>
      <c r="D26" s="232"/>
      <c r="E26" s="232"/>
      <c r="F26" s="232"/>
      <c r="G26" s="259">
        <f>G25</f>
        <v>12480</v>
      </c>
      <c r="H26" s="401">
        <v>0.045</v>
      </c>
      <c r="I26" s="259">
        <f>G26*H26</f>
        <v>561.6</v>
      </c>
      <c r="J26" s="232"/>
      <c r="K26" s="232" t="s">
        <v>375</v>
      </c>
      <c r="L26" s="232"/>
      <c r="M26" s="232"/>
      <c r="N26" s="232"/>
      <c r="O26" s="232"/>
      <c r="P26" s="232"/>
      <c r="Q26" s="232"/>
      <c r="R26" s="232"/>
      <c r="S26" s="232"/>
      <c r="T26" s="232"/>
      <c r="U26" s="232"/>
    </row>
    <row r="27" spans="1:21" ht="12.75">
      <c r="A27" s="232" t="s">
        <v>310</v>
      </c>
      <c r="B27" s="232"/>
      <c r="C27" s="232"/>
      <c r="D27" s="232"/>
      <c r="E27" s="232"/>
      <c r="F27" s="232"/>
      <c r="G27" s="259">
        <f>I26</f>
        <v>561.6</v>
      </c>
      <c r="H27" s="259">
        <f>B19</f>
        <v>0</v>
      </c>
      <c r="I27" s="268">
        <f>G27*H27</f>
        <v>0</v>
      </c>
      <c r="J27" s="232"/>
      <c r="K27" s="232" t="s">
        <v>375</v>
      </c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21" ht="12.75">
      <c r="A28" s="232"/>
      <c r="B28" s="232"/>
      <c r="C28" s="232"/>
      <c r="D28" s="232"/>
      <c r="E28" s="232"/>
      <c r="F28" s="232"/>
      <c r="G28" s="259"/>
      <c r="H28" s="259"/>
      <c r="I28" s="259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ht="12.75">
      <c r="A29" s="232" t="s">
        <v>312</v>
      </c>
      <c r="B29" s="232"/>
      <c r="C29" s="232"/>
      <c r="D29" s="232"/>
      <c r="E29" s="232"/>
      <c r="F29" s="232"/>
      <c r="G29" s="259"/>
      <c r="H29" s="259"/>
      <c r="I29" s="268">
        <f>I21+I24+I25+I27</f>
        <v>187859.49</v>
      </c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</row>
  </sheetData>
  <sheetProtection/>
  <mergeCells count="20">
    <mergeCell ref="A7:A9"/>
    <mergeCell ref="B7:B9"/>
    <mergeCell ref="C7:C9"/>
    <mergeCell ref="P7:P9"/>
    <mergeCell ref="Q7:Q9"/>
    <mergeCell ref="R7:R9"/>
    <mergeCell ref="L8:L9"/>
    <mergeCell ref="M8:M9"/>
    <mergeCell ref="N8:N9"/>
    <mergeCell ref="O8:O9"/>
    <mergeCell ref="S7:S9"/>
    <mergeCell ref="T7:T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"БУ ПМР"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НатальяВ</dc:creator>
  <cp:keywords/>
  <dc:description/>
  <cp:lastModifiedBy>Дротенко Оксана Александровна</cp:lastModifiedBy>
  <cp:lastPrinted>2023-12-15T09:05:07Z</cp:lastPrinted>
  <dcterms:created xsi:type="dcterms:W3CDTF">2004-06-03T07:56:22Z</dcterms:created>
  <dcterms:modified xsi:type="dcterms:W3CDTF">2023-12-20T14:56:34Z</dcterms:modified>
  <cp:category/>
  <cp:version/>
  <cp:contentType/>
  <cp:contentStatus/>
</cp:coreProperties>
</file>