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00" windowWidth="15195" windowHeight="8010" firstSheet="10" activeTab="10"/>
  </bookViews>
  <sheets>
    <sheet name="Лист1" sheetId="1" r:id="rId1"/>
    <sheet name="Лист2" sheetId="2" r:id="rId2"/>
    <sheet name=" изменение МВД" sheetId="3" r:id="rId3"/>
    <sheet name=" изменение МВД + льгота" sheetId="4" r:id="rId4"/>
    <sheet name=" изм МВД + льгота  с остц" sheetId="5" r:id="rId5"/>
    <sheet name="изм с МВДльг ост всего" sheetId="6" r:id="rId6"/>
    <sheet name="изм с МВДльг ост всего - доход" sheetId="7" r:id="rId7"/>
    <sheet name="Лист3" sheetId="8" r:id="rId8"/>
    <sheet name="сравнительная" sheetId="9" r:id="rId9"/>
    <sheet name="без изменен подоход налог" sheetId="10" r:id="rId10"/>
    <sheet name="Сравнит. по Приложению № 3" sheetId="11" r:id="rId11"/>
  </sheets>
  <definedNames>
    <definedName name="_xlnm.Print_Titles" localSheetId="9">'без изменен подоход налог'!$A:$A,'без изменен подоход налог'!$13:$14</definedName>
    <definedName name="_xlnm.Print_Titles" localSheetId="10">'Сравнит. по Приложению № 3'!$A:$B,'Сравнит. по Приложению № 3'!$7:$8</definedName>
    <definedName name="_xlnm.Print_Titles" localSheetId="8">'сравнительная'!$A:$A,'сравнительная'!$13:$14</definedName>
    <definedName name="_xlnm.Print_Area" localSheetId="10">'Сравнит. по Приложению № 3'!$A$1:$H$29</definedName>
    <definedName name="_xlnm.Print_Area" localSheetId="8">'сравнительная'!$A$13:$AB$58</definedName>
  </definedNames>
  <calcPr fullCalcOnLoad="1"/>
</workbook>
</file>

<file path=xl/sharedStrings.xml><?xml version="1.0" encoding="utf-8"?>
<sst xmlns="http://schemas.openxmlformats.org/spreadsheetml/2006/main" count="636" uniqueCount="166">
  <si>
    <t>Остатки МБ по состоянию на 01.01.2019 года</t>
  </si>
  <si>
    <t>на счетах местного бюджета</t>
  </si>
  <si>
    <t>в т. ч.</t>
  </si>
  <si>
    <t>не имеющего целевого назначения  (очищенные)</t>
  </si>
  <si>
    <t>имеющие целевого назначения</t>
  </si>
  <si>
    <t>из них:</t>
  </si>
  <si>
    <t>1.</t>
  </si>
  <si>
    <t>1.1</t>
  </si>
  <si>
    <t>1.2</t>
  </si>
  <si>
    <t>а)</t>
  </si>
  <si>
    <t>целевой сбор на благоустройство территорий сел</t>
  </si>
  <si>
    <t>б)</t>
  </si>
  <si>
    <t>целевой сбор на содержание и развитие соц. сферы</t>
  </si>
  <si>
    <t>в)</t>
  </si>
  <si>
    <t xml:space="preserve">налог на содержание жилищно фонда </t>
  </si>
  <si>
    <t>г)</t>
  </si>
  <si>
    <t>целевой сбор землеустроителей</t>
  </si>
  <si>
    <t>д)</t>
  </si>
  <si>
    <t xml:space="preserve">средства от приватизации </t>
  </si>
  <si>
    <t>е)</t>
  </si>
  <si>
    <t>направляемые на кредитование крестьянских хоз-в</t>
  </si>
  <si>
    <t>ж)</t>
  </si>
  <si>
    <t>направляемые на кредитование молодых специалистов</t>
  </si>
  <si>
    <t>направляемые на кредитование молодых семей</t>
  </si>
  <si>
    <t>з)</t>
  </si>
  <si>
    <t>2</t>
  </si>
  <si>
    <t>на специальных бюджетных счетах от оказания платных услуг</t>
  </si>
  <si>
    <t>3</t>
  </si>
  <si>
    <t>территориального экологического фонда</t>
  </si>
  <si>
    <t>4</t>
  </si>
  <si>
    <t>Слободзея</t>
  </si>
  <si>
    <t>ОСТАТКИ местного бюджета всего:</t>
  </si>
  <si>
    <t>Дубоссары</t>
  </si>
  <si>
    <t>Тирасполь</t>
  </si>
  <si>
    <t>Днестровск</t>
  </si>
  <si>
    <t>Григориополь</t>
  </si>
  <si>
    <t>Бендеры</t>
  </si>
  <si>
    <t xml:space="preserve">фонд соц. развития </t>
  </si>
  <si>
    <t>Каменка</t>
  </si>
  <si>
    <t>Рыбница</t>
  </si>
  <si>
    <t>домовладение</t>
  </si>
  <si>
    <t>и)</t>
  </si>
  <si>
    <t>к)</t>
  </si>
  <si>
    <t>ИТОГО:</t>
  </si>
  <si>
    <t>Дефицит = сумме трансфертов</t>
  </si>
  <si>
    <t>Трансферты ?</t>
  </si>
  <si>
    <t>Согласно ст. 3 Закона ПМР  "О республиканском бюджете на 2019 год" остатки средств по состоянию на 01 января 2019 г. на счетах местных бюджетов городов (районов), за исключением средств, имеющих целевое назначение направляются на покрытие дефицита бюджета</t>
  </si>
  <si>
    <t xml:space="preserve">нераспределенне субсидии выделенные из РБ на развитие дорожной отраслм </t>
  </si>
  <si>
    <t>Приложение № 3</t>
  </si>
  <si>
    <t>к Закону Приднестровской Молдавской Республики</t>
  </si>
  <si>
    <t>"О республиканском бюджете на 2018 год"</t>
  </si>
  <si>
    <t>Основные параметры местных бюджетов на 2018 год</t>
  </si>
  <si>
    <t>(руб.)</t>
  </si>
  <si>
    <t>Наименование показателя</t>
  </si>
  <si>
    <t>ВСЕГО</t>
  </si>
  <si>
    <t>ДОХОДЫ местных бюджетов</t>
  </si>
  <si>
    <t>ДОТАЦИИ (трансферты) из  РБ  для обеспечения социальных обязательств местных бюджетов</t>
  </si>
  <si>
    <t>в т.ч. г. Тирасполю для г. Днестровска</t>
  </si>
  <si>
    <t>СРЕДСТВА из РБ  на развитие дорожной отрасли</t>
  </si>
  <si>
    <t>в  том числе:</t>
  </si>
  <si>
    <t>а) субсидии из республиканского бюджета:</t>
  </si>
  <si>
    <t>на развитие автомобильных дорог общего пользования, находящихся в государственной собственности</t>
  </si>
  <si>
    <t>на развитие автомобильных дорог общего пользования, находящихся в муниципальной  собственности</t>
  </si>
  <si>
    <t>на строительство и реконструкцию сельских дорог и на ремонт улиц, являющихся продолжением автомобильных дорог общего пользования, находящихся в государственной собственности, по городу Тирасполю и городу Бендеры</t>
  </si>
  <si>
    <t>на обустройство мест стоянок и парковок</t>
  </si>
  <si>
    <t>б) остатки средств на 1 января 2018 года:</t>
  </si>
  <si>
    <t>ОСТАТКИ по состоянию на 1 января 2018 года:</t>
  </si>
  <si>
    <t xml:space="preserve">а) остатки МБ, в т.ч. </t>
  </si>
  <si>
    <t>1) на уменьшение дефицита (не целевые)</t>
  </si>
  <si>
    <t>2) на увеличение расходов (целевые)</t>
  </si>
  <si>
    <t>целевой сбор на благоустройство территории сел (поселков)</t>
  </si>
  <si>
    <t>целевой сбор на содержание и развитие социальной сферы и инфраструктуры сел (поселков)</t>
  </si>
  <si>
    <t>налог на содержание жилищного фонда, объектов социально-культурной сферы и иные цели</t>
  </si>
  <si>
    <t>средства  от приватизации</t>
  </si>
  <si>
    <t>средства, направляемые на кредитование крестьянских (фермерских) хозяйств (и проценты)</t>
  </si>
  <si>
    <t>средства, направляемые на кредитование молодых специалистов на приобретение строительных материалов для строительства жилья (и проценты)</t>
  </si>
  <si>
    <t>средства, направляемые на кредитование молодых семей на приобретение строительных материалов для строительства жилья (и проценты)</t>
  </si>
  <si>
    <t>б) на специальных бюджетных счетах</t>
  </si>
  <si>
    <t>в) территориального экологического фонда</t>
  </si>
  <si>
    <t>ПРЕДЕЛЬНЫЙ ДЕФИЦИТ местных бюджетов</t>
  </si>
  <si>
    <t>ПРЕДЕЛЬНЫЕ РАСХОДЫ местных бюджетов</t>
  </si>
  <si>
    <t>б) остатки средств на 1 января 2019 года:</t>
  </si>
  <si>
    <t>1) не имеющего целевого назначения  (очищенные)</t>
  </si>
  <si>
    <t>Следовательно трансферты уменьшаем ?</t>
  </si>
  <si>
    <t>2) имеющие целевого назначения</t>
  </si>
  <si>
    <t>gлата за услуги, осуществляемые органами местного самоуправления в связи с утверждением схем домовладений и (или) иных построек хозяйственного назначения, расположенных в сельских населенных пунктах</t>
  </si>
  <si>
    <t>ОСТАТКИ по состоянию на 1 января 2019 года:</t>
  </si>
  <si>
    <t>фонд социального развития</t>
  </si>
  <si>
    <t>ДОХОДЫ местных бюджетов, из них</t>
  </si>
  <si>
    <t>имеющие целевое назначение</t>
  </si>
  <si>
    <t>Доходы к распределению (очищенные)</t>
  </si>
  <si>
    <t xml:space="preserve">ДОТАЦИИ (трансферты) из  РБ </t>
  </si>
  <si>
    <t xml:space="preserve">Расходы МБ всего </t>
  </si>
  <si>
    <t>Расходы очищенные</t>
  </si>
  <si>
    <t>расходы имеющие целевой источник</t>
  </si>
  <si>
    <t>Расходы на СЗ всего</t>
  </si>
  <si>
    <t>уд. вес в структуре очищенных рассходов, %</t>
  </si>
  <si>
    <t>расходы на оплату труда (денежное довольствие с учётом выплаты компенсации взамен продовольственного пайка) с учётом взносов на  социальное страхование, без платных услуг, но с планово-убыточными, - всего:</t>
  </si>
  <si>
    <t>иные СЗ</t>
  </si>
  <si>
    <t>прочие расходы очищенные</t>
  </si>
  <si>
    <t>Средства из РБ  на развитие дорожной отрасли</t>
  </si>
  <si>
    <t>Дотации (трансферты) из РБ</t>
  </si>
  <si>
    <t xml:space="preserve">на социально-защищенные статьи </t>
  </si>
  <si>
    <t>на прочие статьи</t>
  </si>
  <si>
    <t xml:space="preserve">Тирасполь </t>
  </si>
  <si>
    <t>Тирасполь для Днестровск</t>
  </si>
  <si>
    <t xml:space="preserve">Бендеры </t>
  </si>
  <si>
    <t xml:space="preserve">Рыбница </t>
  </si>
  <si>
    <t xml:space="preserve">Дубоссары </t>
  </si>
  <si>
    <t xml:space="preserve">Слободзея </t>
  </si>
  <si>
    <t xml:space="preserve">Григориополь </t>
  </si>
  <si>
    <t xml:space="preserve">Каменка </t>
  </si>
  <si>
    <t>Итого:</t>
  </si>
  <si>
    <t>расчет предельных расходов</t>
  </si>
  <si>
    <t>субссидии на развитие дФ и Столица</t>
  </si>
  <si>
    <t>остатки  на счетах РБ по субсид ДФ</t>
  </si>
  <si>
    <t>действующая редакция</t>
  </si>
  <si>
    <t>предлагаемая редакция</t>
  </si>
  <si>
    <t>отклонение</t>
  </si>
  <si>
    <t xml:space="preserve">Сравнительная таблица </t>
  </si>
  <si>
    <t xml:space="preserve">к проекту закона Приднестровской Молдавской Республики </t>
  </si>
  <si>
    <t xml:space="preserve">"О внесении изменений и дополнений в Закон Приднестровской Молдавской Республики </t>
  </si>
  <si>
    <t>(к Приложению № 5)</t>
  </si>
  <si>
    <t>Основные параметры местных бюджетов на 2019 год</t>
  </si>
  <si>
    <t>"О республиканском бюджете на 2019 год"</t>
  </si>
  <si>
    <t>по сельским дорогам и дорогам являющимся продолжением дорог</t>
  </si>
  <si>
    <t>а) не имеющего целевого назначения  (очищенные)</t>
  </si>
  <si>
    <t>б) имеющие целевого назначения, в том числе:</t>
  </si>
  <si>
    <t>1) целевые сборы и платежи всего, в том числе:</t>
  </si>
  <si>
    <t>2) на специальных бюджетных счетах</t>
  </si>
  <si>
    <t>3) территориального экологического фонда</t>
  </si>
  <si>
    <t>4) средства из РБ  на развитие дорожной отрасли</t>
  </si>
  <si>
    <t>ОСТАТКИ по состоянию на 1 января 2019 года всего, в том числе:</t>
  </si>
  <si>
    <t xml:space="preserve">РАСХОДЫ  местных бюджетов, из них </t>
  </si>
  <si>
    <t>ДОХОДЫ местных бюджетов всего, из них</t>
  </si>
  <si>
    <t>а) доходы к распределению (очищенные)</t>
  </si>
  <si>
    <t>б ) имеющие целевое назначение</t>
  </si>
  <si>
    <t>а) расходы на социально защищенные статьи :</t>
  </si>
  <si>
    <t xml:space="preserve">б) прочие статьи </t>
  </si>
  <si>
    <t>в )за счет целевых источников</t>
  </si>
  <si>
    <t>остатки на счетах МБ от ДФ</t>
  </si>
  <si>
    <t>Субсидии  из РБ  на развитие дорожной отрасли</t>
  </si>
  <si>
    <t>2.1.</t>
  </si>
  <si>
    <t>2.2.</t>
  </si>
  <si>
    <t>3.1.</t>
  </si>
  <si>
    <t>3.1.1.</t>
  </si>
  <si>
    <t>3.1.2.</t>
  </si>
  <si>
    <t>3.1.3.</t>
  </si>
  <si>
    <t>3.2.</t>
  </si>
  <si>
    <t>5.1.</t>
  </si>
  <si>
    <t>5.2.</t>
  </si>
  <si>
    <t>6.1.</t>
  </si>
  <si>
    <t>6.2.</t>
  </si>
  <si>
    <t>ИСТОЧНИКИ ПОКРЫТИЯ ДЕФИЦИТА местных бюджетов, из них:</t>
  </si>
  <si>
    <t>Дотации (трансферты) на покрытие дефицита</t>
  </si>
  <si>
    <t>ПРЕДЕЛЬНЫЕ РАСХОДЫ местных бюджетов, из них:</t>
  </si>
  <si>
    <t>Субсидии из РБ  по программе "Столица"</t>
  </si>
  <si>
    <t xml:space="preserve">№ п/п </t>
  </si>
  <si>
    <t>Средства из Резервных фондов  Президента и Правительства</t>
  </si>
  <si>
    <t>доходы к распределению (очищенные)</t>
  </si>
  <si>
    <t>расходы к распределению (очищенные)</t>
  </si>
  <si>
    <t xml:space="preserve">расходы  на социально защищенные статьи </t>
  </si>
  <si>
    <t xml:space="preserve">прочие статьи </t>
  </si>
  <si>
    <t>возврат дотаций (трансфертов)</t>
  </si>
  <si>
    <t>за счет целевых источников</t>
  </si>
  <si>
    <t xml:space="preserve"> Плановые доходы и расходов местных бюджетов на 2019 год</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</si>
</sst>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L&quot;;\-#,##0\ &quot;L&quot;"/>
    <numFmt numFmtId="173" formatCode="#,##0\ &quot;L&quot;;[Red]\-#,##0\ &quot;L&quot;"/>
    <numFmt numFmtId="174" formatCode="#,##0.00\ &quot;L&quot;;\-#,##0.00\ &quot;L&quot;"/>
    <numFmt numFmtId="175" formatCode="#,##0.00\ &quot;L&quot;;[Red]\-#,##0.00\ &quot;L&quot;"/>
    <numFmt numFmtId="176" formatCode="_-* #,##0\ &quot;L&quot;_-;\-* #,##0\ &quot;L&quot;_-;_-* &quot;-&quot;\ &quot;L&quot;_-;_-@_-"/>
    <numFmt numFmtId="177" formatCode="_-* #,##0\ _L_-;\-* #,##0\ _L_-;_-* &quot;-&quot;\ _L_-;_-@_-"/>
    <numFmt numFmtId="178" formatCode="_-* #,##0.00\ &quot;L&quot;_-;\-* #,##0.00\ &quot;L&quot;_-;_-* &quot;-&quot;??\ &quot;L&quot;_-;_-@_-"/>
    <numFmt numFmtId="179" formatCode="_-* #,##0.00\ _L_-;\-* #,##0.00\ _L_-;_-* &quot;-&quot;??\ _L_-;_-@_-"/>
    <numFmt numFmtId="180" formatCode="_-* #,##0.0_р_._-;\-* #,##0.0_р_._-;_-* &quot;-&quot;??_р_._-;_-@_-"/>
    <numFmt numFmtId="181" formatCode="_-* #,##0_р_._-;\-* #,##0_р_._-;_-* &quot;-&quot;??_р_._-;_-@_-"/>
    <numFmt numFmtId="182" formatCode="#,##0.0"/>
  </numFmts>
  <fonts count="60">
    <font>
      <sz val="10"/>
      <name val="Arial Cyr"/>
      <family val="0"/>
    </font>
    <font>
      <b/>
      <sz val="10"/>
      <name val="Arial Cyr"/>
      <family val="0"/>
    </font>
    <font>
      <b/>
      <sz val="12"/>
      <name val="Arial Cyr"/>
      <family val="0"/>
    </font>
    <font>
      <b/>
      <i/>
      <sz val="10"/>
      <name val="Arial Cyr"/>
      <family val="0"/>
    </font>
    <font>
      <sz val="12"/>
      <name val="Arial Cyr"/>
      <family val="0"/>
    </font>
    <font>
      <sz val="12"/>
      <name val="Times New Roman"/>
      <family val="1"/>
    </font>
    <font>
      <sz val="11"/>
      <name val="Times New Roman"/>
      <family val="1"/>
    </font>
    <font>
      <b/>
      <sz val="12"/>
      <name val="Times New Roman"/>
      <family val="1"/>
    </font>
    <font>
      <sz val="14"/>
      <name val="Times New Roman"/>
      <family val="1"/>
    </font>
    <font>
      <b/>
      <sz val="11"/>
      <name val="Times New Roman"/>
      <family val="1"/>
    </font>
    <font>
      <sz val="11"/>
      <name val="Arial Cyr"/>
      <family val="0"/>
    </font>
    <font>
      <sz val="10"/>
      <name val="Times New Roman"/>
      <family val="1"/>
    </font>
    <font>
      <b/>
      <sz val="11"/>
      <color indexed="10"/>
      <name val="Times New Roman"/>
      <family val="1"/>
    </font>
    <font>
      <sz val="11"/>
      <color indexed="12"/>
      <name val="Arial Narrow"/>
      <family val="2"/>
    </font>
    <font>
      <b/>
      <sz val="11"/>
      <color indexed="12"/>
      <name val="Arial Narrow"/>
      <family val="2"/>
    </font>
    <font>
      <sz val="11"/>
      <name val="Arial Narrow"/>
      <family val="2"/>
    </font>
    <font>
      <b/>
      <sz val="11"/>
      <name val="Arial Narrow"/>
      <family val="2"/>
    </font>
    <font>
      <sz val="16"/>
      <name val="Times New Roman"/>
      <family val="1"/>
    </font>
    <font>
      <b/>
      <sz val="14"/>
      <name val="Times New Roman"/>
      <family val="1"/>
    </font>
    <font>
      <sz val="8"/>
      <name val="Arial Cyr"/>
      <family val="0"/>
    </font>
    <font>
      <b/>
      <sz val="10"/>
      <name val="Times New Roman"/>
      <family val="1"/>
    </font>
    <font>
      <b/>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3"/>
        <bgColor indexed="64"/>
      </patternFill>
    </fill>
    <fill>
      <patternFill patternType="solid">
        <fgColor indexed="42"/>
        <bgColor indexed="64"/>
      </patternFill>
    </fill>
    <fill>
      <patternFill patternType="solid">
        <fgColor theme="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thin"/>
      <top style="thin"/>
      <bottom style="medium"/>
    </border>
    <border>
      <left style="thin"/>
      <right style="thin"/>
      <top>
        <color indexed="63"/>
      </top>
      <bottom style="thin"/>
    </border>
    <border>
      <left style="thin"/>
      <right style="medium"/>
      <top>
        <color indexed="63"/>
      </top>
      <bottom style="thin"/>
    </border>
    <border>
      <left style="thin"/>
      <right style="thin"/>
      <top style="medium"/>
      <bottom style="thin"/>
    </border>
    <border>
      <left style="thin"/>
      <right style="medium"/>
      <top style="medium"/>
      <bottom style="thin"/>
    </border>
    <border>
      <left style="medium"/>
      <right>
        <color indexed="63"/>
      </right>
      <top style="medium"/>
      <bottom style="thin"/>
    </border>
    <border>
      <left style="medium"/>
      <right>
        <color indexed="63"/>
      </right>
      <top>
        <color indexed="63"/>
      </top>
      <bottom style="thin"/>
    </border>
    <border>
      <left style="medium"/>
      <right>
        <color indexed="63"/>
      </right>
      <top style="thin"/>
      <bottom style="thin"/>
    </border>
    <border>
      <left style="medium"/>
      <right>
        <color indexed="63"/>
      </right>
      <top style="thin"/>
      <bottom style="medium"/>
    </border>
    <border>
      <left style="medium"/>
      <right style="thin"/>
      <top style="medium"/>
      <bottom style="thin"/>
    </border>
    <border>
      <left style="medium"/>
      <right style="thin"/>
      <top>
        <color indexed="63"/>
      </top>
      <bottom style="thin"/>
    </border>
    <border>
      <left style="medium"/>
      <right style="thin"/>
      <top style="thin"/>
      <bottom style="medium"/>
    </border>
    <border>
      <left style="thin"/>
      <right style="medium"/>
      <top style="thin"/>
      <bottom style="medium"/>
    </border>
    <border>
      <left style="medium"/>
      <right style="medium"/>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style="medium"/>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medium"/>
      <top style="thin"/>
      <bottom style="thin"/>
    </border>
    <border>
      <left style="medium"/>
      <right style="medium"/>
      <top style="thin"/>
      <bottom style="medium"/>
    </border>
    <border>
      <left>
        <color indexed="63"/>
      </left>
      <right>
        <color indexed="63"/>
      </right>
      <top style="thin"/>
      <bottom style="thin"/>
    </border>
    <border>
      <left style="medium"/>
      <right style="medium"/>
      <top style="thin"/>
      <bottom>
        <color indexed="63"/>
      </bottom>
    </border>
    <border>
      <left style="medium"/>
      <right style="thin"/>
      <top style="medium"/>
      <bottom style="medium"/>
    </border>
    <border>
      <left style="medium"/>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4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8" borderId="7" applyNumberFormat="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0" applyNumberFormat="0" applyFill="0" applyBorder="0" applyAlignment="0" applyProtection="0"/>
    <xf numFmtId="0" fontId="55" fillId="30" borderId="0" applyNumberFormat="0" applyBorder="0" applyAlignment="0" applyProtection="0"/>
    <xf numFmtId="0" fontId="5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9" fillId="32" borderId="0" applyNumberFormat="0" applyBorder="0" applyAlignment="0" applyProtection="0"/>
  </cellStyleXfs>
  <cellXfs count="218">
    <xf numFmtId="0" fontId="0" fillId="0" borderId="0" xfId="0" applyAlignment="1">
      <alignment/>
    </xf>
    <xf numFmtId="0" fontId="0" fillId="0" borderId="0" xfId="0" applyAlignment="1">
      <alignment wrapText="1"/>
    </xf>
    <xf numFmtId="0" fontId="1" fillId="0" borderId="0" xfId="0" applyFont="1" applyAlignment="1">
      <alignment/>
    </xf>
    <xf numFmtId="49" fontId="0" fillId="0" borderId="0" xfId="0" applyNumberFormat="1" applyAlignment="1">
      <alignment/>
    </xf>
    <xf numFmtId="181" fontId="0" fillId="0" borderId="0" xfId="60" applyNumberFormat="1" applyFont="1" applyAlignment="1">
      <alignment/>
    </xf>
    <xf numFmtId="181" fontId="2" fillId="0" borderId="0" xfId="60" applyNumberFormat="1" applyFont="1" applyAlignment="1">
      <alignment/>
    </xf>
    <xf numFmtId="181" fontId="0" fillId="0" borderId="10" xfId="60" applyNumberFormat="1" applyFont="1" applyBorder="1" applyAlignment="1">
      <alignment/>
    </xf>
    <xf numFmtId="181" fontId="1" fillId="0" borderId="10" xfId="60" applyNumberFormat="1" applyFont="1" applyBorder="1" applyAlignment="1">
      <alignment/>
    </xf>
    <xf numFmtId="49" fontId="0" fillId="0" borderId="11" xfId="0" applyNumberFormat="1" applyBorder="1" applyAlignment="1">
      <alignment/>
    </xf>
    <xf numFmtId="0" fontId="0" fillId="0" borderId="12" xfId="0" applyBorder="1" applyAlignment="1">
      <alignment/>
    </xf>
    <xf numFmtId="181" fontId="3" fillId="0" borderId="10" xfId="60" applyNumberFormat="1" applyFont="1" applyBorder="1" applyAlignment="1">
      <alignment/>
    </xf>
    <xf numFmtId="0" fontId="3" fillId="0" borderId="0" xfId="0" applyFont="1" applyAlignment="1">
      <alignment/>
    </xf>
    <xf numFmtId="0" fontId="4" fillId="0" borderId="0" xfId="0" applyFont="1" applyAlignment="1">
      <alignment/>
    </xf>
    <xf numFmtId="181" fontId="3" fillId="0" borderId="13" xfId="60" applyNumberFormat="1" applyFont="1" applyBorder="1" applyAlignment="1">
      <alignment/>
    </xf>
    <xf numFmtId="181" fontId="4" fillId="33" borderId="14" xfId="60" applyNumberFormat="1" applyFont="1" applyFill="1" applyBorder="1" applyAlignment="1">
      <alignment/>
    </xf>
    <xf numFmtId="181" fontId="4" fillId="33" borderId="15" xfId="60" applyNumberFormat="1" applyFont="1" applyFill="1" applyBorder="1" applyAlignment="1">
      <alignment/>
    </xf>
    <xf numFmtId="181" fontId="0" fillId="0" borderId="16" xfId="60" applyNumberFormat="1" applyFont="1" applyBorder="1" applyAlignment="1">
      <alignment/>
    </xf>
    <xf numFmtId="0" fontId="0" fillId="0" borderId="17" xfId="0" applyBorder="1" applyAlignment="1">
      <alignment/>
    </xf>
    <xf numFmtId="181" fontId="3" fillId="0" borderId="12" xfId="0" applyNumberFormat="1" applyFont="1" applyBorder="1" applyAlignment="1">
      <alignment/>
    </xf>
    <xf numFmtId="0" fontId="3" fillId="0" borderId="0" xfId="0" applyFont="1" applyFill="1" applyBorder="1" applyAlignment="1">
      <alignment wrapText="1"/>
    </xf>
    <xf numFmtId="181" fontId="0" fillId="0" borderId="0" xfId="60" applyNumberFormat="1" applyFont="1" applyAlignment="1">
      <alignment wrapText="1"/>
    </xf>
    <xf numFmtId="49" fontId="0" fillId="0" borderId="18" xfId="0" applyNumberFormat="1" applyBorder="1" applyAlignment="1">
      <alignment/>
    </xf>
    <xf numFmtId="49" fontId="4" fillId="0" borderId="19" xfId="0" applyNumberFormat="1" applyFont="1" applyBorder="1" applyAlignment="1">
      <alignment/>
    </xf>
    <xf numFmtId="49" fontId="0" fillId="0" borderId="20" xfId="0" applyNumberFormat="1" applyBorder="1" applyAlignment="1">
      <alignment/>
    </xf>
    <xf numFmtId="49" fontId="3" fillId="0" borderId="20" xfId="0" applyNumberFormat="1" applyFont="1" applyBorder="1" applyAlignment="1">
      <alignment/>
    </xf>
    <xf numFmtId="49" fontId="1" fillId="0" borderId="20" xfId="0" applyNumberFormat="1" applyFont="1" applyBorder="1" applyAlignment="1">
      <alignment/>
    </xf>
    <xf numFmtId="49" fontId="3" fillId="0" borderId="21" xfId="0" applyNumberFormat="1" applyFont="1" applyBorder="1" applyAlignment="1">
      <alignment/>
    </xf>
    <xf numFmtId="0" fontId="0" fillId="0" borderId="22" xfId="0" applyBorder="1" applyAlignment="1">
      <alignment/>
    </xf>
    <xf numFmtId="0" fontId="4" fillId="0" borderId="23" xfId="0" applyFont="1" applyBorder="1" applyAlignment="1">
      <alignment/>
    </xf>
    <xf numFmtId="0" fontId="0" fillId="0" borderId="11" xfId="0" applyBorder="1" applyAlignment="1">
      <alignment/>
    </xf>
    <xf numFmtId="0" fontId="3" fillId="0" borderId="11" xfId="0" applyFont="1" applyBorder="1" applyAlignment="1">
      <alignment/>
    </xf>
    <xf numFmtId="0" fontId="1" fillId="0" borderId="11" xfId="0" applyFont="1" applyBorder="1" applyAlignment="1">
      <alignment wrapText="1"/>
    </xf>
    <xf numFmtId="0" fontId="0" fillId="0" borderId="11" xfId="0" applyBorder="1" applyAlignment="1">
      <alignment wrapText="1"/>
    </xf>
    <xf numFmtId="49" fontId="0" fillId="0" borderId="11" xfId="0" applyNumberFormat="1" applyBorder="1" applyAlignment="1">
      <alignment wrapText="1"/>
    </xf>
    <xf numFmtId="0" fontId="3" fillId="0" borderId="11" xfId="0" applyFont="1" applyBorder="1" applyAlignment="1">
      <alignment wrapText="1"/>
    </xf>
    <xf numFmtId="0" fontId="3" fillId="0" borderId="24" xfId="0" applyFont="1" applyBorder="1" applyAlignment="1">
      <alignment wrapText="1"/>
    </xf>
    <xf numFmtId="181" fontId="3" fillId="0" borderId="25" xfId="0" applyNumberFormat="1" applyFont="1" applyBorder="1" applyAlignment="1">
      <alignment/>
    </xf>
    <xf numFmtId="0" fontId="5" fillId="0" borderId="0" xfId="0" applyFont="1" applyFill="1" applyAlignment="1">
      <alignment/>
    </xf>
    <xf numFmtId="0" fontId="5" fillId="0" borderId="0" xfId="0" applyFont="1" applyFill="1" applyAlignment="1">
      <alignment horizontal="right" vertical="center"/>
    </xf>
    <xf numFmtId="0" fontId="6" fillId="0" borderId="0" xfId="0" applyFont="1" applyFill="1" applyAlignment="1">
      <alignment vertical="center"/>
    </xf>
    <xf numFmtId="0" fontId="0" fillId="0" borderId="0" xfId="0" applyFill="1" applyAlignment="1">
      <alignment/>
    </xf>
    <xf numFmtId="0" fontId="6" fillId="0" borderId="0" xfId="0" applyFont="1" applyFill="1" applyAlignment="1">
      <alignment/>
    </xf>
    <xf numFmtId="0" fontId="7" fillId="0" borderId="0" xfId="0" applyFont="1" applyFill="1" applyAlignment="1">
      <alignment/>
    </xf>
    <xf numFmtId="0" fontId="5" fillId="0" borderId="0" xfId="0" applyFont="1" applyFill="1" applyAlignment="1">
      <alignment horizontal="right"/>
    </xf>
    <xf numFmtId="0" fontId="7" fillId="0" borderId="26"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28" xfId="0" applyFont="1" applyFill="1" applyBorder="1" applyAlignment="1">
      <alignment horizontal="center" vertical="center"/>
    </xf>
    <xf numFmtId="0" fontId="7" fillId="0" borderId="29" xfId="0" applyFont="1" applyFill="1" applyBorder="1" applyAlignment="1">
      <alignment horizontal="center" vertical="center"/>
    </xf>
    <xf numFmtId="0" fontId="5" fillId="0" borderId="30" xfId="0" applyFont="1" applyFill="1" applyBorder="1" applyAlignment="1">
      <alignment horizontal="center"/>
    </xf>
    <xf numFmtId="0" fontId="5" fillId="0" borderId="31" xfId="0" applyFont="1" applyFill="1" applyBorder="1" applyAlignment="1">
      <alignment horizontal="center"/>
    </xf>
    <xf numFmtId="0" fontId="5" fillId="0" borderId="32" xfId="0" applyFont="1" applyFill="1" applyBorder="1" applyAlignment="1">
      <alignment horizontal="center"/>
    </xf>
    <xf numFmtId="0" fontId="5" fillId="0" borderId="32" xfId="0" applyFont="1" applyFill="1" applyBorder="1" applyAlignment="1">
      <alignment/>
    </xf>
    <xf numFmtId="0" fontId="5" fillId="0" borderId="33" xfId="0" applyFont="1" applyFill="1" applyBorder="1" applyAlignment="1">
      <alignment/>
    </xf>
    <xf numFmtId="0" fontId="9" fillId="0" borderId="34" xfId="0" applyFont="1" applyFill="1" applyBorder="1" applyAlignment="1">
      <alignment vertical="center" wrapText="1"/>
    </xf>
    <xf numFmtId="3" fontId="7" fillId="0" borderId="10" xfId="0" applyNumberFormat="1" applyFont="1" applyFill="1" applyBorder="1" applyAlignment="1">
      <alignment vertical="center"/>
    </xf>
    <xf numFmtId="3" fontId="7" fillId="0" borderId="10" xfId="0" applyNumberFormat="1" applyFont="1" applyFill="1" applyBorder="1" applyAlignment="1">
      <alignment horizontal="right" vertical="center"/>
    </xf>
    <xf numFmtId="0" fontId="10" fillId="0" borderId="0" xfId="0" applyFont="1" applyFill="1" applyAlignment="1">
      <alignment/>
    </xf>
    <xf numFmtId="3" fontId="10" fillId="0" borderId="0" xfId="0" applyNumberFormat="1" applyFont="1" applyFill="1" applyAlignment="1">
      <alignment/>
    </xf>
    <xf numFmtId="0" fontId="7" fillId="0" borderId="34" xfId="0" applyFont="1" applyFill="1" applyBorder="1" applyAlignment="1">
      <alignment vertical="center" wrapText="1"/>
    </xf>
    <xf numFmtId="0" fontId="6" fillId="0" borderId="34" xfId="0" applyFont="1" applyFill="1" applyBorder="1" applyAlignment="1">
      <alignment horizontal="center" vertical="center" wrapText="1"/>
    </xf>
    <xf numFmtId="0" fontId="7" fillId="0" borderId="34" xfId="0" applyFont="1" applyFill="1" applyBorder="1" applyAlignment="1">
      <alignment horizontal="left" vertical="center" wrapText="1"/>
    </xf>
    <xf numFmtId="0" fontId="5" fillId="0" borderId="34" xfId="0" applyFont="1" applyFill="1" applyBorder="1" applyAlignment="1">
      <alignment vertical="center" wrapText="1"/>
    </xf>
    <xf numFmtId="3" fontId="5" fillId="0" borderId="10" xfId="0" applyNumberFormat="1" applyFont="1" applyFill="1" applyBorder="1" applyAlignment="1">
      <alignment vertical="center"/>
    </xf>
    <xf numFmtId="3" fontId="5" fillId="0" borderId="10" xfId="0" applyNumberFormat="1" applyFont="1" applyFill="1" applyBorder="1" applyAlignment="1">
      <alignment horizontal="right" vertical="center"/>
    </xf>
    <xf numFmtId="0" fontId="6" fillId="0" borderId="34" xfId="0" applyFont="1" applyFill="1" applyBorder="1" applyAlignment="1">
      <alignment vertical="center" wrapText="1"/>
    </xf>
    <xf numFmtId="3" fontId="6" fillId="0" borderId="10" xfId="0" applyNumberFormat="1" applyFont="1" applyFill="1" applyBorder="1" applyAlignment="1">
      <alignment vertical="center"/>
    </xf>
    <xf numFmtId="3" fontId="6" fillId="0" borderId="10" xfId="0" applyNumberFormat="1" applyFont="1" applyFill="1" applyBorder="1" applyAlignment="1">
      <alignment horizontal="right" vertical="center"/>
    </xf>
    <xf numFmtId="0" fontId="9" fillId="0" borderId="35" xfId="0" applyFont="1" applyFill="1" applyBorder="1" applyAlignment="1">
      <alignment vertical="center" wrapText="1"/>
    </xf>
    <xf numFmtId="3" fontId="0" fillId="0" borderId="0" xfId="0" applyNumberFormat="1" applyFill="1" applyAlignment="1">
      <alignment/>
    </xf>
    <xf numFmtId="3" fontId="5" fillId="33" borderId="10" xfId="0" applyNumberFormat="1" applyFont="1" applyFill="1" applyBorder="1" applyAlignment="1">
      <alignment vertical="center"/>
    </xf>
    <xf numFmtId="3" fontId="11" fillId="0" borderId="10" xfId="0" applyNumberFormat="1" applyFont="1" applyFill="1" applyBorder="1" applyAlignment="1">
      <alignment vertical="center"/>
    </xf>
    <xf numFmtId="3" fontId="11" fillId="0" borderId="10" xfId="0" applyNumberFormat="1" applyFont="1" applyFill="1" applyBorder="1" applyAlignment="1">
      <alignment horizontal="right" vertical="center"/>
    </xf>
    <xf numFmtId="3" fontId="9" fillId="0" borderId="10" xfId="0" applyNumberFormat="1" applyFont="1" applyBorder="1" applyAlignment="1">
      <alignment horizontal="center" wrapText="1"/>
    </xf>
    <xf numFmtId="3" fontId="6" fillId="0" borderId="10" xfId="0" applyNumberFormat="1" applyFont="1" applyBorder="1" applyAlignment="1">
      <alignment horizontal="center" wrapText="1"/>
    </xf>
    <xf numFmtId="3" fontId="12" fillId="0" borderId="10" xfId="0" applyNumberFormat="1" applyFont="1" applyBorder="1" applyAlignment="1">
      <alignment horizontal="center" wrapText="1"/>
    </xf>
    <xf numFmtId="3" fontId="6" fillId="0" borderId="10" xfId="0" applyNumberFormat="1" applyFont="1" applyBorder="1" applyAlignment="1">
      <alignment horizontal="center" vertical="center" wrapText="1"/>
    </xf>
    <xf numFmtId="3" fontId="6" fillId="0" borderId="36" xfId="0" applyNumberFormat="1" applyFont="1" applyBorder="1" applyAlignment="1">
      <alignment horizontal="center" wrapText="1"/>
    </xf>
    <xf numFmtId="0" fontId="0" fillId="0" borderId="0" xfId="0" applyFont="1" applyFill="1" applyAlignment="1">
      <alignment/>
    </xf>
    <xf numFmtId="3" fontId="9" fillId="0" borderId="36" xfId="0" applyNumberFormat="1" applyFont="1" applyBorder="1" applyAlignment="1">
      <alignment horizontal="center" wrapText="1"/>
    </xf>
    <xf numFmtId="0" fontId="1" fillId="0" borderId="0" xfId="0" applyFont="1" applyFill="1" applyAlignment="1">
      <alignment/>
    </xf>
    <xf numFmtId="0" fontId="0" fillId="0" borderId="0" xfId="0" applyFont="1" applyFill="1" applyAlignment="1">
      <alignment/>
    </xf>
    <xf numFmtId="181" fontId="0" fillId="0" borderId="0" xfId="60" applyNumberFormat="1" applyAlignment="1">
      <alignment wrapText="1"/>
    </xf>
    <xf numFmtId="181" fontId="0" fillId="0" borderId="0" xfId="60" applyNumberFormat="1" applyAlignment="1">
      <alignment/>
    </xf>
    <xf numFmtId="0" fontId="7" fillId="0" borderId="37" xfId="0" applyFont="1" applyFill="1" applyBorder="1" applyAlignment="1">
      <alignment vertical="center" wrapText="1"/>
    </xf>
    <xf numFmtId="0" fontId="13" fillId="0" borderId="10" xfId="0" applyFont="1" applyFill="1" applyBorder="1" applyAlignment="1">
      <alignment/>
    </xf>
    <xf numFmtId="3" fontId="13" fillId="0" borderId="10" xfId="0" applyNumberFormat="1" applyFont="1" applyFill="1" applyBorder="1" applyAlignment="1">
      <alignment/>
    </xf>
    <xf numFmtId="0" fontId="14" fillId="0" borderId="10" xfId="0" applyFont="1" applyFill="1" applyBorder="1" applyAlignment="1">
      <alignment horizontal="center"/>
    </xf>
    <xf numFmtId="3" fontId="14" fillId="0" borderId="10" xfId="0" applyNumberFormat="1" applyFont="1" applyFill="1" applyBorder="1" applyAlignment="1">
      <alignment/>
    </xf>
    <xf numFmtId="3" fontId="15" fillId="0" borderId="10" xfId="0" applyNumberFormat="1" applyFont="1" applyFill="1" applyBorder="1" applyAlignment="1">
      <alignment/>
    </xf>
    <xf numFmtId="3" fontId="16" fillId="0" borderId="10" xfId="0" applyNumberFormat="1" applyFont="1" applyFill="1" applyBorder="1" applyAlignment="1">
      <alignment/>
    </xf>
    <xf numFmtId="0" fontId="13" fillId="0" borderId="0" xfId="0" applyFont="1" applyFill="1" applyBorder="1" applyAlignment="1">
      <alignment/>
    </xf>
    <xf numFmtId="3" fontId="13" fillId="0" borderId="0" xfId="0" applyNumberFormat="1" applyFont="1" applyFill="1" applyBorder="1" applyAlignment="1">
      <alignment/>
    </xf>
    <xf numFmtId="0" fontId="14" fillId="0" borderId="0" xfId="0" applyFont="1" applyFill="1" applyBorder="1" applyAlignment="1">
      <alignment horizontal="center"/>
    </xf>
    <xf numFmtId="3" fontId="14" fillId="0" borderId="0" xfId="0" applyNumberFormat="1" applyFont="1" applyFill="1" applyBorder="1" applyAlignment="1">
      <alignment/>
    </xf>
    <xf numFmtId="0" fontId="0" fillId="0" borderId="0" xfId="0" applyFill="1" applyBorder="1" applyAlignment="1">
      <alignment/>
    </xf>
    <xf numFmtId="3" fontId="0" fillId="0" borderId="0" xfId="0" applyNumberFormat="1" applyFont="1" applyFill="1" applyAlignment="1">
      <alignment/>
    </xf>
    <xf numFmtId="171" fontId="0" fillId="0" borderId="0" xfId="60" applyFont="1" applyFill="1" applyAlignment="1">
      <alignment/>
    </xf>
    <xf numFmtId="181" fontId="0" fillId="0" borderId="0" xfId="0" applyNumberFormat="1" applyAlignment="1">
      <alignment/>
    </xf>
    <xf numFmtId="171" fontId="0" fillId="0" borderId="0" xfId="60" applyFill="1" applyAlignment="1">
      <alignment/>
    </xf>
    <xf numFmtId="181" fontId="0" fillId="0" borderId="0" xfId="0" applyNumberFormat="1" applyFill="1" applyAlignment="1">
      <alignment/>
    </xf>
    <xf numFmtId="0" fontId="7" fillId="0" borderId="38" xfId="0" applyFont="1" applyFill="1" applyBorder="1" applyAlignment="1">
      <alignment horizontal="center" vertical="center"/>
    </xf>
    <xf numFmtId="0" fontId="5" fillId="0" borderId="39" xfId="0" applyFont="1" applyFill="1" applyBorder="1" applyAlignment="1">
      <alignment horizontal="center"/>
    </xf>
    <xf numFmtId="3" fontId="7" fillId="0" borderId="11" xfId="0" applyNumberFormat="1" applyFont="1" applyFill="1" applyBorder="1" applyAlignment="1">
      <alignment vertical="center"/>
    </xf>
    <xf numFmtId="3" fontId="7" fillId="0" borderId="12" xfId="0" applyNumberFormat="1" applyFont="1" applyFill="1" applyBorder="1" applyAlignment="1">
      <alignment horizontal="right" vertical="center"/>
    </xf>
    <xf numFmtId="3" fontId="11" fillId="0" borderId="11" xfId="0" applyNumberFormat="1" applyFont="1" applyFill="1" applyBorder="1" applyAlignment="1">
      <alignment vertical="center"/>
    </xf>
    <xf numFmtId="3" fontId="11" fillId="0" borderId="12" xfId="0" applyNumberFormat="1" applyFont="1" applyFill="1" applyBorder="1" applyAlignment="1">
      <alignment horizontal="right" vertical="center"/>
    </xf>
    <xf numFmtId="3" fontId="7" fillId="0" borderId="12" xfId="0" applyNumberFormat="1" applyFont="1" applyFill="1" applyBorder="1" applyAlignment="1">
      <alignment vertical="center"/>
    </xf>
    <xf numFmtId="3" fontId="5" fillId="0" borderId="11" xfId="0" applyNumberFormat="1" applyFont="1" applyFill="1" applyBorder="1" applyAlignment="1">
      <alignment vertical="center"/>
    </xf>
    <xf numFmtId="3" fontId="5" fillId="0" borderId="12" xfId="0" applyNumberFormat="1" applyFont="1" applyFill="1" applyBorder="1" applyAlignment="1">
      <alignment horizontal="right" vertical="center"/>
    </xf>
    <xf numFmtId="3" fontId="5" fillId="0" borderId="12" xfId="0" applyNumberFormat="1" applyFont="1" applyFill="1" applyBorder="1" applyAlignment="1">
      <alignment vertical="center"/>
    </xf>
    <xf numFmtId="3" fontId="6" fillId="0" borderId="11" xfId="0" applyNumberFormat="1" applyFont="1" applyFill="1" applyBorder="1" applyAlignment="1">
      <alignment vertical="center"/>
    </xf>
    <xf numFmtId="3" fontId="6" fillId="0" borderId="12" xfId="0" applyNumberFormat="1" applyFont="1" applyFill="1" applyBorder="1" applyAlignment="1">
      <alignment horizontal="right" vertical="center"/>
    </xf>
    <xf numFmtId="3" fontId="7" fillId="0" borderId="11" xfId="0" applyNumberFormat="1" applyFont="1" applyFill="1" applyBorder="1" applyAlignment="1">
      <alignment horizontal="right" vertical="center"/>
    </xf>
    <xf numFmtId="3" fontId="7" fillId="0" borderId="24" xfId="0" applyNumberFormat="1" applyFont="1" applyFill="1" applyBorder="1" applyAlignment="1">
      <alignment horizontal="right" vertical="center"/>
    </xf>
    <xf numFmtId="3" fontId="7" fillId="0" borderId="13" xfId="0" applyNumberFormat="1" applyFont="1" applyFill="1" applyBorder="1" applyAlignment="1">
      <alignment horizontal="right" vertical="center"/>
    </xf>
    <xf numFmtId="3" fontId="7" fillId="0" borderId="25" xfId="0" applyNumberFormat="1" applyFont="1" applyFill="1" applyBorder="1" applyAlignment="1">
      <alignment horizontal="right" vertical="center"/>
    </xf>
    <xf numFmtId="3" fontId="9" fillId="0" borderId="34" xfId="0" applyNumberFormat="1" applyFont="1" applyFill="1" applyBorder="1" applyAlignment="1">
      <alignment horizontal="center" wrapText="1"/>
    </xf>
    <xf numFmtId="3" fontId="6" fillId="0" borderId="34" xfId="0" applyNumberFormat="1" applyFont="1" applyFill="1" applyBorder="1" applyAlignment="1">
      <alignment horizontal="center" wrapText="1"/>
    </xf>
    <xf numFmtId="3" fontId="6" fillId="0" borderId="34" xfId="0" applyNumberFormat="1" applyFont="1" applyFill="1" applyBorder="1" applyAlignment="1">
      <alignment horizontal="center" vertical="center" wrapText="1"/>
    </xf>
    <xf numFmtId="181" fontId="1" fillId="0" borderId="11" xfId="60" applyNumberFormat="1" applyFont="1" applyFill="1" applyBorder="1" applyAlignment="1">
      <alignment/>
    </xf>
    <xf numFmtId="181" fontId="1" fillId="0" borderId="10" xfId="60" applyNumberFormat="1" applyFont="1" applyFill="1" applyBorder="1" applyAlignment="1">
      <alignment/>
    </xf>
    <xf numFmtId="171" fontId="0" fillId="0" borderId="0" xfId="60" applyFont="1" applyFill="1" applyAlignment="1">
      <alignment/>
    </xf>
    <xf numFmtId="3" fontId="0" fillId="0" borderId="0" xfId="0" applyNumberFormat="1" applyFont="1" applyFill="1" applyAlignment="1">
      <alignment/>
    </xf>
    <xf numFmtId="181" fontId="0" fillId="0" borderId="0" xfId="60" applyNumberFormat="1" applyFont="1" applyFill="1" applyAlignment="1">
      <alignment wrapText="1"/>
    </xf>
    <xf numFmtId="181" fontId="0" fillId="0" borderId="0" xfId="0" applyNumberFormat="1" applyFont="1" applyFill="1" applyAlignment="1">
      <alignment/>
    </xf>
    <xf numFmtId="49" fontId="0" fillId="0" borderId="0" xfId="0" applyNumberFormat="1" applyFont="1" applyFill="1" applyAlignment="1">
      <alignment/>
    </xf>
    <xf numFmtId="181" fontId="0" fillId="0" borderId="0" xfId="60" applyNumberFormat="1" applyFont="1" applyFill="1" applyAlignment="1">
      <alignment/>
    </xf>
    <xf numFmtId="0" fontId="6" fillId="0" borderId="0" xfId="0" applyFont="1" applyFill="1" applyAlignment="1">
      <alignment horizontal="center"/>
    </xf>
    <xf numFmtId="0" fontId="0" fillId="0" borderId="0" xfId="0" applyFont="1" applyAlignment="1">
      <alignment/>
    </xf>
    <xf numFmtId="0" fontId="6" fillId="0" borderId="0" xfId="0" applyFont="1" applyAlignment="1">
      <alignment/>
    </xf>
    <xf numFmtId="0" fontId="7" fillId="0" borderId="0" xfId="0" applyFont="1" applyFill="1" applyAlignment="1">
      <alignment horizontal="center"/>
    </xf>
    <xf numFmtId="0" fontId="6" fillId="0" borderId="0" xfId="0" applyFont="1" applyAlignment="1">
      <alignment horizontal="center"/>
    </xf>
    <xf numFmtId="0" fontId="9" fillId="0" borderId="0" xfId="0" applyFont="1" applyFill="1" applyAlignment="1">
      <alignment/>
    </xf>
    <xf numFmtId="0" fontId="9" fillId="0" borderId="0" xfId="0" applyFont="1" applyFill="1" applyAlignment="1">
      <alignment horizontal="center"/>
    </xf>
    <xf numFmtId="0" fontId="11" fillId="0" borderId="0" xfId="0" applyFont="1" applyFill="1" applyAlignment="1">
      <alignment/>
    </xf>
    <xf numFmtId="0" fontId="6" fillId="0" borderId="0" xfId="0" applyFont="1" applyFill="1" applyAlignment="1">
      <alignment horizontal="right"/>
    </xf>
    <xf numFmtId="0" fontId="17" fillId="0" borderId="0" xfId="0" applyFont="1" applyFill="1" applyAlignment="1">
      <alignment/>
    </xf>
    <xf numFmtId="0" fontId="18" fillId="0" borderId="0" xfId="0" applyFont="1" applyFill="1" applyAlignment="1">
      <alignment/>
    </xf>
    <xf numFmtId="3" fontId="11" fillId="0" borderId="0" xfId="0" applyNumberFormat="1" applyFont="1" applyFill="1" applyAlignment="1">
      <alignment/>
    </xf>
    <xf numFmtId="0" fontId="5" fillId="0" borderId="0" xfId="0" applyFont="1" applyFill="1" applyBorder="1" applyAlignment="1">
      <alignment horizontal="center"/>
    </xf>
    <xf numFmtId="3" fontId="9" fillId="0" borderId="34" xfId="0" applyNumberFormat="1" applyFont="1" applyFill="1" applyBorder="1" applyAlignment="1">
      <alignment horizontal="left" wrapText="1"/>
    </xf>
    <xf numFmtId="3" fontId="7" fillId="0" borderId="11" xfId="0" applyNumberFormat="1" applyFont="1" applyFill="1" applyBorder="1" applyAlignment="1">
      <alignment horizontal="center" vertical="center"/>
    </xf>
    <xf numFmtId="181" fontId="7" fillId="0" borderId="11" xfId="60" applyNumberFormat="1" applyFont="1" applyFill="1" applyBorder="1" applyAlignment="1">
      <alignment horizontal="center" vertical="center"/>
    </xf>
    <xf numFmtId="3" fontId="5" fillId="0" borderId="11" xfId="0" applyNumberFormat="1" applyFont="1" applyFill="1" applyBorder="1" applyAlignment="1">
      <alignment horizontal="center" vertical="center"/>
    </xf>
    <xf numFmtId="3" fontId="5" fillId="0" borderId="10" xfId="0" applyNumberFormat="1" applyFont="1" applyFill="1" applyBorder="1" applyAlignment="1">
      <alignment horizontal="center" vertical="center"/>
    </xf>
    <xf numFmtId="3" fontId="5" fillId="0" borderId="12" xfId="0" applyNumberFormat="1" applyFont="1" applyFill="1" applyBorder="1" applyAlignment="1">
      <alignment horizontal="center" vertical="center"/>
    </xf>
    <xf numFmtId="3" fontId="6" fillId="0" borderId="11" xfId="0" applyNumberFormat="1" applyFont="1" applyFill="1" applyBorder="1" applyAlignment="1">
      <alignment horizontal="center" vertical="center"/>
    </xf>
    <xf numFmtId="3" fontId="6" fillId="0" borderId="10" xfId="0" applyNumberFormat="1" applyFont="1" applyFill="1" applyBorder="1" applyAlignment="1">
      <alignment horizontal="center" vertical="center"/>
    </xf>
    <xf numFmtId="3" fontId="6" fillId="0" borderId="12" xfId="0" applyNumberFormat="1" applyFont="1" applyFill="1" applyBorder="1" applyAlignment="1">
      <alignment horizontal="center" vertical="center"/>
    </xf>
    <xf numFmtId="3" fontId="7" fillId="0" borderId="10" xfId="0" applyNumberFormat="1" applyFont="1" applyFill="1" applyBorder="1" applyAlignment="1">
      <alignment horizontal="center" vertical="center"/>
    </xf>
    <xf numFmtId="3" fontId="7" fillId="0" borderId="12" xfId="0" applyNumberFormat="1" applyFont="1" applyFill="1" applyBorder="1" applyAlignment="1">
      <alignment horizontal="center" vertical="center"/>
    </xf>
    <xf numFmtId="3" fontId="16" fillId="0" borderId="10" xfId="0" applyNumberFormat="1" applyFont="1" applyFill="1" applyBorder="1" applyAlignment="1">
      <alignment horizontal="center"/>
    </xf>
    <xf numFmtId="3" fontId="15" fillId="0" borderId="10" xfId="0" applyNumberFormat="1" applyFont="1" applyFill="1" applyBorder="1" applyAlignment="1">
      <alignment horizontal="center"/>
    </xf>
    <xf numFmtId="3" fontId="7" fillId="0" borderId="24" xfId="0" applyNumberFormat="1" applyFont="1" applyFill="1" applyBorder="1" applyAlignment="1">
      <alignment horizontal="center" vertical="center"/>
    </xf>
    <xf numFmtId="3" fontId="6" fillId="0" borderId="34" xfId="0" applyNumberFormat="1" applyFont="1" applyFill="1" applyBorder="1" applyAlignment="1">
      <alignment horizontal="left" wrapText="1"/>
    </xf>
    <xf numFmtId="3" fontId="6" fillId="34" borderId="34" xfId="0" applyNumberFormat="1" applyFont="1" applyFill="1" applyBorder="1" applyAlignment="1">
      <alignment horizontal="left" vertical="center" wrapText="1"/>
    </xf>
    <xf numFmtId="3" fontId="5" fillId="34" borderId="11" xfId="0" applyNumberFormat="1" applyFont="1" applyFill="1" applyBorder="1" applyAlignment="1">
      <alignment vertical="center"/>
    </xf>
    <xf numFmtId="3" fontId="5" fillId="34" borderId="10" xfId="0" applyNumberFormat="1" applyFont="1" applyFill="1" applyBorder="1" applyAlignment="1">
      <alignment vertical="center"/>
    </xf>
    <xf numFmtId="3" fontId="5" fillId="34" borderId="10" xfId="0" applyNumberFormat="1" applyFont="1" applyFill="1" applyBorder="1" applyAlignment="1">
      <alignment horizontal="right" vertical="center"/>
    </xf>
    <xf numFmtId="3" fontId="7" fillId="34" borderId="12" xfId="0" applyNumberFormat="1" applyFont="1" applyFill="1" applyBorder="1" applyAlignment="1">
      <alignment horizontal="right" vertical="center"/>
    </xf>
    <xf numFmtId="3" fontId="5" fillId="34" borderId="11" xfId="0" applyNumberFormat="1" applyFont="1" applyFill="1" applyBorder="1" applyAlignment="1">
      <alignment horizontal="center" vertical="center"/>
    </xf>
    <xf numFmtId="3" fontId="5" fillId="34" borderId="10" xfId="0" applyNumberFormat="1" applyFont="1" applyFill="1" applyBorder="1" applyAlignment="1">
      <alignment horizontal="center" vertical="center"/>
    </xf>
    <xf numFmtId="3" fontId="7" fillId="34" borderId="12" xfId="0" applyNumberFormat="1" applyFont="1" applyFill="1" applyBorder="1" applyAlignment="1">
      <alignment horizontal="center" vertical="center"/>
    </xf>
    <xf numFmtId="0" fontId="0" fillId="34" borderId="0" xfId="0" applyFont="1" applyFill="1" applyAlignment="1">
      <alignment/>
    </xf>
    <xf numFmtId="3" fontId="6" fillId="34" borderId="34" xfId="0" applyNumberFormat="1" applyFont="1" applyFill="1" applyBorder="1" applyAlignment="1">
      <alignment horizontal="left" wrapText="1"/>
    </xf>
    <xf numFmtId="0" fontId="2" fillId="0" borderId="0" xfId="0" applyFont="1" applyFill="1" applyAlignment="1">
      <alignment/>
    </xf>
    <xf numFmtId="3" fontId="7" fillId="35" borderId="12" xfId="0" applyNumberFormat="1" applyFont="1" applyFill="1" applyBorder="1" applyAlignment="1">
      <alignment horizontal="right" vertical="center"/>
    </xf>
    <xf numFmtId="3" fontId="2" fillId="0" borderId="0" xfId="0" applyNumberFormat="1" applyFont="1" applyFill="1" applyAlignment="1">
      <alignment/>
    </xf>
    <xf numFmtId="0" fontId="11" fillId="0" borderId="0" xfId="0" applyFont="1" applyFill="1" applyBorder="1" applyAlignment="1">
      <alignment/>
    </xf>
    <xf numFmtId="0" fontId="20" fillId="0" borderId="0" xfId="0" applyFont="1" applyFill="1" applyBorder="1" applyAlignment="1">
      <alignment/>
    </xf>
    <xf numFmtId="0" fontId="11" fillId="0" borderId="0" xfId="0" applyFont="1" applyAlignment="1">
      <alignment/>
    </xf>
    <xf numFmtId="0" fontId="11" fillId="0" borderId="0" xfId="0" applyFont="1" applyFill="1" applyBorder="1" applyAlignment="1">
      <alignment horizontal="center"/>
    </xf>
    <xf numFmtId="0" fontId="11" fillId="0" borderId="0" xfId="0" applyFont="1" applyFill="1" applyAlignment="1">
      <alignment horizontal="right"/>
    </xf>
    <xf numFmtId="0" fontId="11" fillId="0" borderId="0" xfId="0" applyFont="1" applyFill="1" applyBorder="1" applyAlignment="1">
      <alignment horizontal="right"/>
    </xf>
    <xf numFmtId="0" fontId="11" fillId="0" borderId="0" xfId="0" applyFont="1" applyFill="1" applyAlignment="1">
      <alignment horizontal="center"/>
    </xf>
    <xf numFmtId="0" fontId="1" fillId="0" borderId="0" xfId="0" applyFont="1" applyAlignment="1">
      <alignment vertical="center"/>
    </xf>
    <xf numFmtId="0" fontId="0" fillId="0" borderId="0" xfId="0" applyAlignment="1">
      <alignment vertical="center"/>
    </xf>
    <xf numFmtId="3" fontId="9" fillId="0" borderId="10" xfId="0" applyNumberFormat="1" applyFont="1" applyFill="1" applyBorder="1" applyAlignment="1">
      <alignment horizontal="right" vertical="center"/>
    </xf>
    <xf numFmtId="0" fontId="10" fillId="0" borderId="0" xfId="0" applyFont="1" applyAlignment="1">
      <alignment vertical="center"/>
    </xf>
    <xf numFmtId="0" fontId="0" fillId="0" borderId="0" xfId="0" applyFont="1" applyAlignment="1">
      <alignment vertical="center"/>
    </xf>
    <xf numFmtId="3" fontId="0" fillId="0" borderId="0" xfId="0" applyNumberFormat="1" applyAlignment="1">
      <alignment vertical="center"/>
    </xf>
    <xf numFmtId="3" fontId="6" fillId="36" borderId="10" xfId="0" applyNumberFormat="1" applyFont="1" applyFill="1" applyBorder="1" applyAlignment="1">
      <alignment horizontal="right" vertical="center"/>
    </xf>
    <xf numFmtId="3" fontId="9" fillId="36" borderId="10" xfId="0" applyNumberFormat="1" applyFont="1" applyFill="1" applyBorder="1" applyAlignment="1">
      <alignment horizontal="right" vertical="center"/>
    </xf>
    <xf numFmtId="3" fontId="7" fillId="36" borderId="12" xfId="0" applyNumberFormat="1" applyFont="1" applyFill="1" applyBorder="1" applyAlignment="1">
      <alignment horizontal="right" vertical="center"/>
    </xf>
    <xf numFmtId="0" fontId="10" fillId="36" borderId="0" xfId="0" applyFont="1" applyFill="1" applyAlignment="1">
      <alignment vertical="center"/>
    </xf>
    <xf numFmtId="0" fontId="11" fillId="36" borderId="0" xfId="0" applyFont="1" applyFill="1" applyAlignment="1">
      <alignment/>
    </xf>
    <xf numFmtId="0" fontId="7" fillId="0" borderId="10" xfId="0" applyFont="1" applyFill="1" applyBorder="1" applyAlignment="1">
      <alignment vertical="center" wrapText="1"/>
    </xf>
    <xf numFmtId="0" fontId="5" fillId="0" borderId="10" xfId="0" applyFont="1" applyFill="1" applyBorder="1" applyAlignment="1">
      <alignment vertical="center" wrapText="1"/>
    </xf>
    <xf numFmtId="3" fontId="5" fillId="0" borderId="10" xfId="0" applyNumberFormat="1" applyFont="1" applyFill="1" applyBorder="1" applyAlignment="1">
      <alignment horizontal="left" vertical="center" wrapText="1"/>
    </xf>
    <xf numFmtId="3" fontId="5" fillId="36" borderId="10" xfId="0" applyNumberFormat="1" applyFont="1" applyFill="1" applyBorder="1" applyAlignment="1">
      <alignment horizontal="left" vertical="center" wrapText="1"/>
    </xf>
    <xf numFmtId="0" fontId="1" fillId="0" borderId="22" xfId="0" applyFont="1" applyBorder="1" applyAlignment="1">
      <alignment vertical="center"/>
    </xf>
    <xf numFmtId="0" fontId="7" fillId="0" borderId="16" xfId="0" applyFont="1" applyFill="1" applyBorder="1" applyAlignment="1">
      <alignment vertical="center"/>
    </xf>
    <xf numFmtId="0" fontId="20" fillId="0" borderId="11" xfId="0" applyFont="1" applyBorder="1" applyAlignment="1">
      <alignment horizontal="center" vertical="center"/>
    </xf>
    <xf numFmtId="0" fontId="6" fillId="0" borderId="11" xfId="0" applyFont="1" applyBorder="1" applyAlignment="1">
      <alignment horizontal="center" vertical="center"/>
    </xf>
    <xf numFmtId="0" fontId="11" fillId="0" borderId="11" xfId="0" applyFont="1" applyBorder="1" applyAlignment="1">
      <alignment horizontal="center" vertical="center"/>
    </xf>
    <xf numFmtId="0" fontId="6" fillId="36" borderId="11" xfId="0" applyFont="1" applyFill="1" applyBorder="1" applyAlignment="1">
      <alignment horizontal="center" vertical="center"/>
    </xf>
    <xf numFmtId="0" fontId="6" fillId="0" borderId="24" xfId="0" applyFont="1" applyBorder="1" applyAlignment="1">
      <alignment horizontal="center" vertical="center"/>
    </xf>
    <xf numFmtId="3" fontId="5" fillId="0" borderId="13" xfId="0" applyNumberFormat="1" applyFont="1" applyFill="1" applyBorder="1" applyAlignment="1">
      <alignment horizontal="left" vertical="center" wrapText="1"/>
    </xf>
    <xf numFmtId="3" fontId="6" fillId="0" borderId="13" xfId="0" applyNumberFormat="1" applyFont="1" applyFill="1" applyBorder="1" applyAlignment="1">
      <alignment horizontal="right" vertical="center"/>
    </xf>
    <xf numFmtId="0" fontId="3" fillId="0" borderId="0" xfId="0" applyFont="1" applyFill="1" applyBorder="1" applyAlignment="1">
      <alignment wrapText="1"/>
    </xf>
    <xf numFmtId="181" fontId="0" fillId="0" borderId="0" xfId="60" applyNumberFormat="1" applyFont="1" applyAlignment="1">
      <alignment wrapText="1"/>
    </xf>
    <xf numFmtId="0" fontId="0" fillId="0" borderId="0" xfId="0" applyAlignment="1">
      <alignment wrapText="1"/>
    </xf>
    <xf numFmtId="0" fontId="8" fillId="0" borderId="0" xfId="0" applyFont="1" applyFill="1" applyAlignment="1">
      <alignment horizontal="center"/>
    </xf>
    <xf numFmtId="0" fontId="7" fillId="0" borderId="40" xfId="0" applyFont="1" applyFill="1" applyBorder="1" applyAlignment="1">
      <alignment horizontal="center"/>
    </xf>
    <xf numFmtId="0" fontId="7" fillId="0" borderId="41" xfId="0" applyFont="1" applyFill="1" applyBorder="1" applyAlignment="1">
      <alignment horizontal="center"/>
    </xf>
    <xf numFmtId="0" fontId="1" fillId="0" borderId="42" xfId="0" applyFont="1" applyFill="1" applyBorder="1" applyAlignment="1">
      <alignment horizontal="center"/>
    </xf>
    <xf numFmtId="0" fontId="7" fillId="0" borderId="43" xfId="0" applyFont="1" applyFill="1" applyBorder="1" applyAlignment="1">
      <alignment horizontal="center" vertical="center"/>
    </xf>
    <xf numFmtId="0" fontId="7" fillId="0" borderId="44" xfId="0" applyFont="1" applyFill="1" applyBorder="1" applyAlignment="1">
      <alignment horizontal="center" vertical="center"/>
    </xf>
    <xf numFmtId="0" fontId="6" fillId="0" borderId="0" xfId="0" applyFont="1" applyFill="1" applyAlignment="1">
      <alignment horizontal="right" vertical="center"/>
    </xf>
    <xf numFmtId="0" fontId="7" fillId="0" borderId="11" xfId="0" applyFont="1" applyFill="1" applyBorder="1" applyAlignment="1">
      <alignment horizontal="center" vertical="center"/>
    </xf>
    <xf numFmtId="0" fontId="7" fillId="0" borderId="0" xfId="0" applyFont="1" applyFill="1" applyBorder="1" applyAlignment="1">
      <alignment horizontal="center"/>
    </xf>
    <xf numFmtId="0" fontId="21" fillId="0" borderId="16" xfId="0" applyFont="1" applyBorder="1" applyAlignment="1">
      <alignment horizontal="center" vertical="center"/>
    </xf>
    <xf numFmtId="0" fontId="21" fillId="0" borderId="17" xfId="0" applyFont="1" applyBorder="1" applyAlignment="1">
      <alignment horizontal="center" vertical="center"/>
    </xf>
    <xf numFmtId="0" fontId="7" fillId="36" borderId="0" xfId="0" applyFont="1" applyFill="1" applyAlignment="1">
      <alignment horizontal="center"/>
    </xf>
    <xf numFmtId="0" fontId="7" fillId="0" borderId="10" xfId="0" applyFont="1" applyFill="1" applyBorder="1" applyAlignment="1">
      <alignment horizontal="center" vertical="center"/>
    </xf>
    <xf numFmtId="0" fontId="7" fillId="0" borderId="12" xfId="0" applyFont="1" applyFill="1" applyBorder="1" applyAlignment="1">
      <alignment horizontal="center" vertical="center"/>
    </xf>
    <xf numFmtId="0" fontId="11" fillId="0" borderId="11" xfId="0" applyFont="1" applyFill="1" applyBorder="1" applyAlignment="1">
      <alignment horizontal="center" vertical="center"/>
    </xf>
    <xf numFmtId="0" fontId="0" fillId="0" borderId="0" xfId="0" applyFont="1" applyFill="1" applyAlignment="1">
      <alignment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C8:M36"/>
  <sheetViews>
    <sheetView zoomScale="75" zoomScaleNormal="75" zoomScalePageLayoutView="0" workbookViewId="0" topLeftCell="D1">
      <selection activeCell="G32" sqref="G32"/>
    </sheetView>
  </sheetViews>
  <sheetFormatPr defaultColWidth="9.00390625" defaultRowHeight="12.75"/>
  <cols>
    <col min="2" max="2" width="2.875" style="0" customWidth="1"/>
    <col min="3" max="3" width="9.125" style="3" customWidth="1"/>
    <col min="4" max="4" width="34.00390625" style="0" customWidth="1"/>
    <col min="5" max="5" width="16.875" style="4" bestFit="1" customWidth="1"/>
    <col min="6" max="6" width="15.00390625" style="4" customWidth="1"/>
    <col min="7" max="7" width="14.875" style="4" customWidth="1"/>
    <col min="8" max="10" width="16.875" style="4" bestFit="1" customWidth="1"/>
    <col min="11" max="11" width="15.75390625" style="4" customWidth="1"/>
    <col min="12" max="12" width="16.75390625" style="4" customWidth="1"/>
    <col min="13" max="13" width="18.125" style="0" customWidth="1"/>
  </cols>
  <sheetData>
    <row r="8" ht="15.75">
      <c r="E8" s="5" t="s">
        <v>0</v>
      </c>
    </row>
    <row r="9" ht="13.5" thickBot="1"/>
    <row r="10" spans="3:13" ht="12.75">
      <c r="C10" s="21"/>
      <c r="D10" s="27"/>
      <c r="E10" s="16" t="s">
        <v>30</v>
      </c>
      <c r="F10" s="16" t="s">
        <v>32</v>
      </c>
      <c r="G10" s="16" t="s">
        <v>33</v>
      </c>
      <c r="H10" s="16" t="s">
        <v>34</v>
      </c>
      <c r="I10" s="16" t="s">
        <v>35</v>
      </c>
      <c r="J10" s="16" t="s">
        <v>36</v>
      </c>
      <c r="K10" s="16" t="s">
        <v>38</v>
      </c>
      <c r="L10" s="16" t="s">
        <v>39</v>
      </c>
      <c r="M10" s="17" t="s">
        <v>43</v>
      </c>
    </row>
    <row r="11" spans="3:13" s="12" customFormat="1" ht="15">
      <c r="C11" s="22"/>
      <c r="D11" s="28" t="s">
        <v>31</v>
      </c>
      <c r="E11" s="14">
        <f aca="true" t="shared" si="0" ref="E11:M11">E13+E29+E30+E31</f>
        <v>5977095</v>
      </c>
      <c r="F11" s="14">
        <f t="shared" si="0"/>
        <v>4955321</v>
      </c>
      <c r="G11" s="14">
        <f t="shared" si="0"/>
        <v>6591893</v>
      </c>
      <c r="H11" s="14">
        <f t="shared" si="0"/>
        <v>1918829</v>
      </c>
      <c r="I11" s="14">
        <f t="shared" si="0"/>
        <v>3418732</v>
      </c>
      <c r="J11" s="14">
        <f t="shared" si="0"/>
        <v>4673309</v>
      </c>
      <c r="K11" s="14">
        <f>K13+K29+K30+K31</f>
        <v>1747710</v>
      </c>
      <c r="L11" s="14">
        <f t="shared" si="0"/>
        <v>21967786</v>
      </c>
      <c r="M11" s="15">
        <f t="shared" si="0"/>
        <v>51250675</v>
      </c>
    </row>
    <row r="12" spans="3:13" ht="12.75">
      <c r="C12" s="23"/>
      <c r="D12" s="29"/>
      <c r="E12" s="6"/>
      <c r="F12" s="6"/>
      <c r="G12" s="6"/>
      <c r="H12" s="6"/>
      <c r="I12" s="6"/>
      <c r="J12" s="6"/>
      <c r="K12" s="6"/>
      <c r="L12" s="6"/>
      <c r="M12" s="9"/>
    </row>
    <row r="13" spans="3:13" s="11" customFormat="1" ht="12.75">
      <c r="C13" s="24" t="s">
        <v>6</v>
      </c>
      <c r="D13" s="30" t="s">
        <v>1</v>
      </c>
      <c r="E13" s="10">
        <f aca="true" t="shared" si="1" ref="E13:L13">E15+E16</f>
        <v>3663740</v>
      </c>
      <c r="F13" s="10">
        <f t="shared" si="1"/>
        <v>2882720</v>
      </c>
      <c r="G13" s="10">
        <f t="shared" si="1"/>
        <v>4311978</v>
      </c>
      <c r="H13" s="10">
        <f t="shared" si="1"/>
        <v>915972</v>
      </c>
      <c r="I13" s="10">
        <f t="shared" si="1"/>
        <v>2236230</v>
      </c>
      <c r="J13" s="10">
        <f t="shared" si="1"/>
        <v>2411256</v>
      </c>
      <c r="K13" s="10">
        <f t="shared" si="1"/>
        <v>1229950</v>
      </c>
      <c r="L13" s="10">
        <f t="shared" si="1"/>
        <v>18787533</v>
      </c>
      <c r="M13" s="18">
        <f>SUM(E13:L13)</f>
        <v>36439379</v>
      </c>
    </row>
    <row r="14" spans="3:13" ht="12.75">
      <c r="C14" s="23"/>
      <c r="D14" s="29" t="s">
        <v>2</v>
      </c>
      <c r="E14" s="6"/>
      <c r="F14" s="6"/>
      <c r="G14" s="6"/>
      <c r="H14" s="6"/>
      <c r="I14" s="6"/>
      <c r="J14" s="6"/>
      <c r="K14" s="6"/>
      <c r="L14" s="6"/>
      <c r="M14" s="9"/>
    </row>
    <row r="15" spans="3:13" s="2" customFormat="1" ht="25.5">
      <c r="C15" s="25" t="s">
        <v>7</v>
      </c>
      <c r="D15" s="31" t="s">
        <v>3</v>
      </c>
      <c r="E15" s="7">
        <v>993071</v>
      </c>
      <c r="F15" s="7">
        <v>232810</v>
      </c>
      <c r="G15" s="7">
        <v>2034857</v>
      </c>
      <c r="H15" s="7">
        <v>50109</v>
      </c>
      <c r="I15" s="7">
        <v>201585</v>
      </c>
      <c r="J15" s="7">
        <v>100240</v>
      </c>
      <c r="K15" s="7">
        <v>332076</v>
      </c>
      <c r="L15" s="7">
        <v>13231411</v>
      </c>
      <c r="M15" s="18">
        <f>SUM(E15:L15)</f>
        <v>17176159</v>
      </c>
    </row>
    <row r="16" spans="3:13" ht="12.75">
      <c r="C16" s="23" t="s">
        <v>8</v>
      </c>
      <c r="D16" s="29" t="s">
        <v>4</v>
      </c>
      <c r="E16" s="6">
        <f>SUM(E18:E26)</f>
        <v>2670669</v>
      </c>
      <c r="F16" s="6">
        <f>SUM(F18:F26)</f>
        <v>2649910</v>
      </c>
      <c r="G16" s="6">
        <f>SUM(G18:G26)</f>
        <v>2277121</v>
      </c>
      <c r="H16" s="6">
        <f>SUM(H18:H26)</f>
        <v>865863</v>
      </c>
      <c r="I16" s="6">
        <f>SUM(I18:I26)</f>
        <v>2034645</v>
      </c>
      <c r="J16" s="6">
        <f>SUM(J18:J27)</f>
        <v>2311016</v>
      </c>
      <c r="K16" s="6">
        <f>SUM(K18:K27)</f>
        <v>897874</v>
      </c>
      <c r="L16" s="6">
        <f>SUM(L18:L27)</f>
        <v>5556122</v>
      </c>
      <c r="M16" s="18">
        <f>SUM(E16:L16)</f>
        <v>19263220</v>
      </c>
    </row>
    <row r="17" spans="3:13" ht="12.75" hidden="1">
      <c r="C17" s="23"/>
      <c r="D17" s="29" t="s">
        <v>5</v>
      </c>
      <c r="E17" s="6"/>
      <c r="F17" s="6"/>
      <c r="G17" s="6"/>
      <c r="H17" s="6"/>
      <c r="I17" s="6"/>
      <c r="J17" s="6"/>
      <c r="K17" s="6"/>
      <c r="L17" s="6"/>
      <c r="M17" s="9"/>
    </row>
    <row r="18" spans="3:13" ht="25.5" hidden="1">
      <c r="C18" s="23" t="s">
        <v>9</v>
      </c>
      <c r="D18" s="32" t="s">
        <v>10</v>
      </c>
      <c r="E18" s="6">
        <v>625459</v>
      </c>
      <c r="F18" s="6">
        <v>280809</v>
      </c>
      <c r="G18" s="6">
        <v>8929</v>
      </c>
      <c r="H18" s="6"/>
      <c r="I18" s="6">
        <v>194956</v>
      </c>
      <c r="J18" s="6"/>
      <c r="K18" s="6">
        <v>452263</v>
      </c>
      <c r="L18" s="6">
        <v>380224</v>
      </c>
      <c r="M18" s="18">
        <f>SUM(E18:L18)</f>
        <v>1942640</v>
      </c>
    </row>
    <row r="19" spans="3:13" ht="12.75" hidden="1">
      <c r="C19" s="23" t="s">
        <v>11</v>
      </c>
      <c r="D19" s="32" t="s">
        <v>40</v>
      </c>
      <c r="E19" s="6"/>
      <c r="F19" s="6"/>
      <c r="G19" s="6"/>
      <c r="H19" s="6"/>
      <c r="I19" s="6"/>
      <c r="J19" s="6"/>
      <c r="K19" s="6"/>
      <c r="L19" s="6">
        <v>435</v>
      </c>
      <c r="M19" s="18">
        <f>SUM(E19:L19)</f>
        <v>435</v>
      </c>
    </row>
    <row r="20" spans="3:13" ht="25.5" hidden="1">
      <c r="C20" s="23" t="s">
        <v>13</v>
      </c>
      <c r="D20" s="33" t="s">
        <v>12</v>
      </c>
      <c r="E20" s="6">
        <v>40404</v>
      </c>
      <c r="F20" s="6">
        <v>72072</v>
      </c>
      <c r="G20" s="6">
        <v>13045</v>
      </c>
      <c r="H20" s="6"/>
      <c r="I20" s="6">
        <v>240868</v>
      </c>
      <c r="J20" s="6">
        <v>1</v>
      </c>
      <c r="K20" s="6">
        <v>151851</v>
      </c>
      <c r="L20" s="6">
        <v>799383</v>
      </c>
      <c r="M20" s="18">
        <f aca="true" t="shared" si="2" ref="M20:M31">SUM(E20:L20)</f>
        <v>1317624</v>
      </c>
    </row>
    <row r="21" spans="3:13" ht="12.75" hidden="1">
      <c r="C21" s="23" t="s">
        <v>15</v>
      </c>
      <c r="D21" s="29" t="s">
        <v>14</v>
      </c>
      <c r="E21" s="6">
        <v>653213</v>
      </c>
      <c r="F21" s="6">
        <v>686261</v>
      </c>
      <c r="G21" s="6">
        <v>1573893</v>
      </c>
      <c r="H21" s="6">
        <v>751479</v>
      </c>
      <c r="I21" s="6">
        <v>102978</v>
      </c>
      <c r="J21" s="6">
        <v>2171212</v>
      </c>
      <c r="K21" s="6">
        <v>73959</v>
      </c>
      <c r="L21" s="6">
        <v>3380450</v>
      </c>
      <c r="M21" s="18">
        <f t="shared" si="2"/>
        <v>9393445</v>
      </c>
    </row>
    <row r="22" spans="3:13" ht="12.75" hidden="1">
      <c r="C22" s="23" t="s">
        <v>17</v>
      </c>
      <c r="D22" s="29" t="s">
        <v>16</v>
      </c>
      <c r="E22" s="6">
        <v>10770</v>
      </c>
      <c r="F22" s="6">
        <v>8031</v>
      </c>
      <c r="G22" s="6"/>
      <c r="H22" s="6"/>
      <c r="I22" s="6">
        <v>4406</v>
      </c>
      <c r="J22" s="6">
        <v>2748</v>
      </c>
      <c r="K22" s="6">
        <v>23538</v>
      </c>
      <c r="L22" s="6"/>
      <c r="M22" s="18">
        <f t="shared" si="2"/>
        <v>49493</v>
      </c>
    </row>
    <row r="23" spans="3:13" ht="12.75" hidden="1">
      <c r="C23" s="23" t="s">
        <v>19</v>
      </c>
      <c r="D23" s="8" t="s">
        <v>18</v>
      </c>
      <c r="E23" s="6"/>
      <c r="F23" s="6">
        <v>1507713</v>
      </c>
      <c r="G23" s="6">
        <v>573130</v>
      </c>
      <c r="H23" s="6">
        <v>114384</v>
      </c>
      <c r="I23" s="6"/>
      <c r="J23" s="6"/>
      <c r="K23" s="6"/>
      <c r="L23" s="6"/>
      <c r="M23" s="18">
        <f t="shared" si="2"/>
        <v>2195227</v>
      </c>
    </row>
    <row r="24" spans="3:13" ht="25.5" hidden="1">
      <c r="C24" s="23" t="s">
        <v>21</v>
      </c>
      <c r="D24" s="32" t="s">
        <v>20</v>
      </c>
      <c r="E24" s="6">
        <v>1010582</v>
      </c>
      <c r="F24" s="6"/>
      <c r="G24" s="6">
        <v>34999</v>
      </c>
      <c r="H24" s="6"/>
      <c r="I24" s="6">
        <v>1432846</v>
      </c>
      <c r="J24" s="6"/>
      <c r="K24" s="6">
        <v>24975</v>
      </c>
      <c r="L24" s="6">
        <v>541915</v>
      </c>
      <c r="M24" s="18">
        <f t="shared" si="2"/>
        <v>3045317</v>
      </c>
    </row>
    <row r="25" spans="3:13" ht="25.5" hidden="1">
      <c r="C25" s="23" t="s">
        <v>24</v>
      </c>
      <c r="D25" s="32" t="s">
        <v>22</v>
      </c>
      <c r="E25" s="6">
        <v>226136</v>
      </c>
      <c r="F25" s="6"/>
      <c r="G25" s="6"/>
      <c r="H25" s="6"/>
      <c r="I25" s="6">
        <v>44509</v>
      </c>
      <c r="J25" s="6"/>
      <c r="K25" s="6">
        <v>28583</v>
      </c>
      <c r="L25" s="6">
        <v>382980</v>
      </c>
      <c r="M25" s="18">
        <f t="shared" si="2"/>
        <v>682208</v>
      </c>
    </row>
    <row r="26" spans="3:13" ht="25.5" hidden="1">
      <c r="C26" s="23" t="s">
        <v>41</v>
      </c>
      <c r="D26" s="32" t="s">
        <v>23</v>
      </c>
      <c r="E26" s="6">
        <v>104105</v>
      </c>
      <c r="F26" s="6">
        <v>95024</v>
      </c>
      <c r="G26" s="6">
        <v>73125</v>
      </c>
      <c r="H26" s="6"/>
      <c r="I26" s="6">
        <v>14082</v>
      </c>
      <c r="J26" s="6">
        <v>137054</v>
      </c>
      <c r="K26" s="6">
        <v>142705</v>
      </c>
      <c r="L26" s="6">
        <v>70735</v>
      </c>
      <c r="M26" s="18">
        <f t="shared" si="2"/>
        <v>636830</v>
      </c>
    </row>
    <row r="27" spans="3:13" ht="12.75" hidden="1">
      <c r="C27" s="23" t="s">
        <v>42</v>
      </c>
      <c r="D27" s="32" t="s">
        <v>37</v>
      </c>
      <c r="E27" s="6"/>
      <c r="F27" s="6"/>
      <c r="G27" s="6"/>
      <c r="H27" s="6"/>
      <c r="I27" s="6"/>
      <c r="J27" s="6">
        <v>1</v>
      </c>
      <c r="K27" s="6"/>
      <c r="L27" s="6"/>
      <c r="M27" s="18">
        <f t="shared" si="2"/>
        <v>1</v>
      </c>
    </row>
    <row r="28" spans="3:13" ht="12.75" hidden="1">
      <c r="C28" s="23"/>
      <c r="D28" s="32"/>
      <c r="E28" s="6"/>
      <c r="F28" s="6"/>
      <c r="G28" s="6"/>
      <c r="H28" s="6"/>
      <c r="I28" s="6"/>
      <c r="J28" s="6"/>
      <c r="K28" s="6"/>
      <c r="L28" s="6"/>
      <c r="M28" s="9"/>
    </row>
    <row r="29" spans="3:13" s="11" customFormat="1" ht="38.25">
      <c r="C29" s="24" t="s">
        <v>25</v>
      </c>
      <c r="D29" s="34" t="s">
        <v>26</v>
      </c>
      <c r="E29" s="10">
        <v>689060</v>
      </c>
      <c r="F29" s="10">
        <v>1428712</v>
      </c>
      <c r="G29" s="10">
        <v>1955004</v>
      </c>
      <c r="H29" s="10">
        <v>317126</v>
      </c>
      <c r="I29" s="10">
        <v>622766</v>
      </c>
      <c r="J29" s="10">
        <v>1145522</v>
      </c>
      <c r="K29" s="10">
        <v>366164</v>
      </c>
      <c r="L29" s="10">
        <v>1817444</v>
      </c>
      <c r="M29" s="18">
        <f t="shared" si="2"/>
        <v>8341798</v>
      </c>
    </row>
    <row r="30" spans="3:13" s="11" customFormat="1" ht="25.5">
      <c r="C30" s="24" t="s">
        <v>27</v>
      </c>
      <c r="D30" s="34" t="s">
        <v>28</v>
      </c>
      <c r="E30" s="10">
        <v>945618</v>
      </c>
      <c r="F30" s="10">
        <v>191988</v>
      </c>
      <c r="G30" s="10">
        <v>195959</v>
      </c>
      <c r="H30" s="10">
        <v>647363</v>
      </c>
      <c r="I30" s="10">
        <v>482023</v>
      </c>
      <c r="J30" s="10">
        <v>510052</v>
      </c>
      <c r="K30" s="10">
        <v>79747</v>
      </c>
      <c r="L30" s="10">
        <v>1362018</v>
      </c>
      <c r="M30" s="18">
        <f t="shared" si="2"/>
        <v>4414768</v>
      </c>
    </row>
    <row r="31" spans="3:13" s="11" customFormat="1" ht="47.25" customHeight="1" thickBot="1">
      <c r="C31" s="26" t="s">
        <v>29</v>
      </c>
      <c r="D31" s="35" t="s">
        <v>47</v>
      </c>
      <c r="E31" s="13">
        <v>678677</v>
      </c>
      <c r="F31" s="13">
        <v>451901</v>
      </c>
      <c r="G31" s="13">
        <v>128952</v>
      </c>
      <c r="H31" s="13">
        <v>38368</v>
      </c>
      <c r="I31" s="13">
        <v>77713</v>
      </c>
      <c r="J31" s="13">
        <v>606479</v>
      </c>
      <c r="K31" s="13">
        <v>71849</v>
      </c>
      <c r="L31" s="13">
        <v>791</v>
      </c>
      <c r="M31" s="36">
        <f t="shared" si="2"/>
        <v>2054730</v>
      </c>
    </row>
    <row r="34" spans="4:13" ht="57" customHeight="1">
      <c r="D34" s="199" t="s">
        <v>46</v>
      </c>
      <c r="E34" s="200"/>
      <c r="F34" s="200"/>
      <c r="G34" s="200"/>
      <c r="H34" s="200"/>
      <c r="I34" s="200"/>
      <c r="J34" s="200"/>
      <c r="K34" s="200"/>
      <c r="L34" s="200"/>
      <c r="M34" s="201"/>
    </row>
    <row r="35" ht="12.75">
      <c r="D35" t="s">
        <v>44</v>
      </c>
    </row>
    <row r="36" ht="12.75">
      <c r="D36" t="s">
        <v>45</v>
      </c>
    </row>
  </sheetData>
  <sheetProtection/>
  <mergeCells count="1">
    <mergeCell ref="D34:M34"/>
  </mergeCells>
  <printOptions/>
  <pageMargins left="0.75" right="0.75" top="0.31" bottom="0.23" header="0.5" footer="0.2"/>
  <pageSetup horizontalDpi="600" verticalDpi="600" orientation="landscape" paperSize="9" scale="64" r:id="rId1"/>
</worksheet>
</file>

<file path=xl/worksheets/sheet10.xml><?xml version="1.0" encoding="utf-8"?>
<worksheet xmlns="http://schemas.openxmlformats.org/spreadsheetml/2006/main" xmlns:r="http://schemas.openxmlformats.org/officeDocument/2006/relationships">
  <dimension ref="A1:AD67"/>
  <sheetViews>
    <sheetView zoomScalePageLayoutView="0" workbookViewId="0" topLeftCell="A1">
      <pane xSplit="1" ySplit="14" topLeftCell="M60" activePane="bottomRight" state="frozen"/>
      <selection pane="topLeft" activeCell="A1" sqref="A1"/>
      <selection pane="topRight" activeCell="B1" sqref="B1"/>
      <selection pane="bottomLeft" activeCell="A15" sqref="A15"/>
      <selection pane="bottomRight" activeCell="W52" sqref="W52"/>
    </sheetView>
  </sheetViews>
  <sheetFormatPr defaultColWidth="9.00390625" defaultRowHeight="12.75"/>
  <cols>
    <col min="1" max="1" width="58.00390625" style="77" customWidth="1"/>
    <col min="2" max="2" width="17.25390625" style="77" customWidth="1"/>
    <col min="3" max="3" width="16.00390625" style="77" customWidth="1"/>
    <col min="4" max="4" width="16.25390625" style="77" customWidth="1"/>
    <col min="5" max="5" width="15.875" style="77" customWidth="1"/>
    <col min="6" max="6" width="16.25390625" style="77" customWidth="1"/>
    <col min="7" max="7" width="16.375" style="77" customWidth="1"/>
    <col min="8" max="8" width="17.125" style="77" customWidth="1"/>
    <col min="9" max="9" width="15.875" style="77" customWidth="1"/>
    <col min="10" max="10" width="17.75390625" style="77" customWidth="1"/>
    <col min="11" max="11" width="17.25390625" style="77" customWidth="1"/>
    <col min="12" max="12" width="16.00390625" style="77" customWidth="1"/>
    <col min="13" max="13" width="16.25390625" style="77" customWidth="1"/>
    <col min="14" max="14" width="15.875" style="77" customWidth="1"/>
    <col min="15" max="15" width="16.25390625" style="77" customWidth="1"/>
    <col min="16" max="16" width="16.375" style="77" customWidth="1"/>
    <col min="17" max="17" width="17.125" style="77" customWidth="1"/>
    <col min="18" max="18" width="15.875" style="77" customWidth="1"/>
    <col min="19" max="19" width="20.125" style="77" customWidth="1"/>
    <col min="20" max="20" width="17.25390625" style="77" customWidth="1"/>
    <col min="21" max="21" width="16.00390625" style="77" customWidth="1"/>
    <col min="22" max="22" width="16.25390625" style="77" customWidth="1"/>
    <col min="23" max="23" width="15.875" style="77" customWidth="1"/>
    <col min="24" max="24" width="16.25390625" style="77" customWidth="1"/>
    <col min="25" max="25" width="16.375" style="77" customWidth="1"/>
    <col min="26" max="26" width="17.125" style="77" customWidth="1"/>
    <col min="27" max="27" width="15.875" style="77" customWidth="1"/>
    <col min="28" max="28" width="14.375" style="77" customWidth="1"/>
    <col min="29" max="29" width="9.125" style="77" customWidth="1"/>
    <col min="30" max="30" width="12.125" style="77" bestFit="1" customWidth="1"/>
    <col min="31" max="16384" width="9.125" style="77" customWidth="1"/>
  </cols>
  <sheetData>
    <row r="1" spans="6:23" s="41" customFormat="1" ht="15" customHeight="1">
      <c r="F1" s="139" t="s">
        <v>119</v>
      </c>
      <c r="G1" s="139"/>
      <c r="H1" s="139"/>
      <c r="I1" s="139"/>
      <c r="J1" s="139"/>
      <c r="K1" s="139"/>
      <c r="L1" s="127"/>
      <c r="W1" s="127"/>
    </row>
    <row r="2" spans="6:23" s="41" customFormat="1" ht="15" customHeight="1">
      <c r="F2" s="139" t="s">
        <v>120</v>
      </c>
      <c r="G2" s="139"/>
      <c r="H2" s="139"/>
      <c r="I2" s="139"/>
      <c r="J2" s="139"/>
      <c r="K2" s="139"/>
      <c r="L2" s="127"/>
      <c r="W2" s="127"/>
    </row>
    <row r="3" spans="6:23" s="41" customFormat="1" ht="15" customHeight="1">
      <c r="F3" s="139" t="s">
        <v>121</v>
      </c>
      <c r="G3" s="139"/>
      <c r="H3" s="139"/>
      <c r="I3" s="139"/>
      <c r="J3" s="139"/>
      <c r="K3" s="139"/>
      <c r="L3" s="127"/>
      <c r="W3" s="127"/>
    </row>
    <row r="4" spans="6:23" s="41" customFormat="1" ht="15" customHeight="1">
      <c r="F4" s="139" t="s">
        <v>124</v>
      </c>
      <c r="G4" s="139"/>
      <c r="H4" s="139"/>
      <c r="I4" s="139"/>
      <c r="J4" s="139"/>
      <c r="K4" s="139"/>
      <c r="L4" s="127"/>
      <c r="W4" s="127"/>
    </row>
    <row r="5" spans="6:23" s="41" customFormat="1" ht="15" customHeight="1">
      <c r="F5" s="139" t="s">
        <v>122</v>
      </c>
      <c r="G5" s="139"/>
      <c r="H5" s="139"/>
      <c r="I5" s="139"/>
      <c r="J5" s="139"/>
      <c r="K5" s="139"/>
      <c r="L5" s="127"/>
      <c r="W5" s="127"/>
    </row>
    <row r="6" spans="2:11" s="128" customFormat="1" ht="15" customHeight="1">
      <c r="B6" s="41"/>
      <c r="C6" s="129"/>
      <c r="D6" s="129"/>
      <c r="E6" s="129"/>
      <c r="F6" s="129"/>
      <c r="G6" s="129"/>
      <c r="H6" s="129"/>
      <c r="I6" s="129"/>
      <c r="J6" s="129"/>
      <c r="K6" s="129"/>
    </row>
    <row r="7" spans="1:11" s="128" customFormat="1" ht="15" customHeight="1">
      <c r="A7" s="130"/>
      <c r="B7" s="41"/>
      <c r="C7" s="129"/>
      <c r="D7" s="129"/>
      <c r="E7" s="129"/>
      <c r="F7" s="129"/>
      <c r="G7" s="208" t="s">
        <v>48</v>
      </c>
      <c r="H7" s="208"/>
      <c r="I7" s="208"/>
      <c r="J7" s="208"/>
      <c r="K7" s="129"/>
    </row>
    <row r="8" spans="1:11" s="128" customFormat="1" ht="15" customHeight="1">
      <c r="A8" s="130"/>
      <c r="B8" s="41"/>
      <c r="C8" s="129"/>
      <c r="D8" s="129"/>
      <c r="E8" s="129"/>
      <c r="F8" s="129"/>
      <c r="G8" s="208" t="s">
        <v>49</v>
      </c>
      <c r="H8" s="208"/>
      <c r="I8" s="208"/>
      <c r="J8" s="208"/>
      <c r="K8" s="129"/>
    </row>
    <row r="9" spans="1:11" s="128" customFormat="1" ht="15" customHeight="1">
      <c r="A9" s="131"/>
      <c r="B9" s="132"/>
      <c r="C9" s="129"/>
      <c r="D9" s="129"/>
      <c r="F9" s="39"/>
      <c r="G9" s="208" t="s">
        <v>124</v>
      </c>
      <c r="H9" s="208"/>
      <c r="I9" s="208"/>
      <c r="J9" s="208"/>
      <c r="K9" s="129"/>
    </row>
    <row r="10" spans="1:11" s="128" customFormat="1" ht="15" customHeight="1">
      <c r="A10" s="133"/>
      <c r="B10" s="134"/>
      <c r="C10" s="134"/>
      <c r="D10" s="134"/>
      <c r="E10" s="134"/>
      <c r="F10" s="134"/>
      <c r="G10" s="134"/>
      <c r="H10" s="134"/>
      <c r="I10" s="134"/>
      <c r="J10" s="135"/>
      <c r="K10" s="134"/>
    </row>
    <row r="11" spans="2:11" s="128" customFormat="1" ht="18" customHeight="1">
      <c r="B11" s="136" t="s">
        <v>123</v>
      </c>
      <c r="C11" s="136"/>
      <c r="D11" s="136"/>
      <c r="E11" s="136"/>
      <c r="F11" s="136"/>
      <c r="G11" s="136"/>
      <c r="H11" s="136"/>
      <c r="I11" s="136"/>
      <c r="J11" s="137"/>
      <c r="K11" s="137"/>
    </row>
    <row r="12" spans="1:11" s="128" customFormat="1" ht="15.75" customHeight="1" thickBot="1">
      <c r="A12" s="134"/>
      <c r="B12" s="138"/>
      <c r="C12" s="138"/>
      <c r="D12" s="138"/>
      <c r="E12" s="138"/>
      <c r="F12" s="138"/>
      <c r="G12" s="138"/>
      <c r="H12" s="138"/>
      <c r="I12" s="138"/>
      <c r="J12" s="127" t="s">
        <v>52</v>
      </c>
      <c r="K12" s="134"/>
    </row>
    <row r="13" spans="1:28" ht="16.5" thickBot="1">
      <c r="A13" s="206" t="s">
        <v>53</v>
      </c>
      <c r="B13" s="203" t="s">
        <v>116</v>
      </c>
      <c r="C13" s="204"/>
      <c r="D13" s="204"/>
      <c r="E13" s="204"/>
      <c r="F13" s="204"/>
      <c r="G13" s="204"/>
      <c r="H13" s="204"/>
      <c r="I13" s="204"/>
      <c r="J13" s="205"/>
      <c r="K13" s="203" t="s">
        <v>117</v>
      </c>
      <c r="L13" s="204"/>
      <c r="M13" s="204"/>
      <c r="N13" s="204"/>
      <c r="O13" s="204"/>
      <c r="P13" s="204"/>
      <c r="Q13" s="204"/>
      <c r="R13" s="204"/>
      <c r="S13" s="205"/>
      <c r="T13" s="203" t="s">
        <v>118</v>
      </c>
      <c r="U13" s="204"/>
      <c r="V13" s="204"/>
      <c r="W13" s="204"/>
      <c r="X13" s="204"/>
      <c r="Y13" s="204"/>
      <c r="Z13" s="204"/>
      <c r="AA13" s="204"/>
      <c r="AB13" s="205"/>
    </row>
    <row r="14" spans="1:28" ht="34.5" customHeight="1" thickBot="1">
      <c r="A14" s="207"/>
      <c r="B14" s="100" t="s">
        <v>33</v>
      </c>
      <c r="C14" s="46" t="s">
        <v>34</v>
      </c>
      <c r="D14" s="46" t="s">
        <v>36</v>
      </c>
      <c r="E14" s="46" t="s">
        <v>39</v>
      </c>
      <c r="F14" s="46" t="s">
        <v>32</v>
      </c>
      <c r="G14" s="46" t="s">
        <v>30</v>
      </c>
      <c r="H14" s="46" t="s">
        <v>35</v>
      </c>
      <c r="I14" s="46" t="s">
        <v>38</v>
      </c>
      <c r="J14" s="47" t="s">
        <v>54</v>
      </c>
      <c r="K14" s="100" t="s">
        <v>33</v>
      </c>
      <c r="L14" s="46" t="s">
        <v>34</v>
      </c>
      <c r="M14" s="46" t="s">
        <v>36</v>
      </c>
      <c r="N14" s="46" t="s">
        <v>39</v>
      </c>
      <c r="O14" s="46" t="s">
        <v>32</v>
      </c>
      <c r="P14" s="46" t="s">
        <v>30</v>
      </c>
      <c r="Q14" s="46" t="s">
        <v>35</v>
      </c>
      <c r="R14" s="46" t="s">
        <v>38</v>
      </c>
      <c r="S14" s="47" t="s">
        <v>54</v>
      </c>
      <c r="T14" s="100" t="s">
        <v>33</v>
      </c>
      <c r="U14" s="46" t="s">
        <v>34</v>
      </c>
      <c r="V14" s="46" t="s">
        <v>36</v>
      </c>
      <c r="W14" s="46" t="s">
        <v>39</v>
      </c>
      <c r="X14" s="46" t="s">
        <v>32</v>
      </c>
      <c r="Y14" s="46" t="s">
        <v>30</v>
      </c>
      <c r="Z14" s="46" t="s">
        <v>35</v>
      </c>
      <c r="AA14" s="46" t="s">
        <v>38</v>
      </c>
      <c r="AB14" s="47" t="s">
        <v>54</v>
      </c>
    </row>
    <row r="15" spans="1:28" ht="30" customHeight="1">
      <c r="A15" s="58" t="s">
        <v>132</v>
      </c>
      <c r="B15" s="102">
        <f aca="true" t="shared" si="0" ref="B15:K15">B16+B17</f>
        <v>0</v>
      </c>
      <c r="C15" s="102">
        <f t="shared" si="0"/>
        <v>0</v>
      </c>
      <c r="D15" s="102">
        <f t="shared" si="0"/>
        <v>0</v>
      </c>
      <c r="E15" s="102">
        <f t="shared" si="0"/>
        <v>0</v>
      </c>
      <c r="F15" s="102">
        <f t="shared" si="0"/>
        <v>0</v>
      </c>
      <c r="G15" s="102">
        <f t="shared" si="0"/>
        <v>0</v>
      </c>
      <c r="H15" s="102">
        <f t="shared" si="0"/>
        <v>0</v>
      </c>
      <c r="I15" s="102">
        <f t="shared" si="0"/>
        <v>0</v>
      </c>
      <c r="J15" s="102">
        <f t="shared" si="0"/>
        <v>0</v>
      </c>
      <c r="K15" s="141">
        <f t="shared" si="0"/>
        <v>6591894</v>
      </c>
      <c r="L15" s="141">
        <f aca="true" t="shared" si="1" ref="L15:Q15">L16+L17</f>
        <v>1918829</v>
      </c>
      <c r="M15" s="141">
        <f t="shared" si="1"/>
        <v>4673309</v>
      </c>
      <c r="N15" s="141">
        <f t="shared" si="1"/>
        <v>21967786</v>
      </c>
      <c r="O15" s="141">
        <f t="shared" si="1"/>
        <v>4955321</v>
      </c>
      <c r="P15" s="141">
        <f t="shared" si="1"/>
        <v>5977095</v>
      </c>
      <c r="Q15" s="141">
        <f t="shared" si="1"/>
        <v>3420457</v>
      </c>
      <c r="R15" s="141">
        <f>R16+R17</f>
        <v>1747710</v>
      </c>
      <c r="S15" s="141">
        <f>SUM(B15:R15)</f>
        <v>51252401</v>
      </c>
      <c r="T15" s="141">
        <f>K15-B15</f>
        <v>6591894</v>
      </c>
      <c r="U15" s="141">
        <f aca="true" t="shared" si="2" ref="U15:AB15">L15-C15</f>
        <v>1918829</v>
      </c>
      <c r="V15" s="141">
        <f t="shared" si="2"/>
        <v>4673309</v>
      </c>
      <c r="W15" s="141">
        <f t="shared" si="2"/>
        <v>21967786</v>
      </c>
      <c r="X15" s="141">
        <f t="shared" si="2"/>
        <v>4955321</v>
      </c>
      <c r="Y15" s="141">
        <f t="shared" si="2"/>
        <v>5977095</v>
      </c>
      <c r="Z15" s="141">
        <f t="shared" si="2"/>
        <v>3420457</v>
      </c>
      <c r="AA15" s="141">
        <f t="shared" si="2"/>
        <v>1747710</v>
      </c>
      <c r="AB15" s="141">
        <f t="shared" si="2"/>
        <v>51252401</v>
      </c>
    </row>
    <row r="16" spans="1:28" ht="15.75" customHeight="1">
      <c r="A16" s="58" t="s">
        <v>126</v>
      </c>
      <c r="B16" s="119"/>
      <c r="C16" s="120"/>
      <c r="D16" s="120"/>
      <c r="E16" s="55"/>
      <c r="F16" s="55"/>
      <c r="G16" s="55"/>
      <c r="H16" s="55"/>
      <c r="I16" s="55"/>
      <c r="J16" s="103">
        <f>SUM(B16:I16)</f>
        <v>0</v>
      </c>
      <c r="K16" s="142">
        <v>2034857</v>
      </c>
      <c r="L16" s="142">
        <v>50109</v>
      </c>
      <c r="M16" s="142">
        <v>100240</v>
      </c>
      <c r="N16" s="142">
        <v>13231411</v>
      </c>
      <c r="O16" s="142">
        <v>232810</v>
      </c>
      <c r="P16" s="142">
        <v>993071</v>
      </c>
      <c r="Q16" s="142">
        <v>201585</v>
      </c>
      <c r="R16" s="142">
        <v>332076</v>
      </c>
      <c r="S16" s="141">
        <f aca="true" t="shared" si="3" ref="S16:S35">SUM(B16:R16)</f>
        <v>17176159</v>
      </c>
      <c r="T16" s="119">
        <f aca="true" t="shared" si="4" ref="T16:T52">K16-B16</f>
        <v>2034857</v>
      </c>
      <c r="U16" s="120">
        <f aca="true" t="shared" si="5" ref="U16:U52">L16-C16</f>
        <v>50109</v>
      </c>
      <c r="V16" s="120">
        <f aca="true" t="shared" si="6" ref="V16:V52">M16-D16</f>
        <v>100240</v>
      </c>
      <c r="W16" s="55">
        <f aca="true" t="shared" si="7" ref="W16:W52">N16-E16</f>
        <v>13231411</v>
      </c>
      <c r="X16" s="55">
        <f aca="true" t="shared" si="8" ref="X16:X52">O16-F16</f>
        <v>232810</v>
      </c>
      <c r="Y16" s="55">
        <f aca="true" t="shared" si="9" ref="Y16:Y52">P16-G16</f>
        <v>993071</v>
      </c>
      <c r="Z16" s="55">
        <f aca="true" t="shared" si="10" ref="Z16:Z52">Q16-H16</f>
        <v>201585</v>
      </c>
      <c r="AA16" s="55">
        <f aca="true" t="shared" si="11" ref="AA16:AA52">R16-I16</f>
        <v>332076</v>
      </c>
      <c r="AB16" s="103">
        <f aca="true" t="shared" si="12" ref="AB16:AB52">S16-J16</f>
        <v>17176159</v>
      </c>
    </row>
    <row r="17" spans="1:28" s="79" customFormat="1" ht="15.75">
      <c r="A17" s="58" t="s">
        <v>127</v>
      </c>
      <c r="B17" s="102">
        <f>SUM(B18:B27)</f>
        <v>0</v>
      </c>
      <c r="C17" s="54">
        <f>SUM(C18:C27)</f>
        <v>0</v>
      </c>
      <c r="D17" s="54">
        <f aca="true" t="shared" si="13" ref="D17:J17">SUM(D18:D28)</f>
        <v>0</v>
      </c>
      <c r="E17" s="54">
        <f t="shared" si="13"/>
        <v>0</v>
      </c>
      <c r="F17" s="54">
        <f t="shared" si="13"/>
        <v>0</v>
      </c>
      <c r="G17" s="54">
        <f t="shared" si="13"/>
        <v>0</v>
      </c>
      <c r="H17" s="54">
        <f t="shared" si="13"/>
        <v>0</v>
      </c>
      <c r="I17" s="54">
        <f t="shared" si="13"/>
        <v>0</v>
      </c>
      <c r="J17" s="106">
        <f t="shared" si="13"/>
        <v>0</v>
      </c>
      <c r="K17" s="141">
        <f>K18+K29+K30+K31</f>
        <v>4557037</v>
      </c>
      <c r="L17" s="141">
        <f aca="true" t="shared" si="14" ref="L17:R17">L18+L29+L30+L31</f>
        <v>1868720</v>
      </c>
      <c r="M17" s="141">
        <f t="shared" si="14"/>
        <v>4573069</v>
      </c>
      <c r="N17" s="141">
        <f t="shared" si="14"/>
        <v>8736375</v>
      </c>
      <c r="O17" s="141">
        <f t="shared" si="14"/>
        <v>4722511</v>
      </c>
      <c r="P17" s="141">
        <f t="shared" si="14"/>
        <v>4984024</v>
      </c>
      <c r="Q17" s="141">
        <f t="shared" si="14"/>
        <v>3218872</v>
      </c>
      <c r="R17" s="141">
        <f t="shared" si="14"/>
        <v>1415634</v>
      </c>
      <c r="S17" s="141">
        <f t="shared" si="3"/>
        <v>34076242</v>
      </c>
      <c r="T17" s="102">
        <f t="shared" si="4"/>
        <v>4557037</v>
      </c>
      <c r="U17" s="54">
        <f t="shared" si="5"/>
        <v>1868720</v>
      </c>
      <c r="V17" s="54">
        <f t="shared" si="6"/>
        <v>4573069</v>
      </c>
      <c r="W17" s="54">
        <f t="shared" si="7"/>
        <v>8736375</v>
      </c>
      <c r="X17" s="54">
        <f t="shared" si="8"/>
        <v>4722511</v>
      </c>
      <c r="Y17" s="54">
        <f t="shared" si="9"/>
        <v>4984024</v>
      </c>
      <c r="Z17" s="54">
        <f t="shared" si="10"/>
        <v>3218872</v>
      </c>
      <c r="AA17" s="54">
        <f t="shared" si="11"/>
        <v>1415634</v>
      </c>
      <c r="AB17" s="106">
        <f t="shared" si="12"/>
        <v>34076242</v>
      </c>
    </row>
    <row r="18" spans="1:28" s="79" customFormat="1" ht="15.75">
      <c r="A18" s="58" t="s">
        <v>128</v>
      </c>
      <c r="B18" s="102"/>
      <c r="C18" s="54"/>
      <c r="D18" s="55"/>
      <c r="E18" s="55"/>
      <c r="F18" s="55"/>
      <c r="G18" s="55"/>
      <c r="H18" s="55"/>
      <c r="I18" s="55"/>
      <c r="J18" s="103"/>
      <c r="K18" s="141">
        <f>SUM(K19:K28)</f>
        <v>2277121</v>
      </c>
      <c r="L18" s="141">
        <f aca="true" t="shared" si="15" ref="L18:R18">SUM(L19:L28)</f>
        <v>865863</v>
      </c>
      <c r="M18" s="141">
        <f t="shared" si="15"/>
        <v>2311016</v>
      </c>
      <c r="N18" s="141">
        <f t="shared" si="15"/>
        <v>5556122</v>
      </c>
      <c r="O18" s="141">
        <f t="shared" si="15"/>
        <v>2649910</v>
      </c>
      <c r="P18" s="141">
        <f t="shared" si="15"/>
        <v>2670669</v>
      </c>
      <c r="Q18" s="141">
        <f t="shared" si="15"/>
        <v>2034645</v>
      </c>
      <c r="R18" s="141">
        <f t="shared" si="15"/>
        <v>897874</v>
      </c>
      <c r="S18" s="141">
        <f t="shared" si="3"/>
        <v>19263220</v>
      </c>
      <c r="T18" s="102">
        <f t="shared" si="4"/>
        <v>2277121</v>
      </c>
      <c r="U18" s="54">
        <f t="shared" si="5"/>
        <v>865863</v>
      </c>
      <c r="V18" s="55">
        <f t="shared" si="6"/>
        <v>2311016</v>
      </c>
      <c r="W18" s="55">
        <f t="shared" si="7"/>
        <v>5556122</v>
      </c>
      <c r="X18" s="55">
        <f t="shared" si="8"/>
        <v>2649910</v>
      </c>
      <c r="Y18" s="55">
        <f t="shared" si="9"/>
        <v>2670669</v>
      </c>
      <c r="Z18" s="55">
        <f t="shared" si="10"/>
        <v>2034645</v>
      </c>
      <c r="AA18" s="55">
        <f t="shared" si="11"/>
        <v>897874</v>
      </c>
      <c r="AB18" s="103">
        <f t="shared" si="12"/>
        <v>19263220</v>
      </c>
    </row>
    <row r="19" spans="1:28" s="56" customFormat="1" ht="15">
      <c r="A19" s="64" t="s">
        <v>70</v>
      </c>
      <c r="B19" s="110"/>
      <c r="C19" s="65"/>
      <c r="D19" s="66"/>
      <c r="E19" s="66"/>
      <c r="F19" s="66"/>
      <c r="G19" s="66"/>
      <c r="H19" s="66"/>
      <c r="I19" s="66"/>
      <c r="J19" s="111">
        <f aca="true" t="shared" si="16" ref="J19:J30">SUM(B19:I19)</f>
        <v>0</v>
      </c>
      <c r="K19" s="146">
        <v>8929</v>
      </c>
      <c r="L19" s="147"/>
      <c r="M19" s="147"/>
      <c r="N19" s="147">
        <v>380224</v>
      </c>
      <c r="O19" s="147">
        <v>280809</v>
      </c>
      <c r="P19" s="147">
        <v>625459</v>
      </c>
      <c r="Q19" s="147">
        <v>194956</v>
      </c>
      <c r="R19" s="147">
        <v>452263</v>
      </c>
      <c r="S19" s="148">
        <f t="shared" si="3"/>
        <v>1942640</v>
      </c>
      <c r="T19" s="110">
        <f t="shared" si="4"/>
        <v>8929</v>
      </c>
      <c r="U19" s="65">
        <f t="shared" si="5"/>
        <v>0</v>
      </c>
      <c r="V19" s="66">
        <f t="shared" si="6"/>
        <v>0</v>
      </c>
      <c r="W19" s="66">
        <f t="shared" si="7"/>
        <v>380224</v>
      </c>
      <c r="X19" s="66">
        <f t="shared" si="8"/>
        <v>280809</v>
      </c>
      <c r="Y19" s="66">
        <f t="shared" si="9"/>
        <v>625459</v>
      </c>
      <c r="Z19" s="66">
        <f t="shared" si="10"/>
        <v>194956</v>
      </c>
      <c r="AA19" s="66">
        <f t="shared" si="11"/>
        <v>452263</v>
      </c>
      <c r="AB19" s="111">
        <f t="shared" si="12"/>
        <v>1942640</v>
      </c>
    </row>
    <row r="20" spans="1:28" s="56" customFormat="1" ht="30">
      <c r="A20" s="64" t="s">
        <v>71</v>
      </c>
      <c r="B20" s="110"/>
      <c r="C20" s="65"/>
      <c r="D20" s="66"/>
      <c r="E20" s="66"/>
      <c r="F20" s="66"/>
      <c r="G20" s="66"/>
      <c r="H20" s="66"/>
      <c r="I20" s="66"/>
      <c r="J20" s="111">
        <f t="shared" si="16"/>
        <v>0</v>
      </c>
      <c r="K20" s="146">
        <v>13045</v>
      </c>
      <c r="L20" s="147"/>
      <c r="M20" s="147">
        <v>1</v>
      </c>
      <c r="N20" s="147">
        <v>799383</v>
      </c>
      <c r="O20" s="147">
        <v>72072</v>
      </c>
      <c r="P20" s="147">
        <v>40404</v>
      </c>
      <c r="Q20" s="147">
        <v>240868</v>
      </c>
      <c r="R20" s="147">
        <v>151851</v>
      </c>
      <c r="S20" s="148">
        <f t="shared" si="3"/>
        <v>1317624</v>
      </c>
      <c r="T20" s="110">
        <f t="shared" si="4"/>
        <v>13045</v>
      </c>
      <c r="U20" s="65">
        <f t="shared" si="5"/>
        <v>0</v>
      </c>
      <c r="V20" s="66">
        <f t="shared" si="6"/>
        <v>1</v>
      </c>
      <c r="W20" s="66">
        <f t="shared" si="7"/>
        <v>799383</v>
      </c>
      <c r="X20" s="66">
        <f t="shared" si="8"/>
        <v>72072</v>
      </c>
      <c r="Y20" s="66">
        <f t="shared" si="9"/>
        <v>40404</v>
      </c>
      <c r="Z20" s="66">
        <f t="shared" si="10"/>
        <v>240868</v>
      </c>
      <c r="AA20" s="66">
        <f t="shared" si="11"/>
        <v>151851</v>
      </c>
      <c r="AB20" s="111">
        <f t="shared" si="12"/>
        <v>1317624</v>
      </c>
    </row>
    <row r="21" spans="1:28" s="56" customFormat="1" ht="30" customHeight="1">
      <c r="A21" s="64" t="s">
        <v>72</v>
      </c>
      <c r="B21" s="110"/>
      <c r="C21" s="65"/>
      <c r="D21" s="66"/>
      <c r="E21" s="66"/>
      <c r="F21" s="66"/>
      <c r="G21" s="66"/>
      <c r="H21" s="66"/>
      <c r="I21" s="66"/>
      <c r="J21" s="111">
        <f t="shared" si="16"/>
        <v>0</v>
      </c>
      <c r="K21" s="146">
        <v>1573893</v>
      </c>
      <c r="L21" s="147">
        <v>751479</v>
      </c>
      <c r="M21" s="147">
        <v>2171212</v>
      </c>
      <c r="N21" s="147">
        <v>3380450</v>
      </c>
      <c r="O21" s="147">
        <v>686261</v>
      </c>
      <c r="P21" s="147">
        <v>653213</v>
      </c>
      <c r="Q21" s="147">
        <v>102978</v>
      </c>
      <c r="R21" s="147">
        <v>73959</v>
      </c>
      <c r="S21" s="148">
        <f t="shared" si="3"/>
        <v>9393445</v>
      </c>
      <c r="T21" s="110">
        <f t="shared" si="4"/>
        <v>1573893</v>
      </c>
      <c r="U21" s="65">
        <f t="shared" si="5"/>
        <v>751479</v>
      </c>
      <c r="V21" s="66">
        <f t="shared" si="6"/>
        <v>2171212</v>
      </c>
      <c r="W21" s="66">
        <f t="shared" si="7"/>
        <v>3380450</v>
      </c>
      <c r="X21" s="66">
        <f t="shared" si="8"/>
        <v>686261</v>
      </c>
      <c r="Y21" s="66">
        <f t="shared" si="9"/>
        <v>653213</v>
      </c>
      <c r="Z21" s="66">
        <f t="shared" si="10"/>
        <v>102978</v>
      </c>
      <c r="AA21" s="66">
        <f t="shared" si="11"/>
        <v>73959</v>
      </c>
      <c r="AB21" s="111">
        <f t="shared" si="12"/>
        <v>9393445</v>
      </c>
    </row>
    <row r="22" spans="1:28" s="56" customFormat="1" ht="15">
      <c r="A22" s="64" t="s">
        <v>16</v>
      </c>
      <c r="B22" s="110"/>
      <c r="C22" s="65"/>
      <c r="D22" s="66"/>
      <c r="E22" s="66"/>
      <c r="F22" s="66"/>
      <c r="G22" s="66"/>
      <c r="H22" s="66"/>
      <c r="I22" s="66"/>
      <c r="J22" s="111">
        <f t="shared" si="16"/>
        <v>0</v>
      </c>
      <c r="K22" s="146"/>
      <c r="L22" s="147"/>
      <c r="M22" s="147">
        <v>2748</v>
      </c>
      <c r="N22" s="147"/>
      <c r="O22" s="147">
        <v>8031</v>
      </c>
      <c r="P22" s="147">
        <v>10770</v>
      </c>
      <c r="Q22" s="147">
        <v>4406</v>
      </c>
      <c r="R22" s="147">
        <v>23538</v>
      </c>
      <c r="S22" s="148">
        <f t="shared" si="3"/>
        <v>49493</v>
      </c>
      <c r="T22" s="110">
        <f t="shared" si="4"/>
        <v>0</v>
      </c>
      <c r="U22" s="65">
        <f t="shared" si="5"/>
        <v>0</v>
      </c>
      <c r="V22" s="66">
        <f t="shared" si="6"/>
        <v>2748</v>
      </c>
      <c r="W22" s="66">
        <f t="shared" si="7"/>
        <v>0</v>
      </c>
      <c r="X22" s="66">
        <f t="shared" si="8"/>
        <v>8031</v>
      </c>
      <c r="Y22" s="66">
        <f t="shared" si="9"/>
        <v>10770</v>
      </c>
      <c r="Z22" s="66">
        <f t="shared" si="10"/>
        <v>4406</v>
      </c>
      <c r="AA22" s="66">
        <f t="shared" si="11"/>
        <v>23538</v>
      </c>
      <c r="AB22" s="111">
        <f t="shared" si="12"/>
        <v>49493</v>
      </c>
    </row>
    <row r="23" spans="1:28" s="56" customFormat="1" ht="15">
      <c r="A23" s="64" t="s">
        <v>73</v>
      </c>
      <c r="B23" s="110"/>
      <c r="C23" s="65"/>
      <c r="D23" s="66"/>
      <c r="E23" s="66"/>
      <c r="F23" s="66"/>
      <c r="G23" s="66"/>
      <c r="H23" s="66"/>
      <c r="I23" s="66"/>
      <c r="J23" s="111">
        <f t="shared" si="16"/>
        <v>0</v>
      </c>
      <c r="K23" s="146">
        <v>573130</v>
      </c>
      <c r="L23" s="147">
        <v>114384</v>
      </c>
      <c r="M23" s="147"/>
      <c r="N23" s="147"/>
      <c r="O23" s="147">
        <v>1507713</v>
      </c>
      <c r="P23" s="147"/>
      <c r="Q23" s="147"/>
      <c r="R23" s="147"/>
      <c r="S23" s="148">
        <f t="shared" si="3"/>
        <v>2195227</v>
      </c>
      <c r="T23" s="110">
        <f t="shared" si="4"/>
        <v>573130</v>
      </c>
      <c r="U23" s="65">
        <f t="shared" si="5"/>
        <v>114384</v>
      </c>
      <c r="V23" s="66">
        <f t="shared" si="6"/>
        <v>0</v>
      </c>
      <c r="W23" s="66">
        <f t="shared" si="7"/>
        <v>0</v>
      </c>
      <c r="X23" s="66">
        <f t="shared" si="8"/>
        <v>1507713</v>
      </c>
      <c r="Y23" s="66">
        <f t="shared" si="9"/>
        <v>0</v>
      </c>
      <c r="Z23" s="66">
        <f t="shared" si="10"/>
        <v>0</v>
      </c>
      <c r="AA23" s="66">
        <f t="shared" si="11"/>
        <v>0</v>
      </c>
      <c r="AB23" s="111">
        <f t="shared" si="12"/>
        <v>2195227</v>
      </c>
    </row>
    <row r="24" spans="1:28" s="56" customFormat="1" ht="32.25" customHeight="1">
      <c r="A24" s="64" t="s">
        <v>74</v>
      </c>
      <c r="B24" s="110"/>
      <c r="C24" s="65"/>
      <c r="D24" s="66"/>
      <c r="E24" s="66"/>
      <c r="F24" s="66"/>
      <c r="G24" s="66"/>
      <c r="H24" s="66"/>
      <c r="I24" s="66"/>
      <c r="J24" s="111">
        <f t="shared" si="16"/>
        <v>0</v>
      </c>
      <c r="K24" s="146">
        <v>34999</v>
      </c>
      <c r="L24" s="147"/>
      <c r="M24" s="147"/>
      <c r="N24" s="147">
        <v>541915</v>
      </c>
      <c r="O24" s="147"/>
      <c r="P24" s="147">
        <v>1010582</v>
      </c>
      <c r="Q24" s="147">
        <v>1432846</v>
      </c>
      <c r="R24" s="147">
        <v>24975</v>
      </c>
      <c r="S24" s="148">
        <f t="shared" si="3"/>
        <v>3045317</v>
      </c>
      <c r="T24" s="110">
        <f t="shared" si="4"/>
        <v>34999</v>
      </c>
      <c r="U24" s="65">
        <f t="shared" si="5"/>
        <v>0</v>
      </c>
      <c r="V24" s="66">
        <f t="shared" si="6"/>
        <v>0</v>
      </c>
      <c r="W24" s="66">
        <f t="shared" si="7"/>
        <v>541915</v>
      </c>
      <c r="X24" s="66">
        <f t="shared" si="8"/>
        <v>0</v>
      </c>
      <c r="Y24" s="66">
        <f t="shared" si="9"/>
        <v>1010582</v>
      </c>
      <c r="Z24" s="66">
        <f t="shared" si="10"/>
        <v>1432846</v>
      </c>
      <c r="AA24" s="66">
        <f t="shared" si="11"/>
        <v>24975</v>
      </c>
      <c r="AB24" s="111">
        <f t="shared" si="12"/>
        <v>3045317</v>
      </c>
    </row>
    <row r="25" spans="1:28" s="56" customFormat="1" ht="45">
      <c r="A25" s="64" t="s">
        <v>75</v>
      </c>
      <c r="B25" s="110"/>
      <c r="C25" s="65"/>
      <c r="D25" s="66"/>
      <c r="E25" s="66"/>
      <c r="F25" s="66"/>
      <c r="G25" s="66"/>
      <c r="H25" s="66"/>
      <c r="I25" s="66"/>
      <c r="J25" s="111">
        <f t="shared" si="16"/>
        <v>0</v>
      </c>
      <c r="K25" s="146"/>
      <c r="L25" s="147"/>
      <c r="M25" s="147"/>
      <c r="N25" s="147">
        <v>382980</v>
      </c>
      <c r="O25" s="147"/>
      <c r="P25" s="147">
        <v>226136</v>
      </c>
      <c r="Q25" s="147">
        <v>44509</v>
      </c>
      <c r="R25" s="147">
        <v>28583</v>
      </c>
      <c r="S25" s="148">
        <f t="shared" si="3"/>
        <v>682208</v>
      </c>
      <c r="T25" s="110">
        <f t="shared" si="4"/>
        <v>0</v>
      </c>
      <c r="U25" s="65">
        <f t="shared" si="5"/>
        <v>0</v>
      </c>
      <c r="V25" s="66">
        <f t="shared" si="6"/>
        <v>0</v>
      </c>
      <c r="W25" s="66">
        <f t="shared" si="7"/>
        <v>382980</v>
      </c>
      <c r="X25" s="66">
        <f t="shared" si="8"/>
        <v>0</v>
      </c>
      <c r="Y25" s="66">
        <f t="shared" si="9"/>
        <v>226136</v>
      </c>
      <c r="Z25" s="66">
        <f t="shared" si="10"/>
        <v>44509</v>
      </c>
      <c r="AA25" s="66">
        <f t="shared" si="11"/>
        <v>28583</v>
      </c>
      <c r="AB25" s="111">
        <f t="shared" si="12"/>
        <v>682208</v>
      </c>
    </row>
    <row r="26" spans="1:28" s="56" customFormat="1" ht="45">
      <c r="A26" s="64" t="s">
        <v>76</v>
      </c>
      <c r="B26" s="110"/>
      <c r="C26" s="65"/>
      <c r="D26" s="66"/>
      <c r="E26" s="66"/>
      <c r="F26" s="66"/>
      <c r="G26" s="66"/>
      <c r="H26" s="66"/>
      <c r="I26" s="66"/>
      <c r="J26" s="111">
        <f t="shared" si="16"/>
        <v>0</v>
      </c>
      <c r="K26" s="146">
        <v>73125</v>
      </c>
      <c r="L26" s="147"/>
      <c r="M26" s="147">
        <v>137054</v>
      </c>
      <c r="N26" s="147">
        <v>70735</v>
      </c>
      <c r="O26" s="147">
        <v>95024</v>
      </c>
      <c r="P26" s="147">
        <v>104105</v>
      </c>
      <c r="Q26" s="147">
        <v>14082</v>
      </c>
      <c r="R26" s="147">
        <v>142705</v>
      </c>
      <c r="S26" s="148">
        <f t="shared" si="3"/>
        <v>636830</v>
      </c>
      <c r="T26" s="110">
        <f t="shared" si="4"/>
        <v>73125</v>
      </c>
      <c r="U26" s="65">
        <f t="shared" si="5"/>
        <v>0</v>
      </c>
      <c r="V26" s="66">
        <f t="shared" si="6"/>
        <v>137054</v>
      </c>
      <c r="W26" s="66">
        <f t="shared" si="7"/>
        <v>70735</v>
      </c>
      <c r="X26" s="66">
        <f t="shared" si="8"/>
        <v>95024</v>
      </c>
      <c r="Y26" s="66">
        <f t="shared" si="9"/>
        <v>104105</v>
      </c>
      <c r="Z26" s="66">
        <f t="shared" si="10"/>
        <v>14082</v>
      </c>
      <c r="AA26" s="66">
        <f t="shared" si="11"/>
        <v>142705</v>
      </c>
      <c r="AB26" s="111">
        <f t="shared" si="12"/>
        <v>636830</v>
      </c>
    </row>
    <row r="27" spans="1:28" s="56" customFormat="1" ht="60">
      <c r="A27" s="64" t="s">
        <v>85</v>
      </c>
      <c r="B27" s="110"/>
      <c r="C27" s="65"/>
      <c r="D27" s="66"/>
      <c r="E27" s="66"/>
      <c r="F27" s="66"/>
      <c r="G27" s="66"/>
      <c r="H27" s="66"/>
      <c r="I27" s="66"/>
      <c r="J27" s="111">
        <f t="shared" si="16"/>
        <v>0</v>
      </c>
      <c r="K27" s="146"/>
      <c r="L27" s="147"/>
      <c r="M27" s="147"/>
      <c r="N27" s="147">
        <v>435</v>
      </c>
      <c r="O27" s="147"/>
      <c r="P27" s="147"/>
      <c r="Q27" s="147"/>
      <c r="R27" s="147"/>
      <c r="S27" s="148">
        <f t="shared" si="3"/>
        <v>435</v>
      </c>
      <c r="T27" s="110">
        <f t="shared" si="4"/>
        <v>0</v>
      </c>
      <c r="U27" s="65">
        <f t="shared" si="5"/>
        <v>0</v>
      </c>
      <c r="V27" s="66">
        <f t="shared" si="6"/>
        <v>0</v>
      </c>
      <c r="W27" s="66">
        <f t="shared" si="7"/>
        <v>435</v>
      </c>
      <c r="X27" s="66">
        <f t="shared" si="8"/>
        <v>0</v>
      </c>
      <c r="Y27" s="66">
        <f t="shared" si="9"/>
        <v>0</v>
      </c>
      <c r="Z27" s="66">
        <f t="shared" si="10"/>
        <v>0</v>
      </c>
      <c r="AA27" s="66">
        <f t="shared" si="11"/>
        <v>0</v>
      </c>
      <c r="AB27" s="111">
        <f t="shared" si="12"/>
        <v>435</v>
      </c>
    </row>
    <row r="28" spans="1:28" s="56" customFormat="1" ht="15">
      <c r="A28" s="64" t="s">
        <v>87</v>
      </c>
      <c r="B28" s="110"/>
      <c r="C28" s="65"/>
      <c r="D28" s="66"/>
      <c r="E28" s="66"/>
      <c r="F28" s="66"/>
      <c r="G28" s="66"/>
      <c r="H28" s="66"/>
      <c r="I28" s="66"/>
      <c r="J28" s="111">
        <f t="shared" si="16"/>
        <v>0</v>
      </c>
      <c r="K28" s="146"/>
      <c r="L28" s="147"/>
      <c r="M28" s="147">
        <v>1</v>
      </c>
      <c r="N28" s="147"/>
      <c r="O28" s="147"/>
      <c r="P28" s="147"/>
      <c r="Q28" s="147"/>
      <c r="R28" s="147"/>
      <c r="S28" s="148">
        <f t="shared" si="3"/>
        <v>1</v>
      </c>
      <c r="T28" s="110">
        <f t="shared" si="4"/>
        <v>0</v>
      </c>
      <c r="U28" s="65">
        <f t="shared" si="5"/>
        <v>0</v>
      </c>
      <c r="V28" s="66">
        <f t="shared" si="6"/>
        <v>1</v>
      </c>
      <c r="W28" s="66">
        <f t="shared" si="7"/>
        <v>0</v>
      </c>
      <c r="X28" s="66">
        <f t="shared" si="8"/>
        <v>0</v>
      </c>
      <c r="Y28" s="66">
        <f t="shared" si="9"/>
        <v>0</v>
      </c>
      <c r="Z28" s="66">
        <f t="shared" si="10"/>
        <v>0</v>
      </c>
      <c r="AA28" s="66">
        <f t="shared" si="11"/>
        <v>0</v>
      </c>
      <c r="AB28" s="111">
        <f t="shared" si="12"/>
        <v>1</v>
      </c>
    </row>
    <row r="29" spans="1:28" s="56" customFormat="1" ht="15" customHeight="1">
      <c r="A29" s="53" t="s">
        <v>129</v>
      </c>
      <c r="B29" s="112"/>
      <c r="C29" s="55"/>
      <c r="D29" s="55"/>
      <c r="E29" s="55"/>
      <c r="F29" s="55"/>
      <c r="G29" s="55"/>
      <c r="H29" s="55"/>
      <c r="I29" s="55"/>
      <c r="J29" s="103">
        <f t="shared" si="16"/>
        <v>0</v>
      </c>
      <c r="K29" s="141">
        <v>1955004</v>
      </c>
      <c r="L29" s="149">
        <v>317126</v>
      </c>
      <c r="M29" s="149">
        <v>1145522</v>
      </c>
      <c r="N29" s="149">
        <v>1817444</v>
      </c>
      <c r="O29" s="149">
        <v>1428712</v>
      </c>
      <c r="P29" s="149">
        <v>689060</v>
      </c>
      <c r="Q29" s="149">
        <v>622766</v>
      </c>
      <c r="R29" s="149">
        <v>366164</v>
      </c>
      <c r="S29" s="150">
        <f t="shared" si="3"/>
        <v>8341798</v>
      </c>
      <c r="T29" s="112">
        <f t="shared" si="4"/>
        <v>1955004</v>
      </c>
      <c r="U29" s="55">
        <f t="shared" si="5"/>
        <v>317126</v>
      </c>
      <c r="V29" s="55">
        <f t="shared" si="6"/>
        <v>1145522</v>
      </c>
      <c r="W29" s="55">
        <f t="shared" si="7"/>
        <v>1817444</v>
      </c>
      <c r="X29" s="55">
        <f t="shared" si="8"/>
        <v>1428712</v>
      </c>
      <c r="Y29" s="55">
        <f t="shared" si="9"/>
        <v>689060</v>
      </c>
      <c r="Z29" s="55">
        <f t="shared" si="10"/>
        <v>622766</v>
      </c>
      <c r="AA29" s="55">
        <f t="shared" si="11"/>
        <v>366164</v>
      </c>
      <c r="AB29" s="103">
        <f t="shared" si="12"/>
        <v>8341798</v>
      </c>
    </row>
    <row r="30" spans="1:28" s="56" customFormat="1" ht="15" customHeight="1">
      <c r="A30" s="53" t="s">
        <v>130</v>
      </c>
      <c r="B30" s="112"/>
      <c r="C30" s="55"/>
      <c r="D30" s="55"/>
      <c r="E30" s="55"/>
      <c r="F30" s="55"/>
      <c r="G30" s="55"/>
      <c r="H30" s="55"/>
      <c r="I30" s="55"/>
      <c r="J30" s="103">
        <f t="shared" si="16"/>
        <v>0</v>
      </c>
      <c r="K30" s="141">
        <v>195959</v>
      </c>
      <c r="L30" s="149">
        <v>647363</v>
      </c>
      <c r="M30" s="149">
        <v>510052</v>
      </c>
      <c r="N30" s="149">
        <v>1362018</v>
      </c>
      <c r="O30" s="149">
        <v>191988</v>
      </c>
      <c r="P30" s="149">
        <v>945618</v>
      </c>
      <c r="Q30" s="149">
        <v>482023</v>
      </c>
      <c r="R30" s="149">
        <v>79747</v>
      </c>
      <c r="S30" s="150">
        <f t="shared" si="3"/>
        <v>4414768</v>
      </c>
      <c r="T30" s="112">
        <f t="shared" si="4"/>
        <v>195959</v>
      </c>
      <c r="U30" s="55">
        <f t="shared" si="5"/>
        <v>647363</v>
      </c>
      <c r="V30" s="55">
        <f t="shared" si="6"/>
        <v>510052</v>
      </c>
      <c r="W30" s="55">
        <f t="shared" si="7"/>
        <v>1362018</v>
      </c>
      <c r="X30" s="55">
        <f t="shared" si="8"/>
        <v>191988</v>
      </c>
      <c r="Y30" s="55">
        <f t="shared" si="9"/>
        <v>945618</v>
      </c>
      <c r="Z30" s="55">
        <f t="shared" si="10"/>
        <v>482023</v>
      </c>
      <c r="AA30" s="55">
        <f t="shared" si="11"/>
        <v>79747</v>
      </c>
      <c r="AB30" s="103">
        <f t="shared" si="12"/>
        <v>4414768</v>
      </c>
    </row>
    <row r="31" spans="1:28" s="79" customFormat="1" ht="17.25" customHeight="1">
      <c r="A31" s="140" t="s">
        <v>131</v>
      </c>
      <c r="B31" s="102"/>
      <c r="C31" s="54"/>
      <c r="D31" s="54"/>
      <c r="E31" s="54"/>
      <c r="F31" s="54"/>
      <c r="G31" s="54"/>
      <c r="H31" s="54"/>
      <c r="I31" s="54"/>
      <c r="J31" s="106"/>
      <c r="K31" s="141">
        <f>SUM(K32:K35)</f>
        <v>128953</v>
      </c>
      <c r="L31" s="141">
        <f aca="true" t="shared" si="17" ref="L31:R31">SUM(L32:L35)</f>
        <v>38368</v>
      </c>
      <c r="M31" s="141">
        <f t="shared" si="17"/>
        <v>606479</v>
      </c>
      <c r="N31" s="141">
        <f t="shared" si="17"/>
        <v>791</v>
      </c>
      <c r="O31" s="141">
        <f t="shared" si="17"/>
        <v>451901</v>
      </c>
      <c r="P31" s="141">
        <f t="shared" si="17"/>
        <v>678677</v>
      </c>
      <c r="Q31" s="141">
        <f>SUM(Q32:Q35)</f>
        <v>79438</v>
      </c>
      <c r="R31" s="141">
        <f t="shared" si="17"/>
        <v>71849</v>
      </c>
      <c r="S31" s="141">
        <f t="shared" si="3"/>
        <v>2056456</v>
      </c>
      <c r="T31" s="102">
        <f t="shared" si="4"/>
        <v>128953</v>
      </c>
      <c r="U31" s="54">
        <f t="shared" si="5"/>
        <v>38368</v>
      </c>
      <c r="V31" s="54">
        <f t="shared" si="6"/>
        <v>606479</v>
      </c>
      <c r="W31" s="54">
        <f t="shared" si="7"/>
        <v>791</v>
      </c>
      <c r="X31" s="54">
        <f t="shared" si="8"/>
        <v>451901</v>
      </c>
      <c r="Y31" s="54">
        <f t="shared" si="9"/>
        <v>678677</v>
      </c>
      <c r="Z31" s="54">
        <f t="shared" si="10"/>
        <v>79438</v>
      </c>
      <c r="AA31" s="54">
        <f t="shared" si="11"/>
        <v>71849</v>
      </c>
      <c r="AB31" s="106">
        <f t="shared" si="12"/>
        <v>2056456</v>
      </c>
    </row>
    <row r="32" spans="1:28" ht="31.5">
      <c r="A32" s="61" t="s">
        <v>61</v>
      </c>
      <c r="B32" s="107"/>
      <c r="C32" s="62"/>
      <c r="D32" s="63"/>
      <c r="E32" s="63"/>
      <c r="F32" s="63"/>
      <c r="G32" s="63"/>
      <c r="H32" s="63"/>
      <c r="I32" s="63"/>
      <c r="J32" s="108">
        <f>SUM(B32:I32)</f>
        <v>0</v>
      </c>
      <c r="K32" s="143">
        <v>0</v>
      </c>
      <c r="L32" s="144">
        <v>0</v>
      </c>
      <c r="M32" s="144">
        <v>0</v>
      </c>
      <c r="N32" s="144">
        <v>791</v>
      </c>
      <c r="O32" s="144"/>
      <c r="P32" s="144">
        <v>672694</v>
      </c>
      <c r="Q32" s="144">
        <v>70531</v>
      </c>
      <c r="R32" s="144">
        <v>328</v>
      </c>
      <c r="S32" s="145">
        <f t="shared" si="3"/>
        <v>744344</v>
      </c>
      <c r="T32" s="107">
        <f t="shared" si="4"/>
        <v>0</v>
      </c>
      <c r="U32" s="62">
        <f t="shared" si="5"/>
        <v>0</v>
      </c>
      <c r="V32" s="63">
        <f t="shared" si="6"/>
        <v>0</v>
      </c>
      <c r="W32" s="63">
        <f t="shared" si="7"/>
        <v>791</v>
      </c>
      <c r="X32" s="63">
        <f t="shared" si="8"/>
        <v>0</v>
      </c>
      <c r="Y32" s="63">
        <f t="shared" si="9"/>
        <v>672694</v>
      </c>
      <c r="Z32" s="63">
        <f t="shared" si="10"/>
        <v>70531</v>
      </c>
      <c r="AA32" s="63">
        <f t="shared" si="11"/>
        <v>328</v>
      </c>
      <c r="AB32" s="108">
        <f t="shared" si="12"/>
        <v>744344</v>
      </c>
    </row>
    <row r="33" spans="1:28" ht="31.5">
      <c r="A33" s="61" t="s">
        <v>62</v>
      </c>
      <c r="B33" s="107"/>
      <c r="C33" s="62"/>
      <c r="D33" s="63"/>
      <c r="E33" s="63"/>
      <c r="F33" s="63"/>
      <c r="G33" s="63"/>
      <c r="H33" s="63"/>
      <c r="I33" s="63"/>
      <c r="J33" s="108">
        <f>SUM(B33:I33)</f>
        <v>0</v>
      </c>
      <c r="K33" s="143">
        <v>156</v>
      </c>
      <c r="L33" s="144">
        <v>20390</v>
      </c>
      <c r="M33" s="144">
        <v>163664</v>
      </c>
      <c r="N33" s="144">
        <v>0</v>
      </c>
      <c r="O33" s="144">
        <v>425169</v>
      </c>
      <c r="P33" s="144">
        <v>5970</v>
      </c>
      <c r="Q33" s="144">
        <f>7182</f>
        <v>7182</v>
      </c>
      <c r="R33" s="144"/>
      <c r="S33" s="145">
        <f t="shared" si="3"/>
        <v>622531</v>
      </c>
      <c r="T33" s="107">
        <f t="shared" si="4"/>
        <v>156</v>
      </c>
      <c r="U33" s="62">
        <f t="shared" si="5"/>
        <v>20390</v>
      </c>
      <c r="V33" s="63">
        <f t="shared" si="6"/>
        <v>163664</v>
      </c>
      <c r="W33" s="63">
        <f t="shared" si="7"/>
        <v>0</v>
      </c>
      <c r="X33" s="63">
        <f t="shared" si="8"/>
        <v>425169</v>
      </c>
      <c r="Y33" s="63">
        <f t="shared" si="9"/>
        <v>5970</v>
      </c>
      <c r="Z33" s="63">
        <f t="shared" si="10"/>
        <v>7182</v>
      </c>
      <c r="AA33" s="63">
        <f t="shared" si="11"/>
        <v>0</v>
      </c>
      <c r="AB33" s="108">
        <f t="shared" si="12"/>
        <v>622531</v>
      </c>
    </row>
    <row r="34" spans="1:28" ht="15.75">
      <c r="A34" s="61" t="s">
        <v>64</v>
      </c>
      <c r="B34" s="107"/>
      <c r="C34" s="62"/>
      <c r="D34" s="63"/>
      <c r="E34" s="63"/>
      <c r="F34" s="63"/>
      <c r="G34" s="63"/>
      <c r="H34" s="63"/>
      <c r="I34" s="63"/>
      <c r="J34" s="108">
        <f>SUM(B34:I34)</f>
        <v>0</v>
      </c>
      <c r="K34" s="143">
        <v>128797</v>
      </c>
      <c r="L34" s="144">
        <v>17978</v>
      </c>
      <c r="M34" s="144">
        <v>442815</v>
      </c>
      <c r="N34" s="144"/>
      <c r="O34" s="144">
        <v>26732</v>
      </c>
      <c r="P34" s="144">
        <v>13</v>
      </c>
      <c r="Q34" s="144">
        <v>0</v>
      </c>
      <c r="R34" s="144">
        <v>71521</v>
      </c>
      <c r="S34" s="145">
        <f t="shared" si="3"/>
        <v>687856</v>
      </c>
      <c r="T34" s="107">
        <f t="shared" si="4"/>
        <v>128797</v>
      </c>
      <c r="U34" s="62">
        <f t="shared" si="5"/>
        <v>17978</v>
      </c>
      <c r="V34" s="63">
        <f t="shared" si="6"/>
        <v>442815</v>
      </c>
      <c r="W34" s="63">
        <f t="shared" si="7"/>
        <v>0</v>
      </c>
      <c r="X34" s="63">
        <f t="shared" si="8"/>
        <v>26732</v>
      </c>
      <c r="Y34" s="63">
        <f t="shared" si="9"/>
        <v>13</v>
      </c>
      <c r="Z34" s="63">
        <f t="shared" si="10"/>
        <v>0</v>
      </c>
      <c r="AA34" s="63">
        <f t="shared" si="11"/>
        <v>71521</v>
      </c>
      <c r="AB34" s="108">
        <f t="shared" si="12"/>
        <v>687856</v>
      </c>
    </row>
    <row r="35" spans="1:28" ht="27.75" customHeight="1">
      <c r="A35" s="61" t="s">
        <v>125</v>
      </c>
      <c r="B35" s="101"/>
      <c r="C35" s="50"/>
      <c r="D35" s="51"/>
      <c r="E35" s="51"/>
      <c r="F35" s="51"/>
      <c r="G35" s="51"/>
      <c r="H35" s="51"/>
      <c r="I35" s="51"/>
      <c r="J35" s="52"/>
      <c r="K35" s="101"/>
      <c r="L35" s="50"/>
      <c r="M35" s="50"/>
      <c r="N35" s="50"/>
      <c r="O35" s="50"/>
      <c r="P35" s="50"/>
      <c r="Q35" s="50">
        <v>1725</v>
      </c>
      <c r="R35" s="50"/>
      <c r="S35" s="145">
        <f t="shared" si="3"/>
        <v>1725</v>
      </c>
      <c r="T35" s="101">
        <f t="shared" si="4"/>
        <v>0</v>
      </c>
      <c r="U35" s="50">
        <f t="shared" si="5"/>
        <v>0</v>
      </c>
      <c r="V35" s="51">
        <f t="shared" si="6"/>
        <v>0</v>
      </c>
      <c r="W35" s="51">
        <f t="shared" si="7"/>
        <v>0</v>
      </c>
      <c r="X35" s="51">
        <f t="shared" si="8"/>
        <v>0</v>
      </c>
      <c r="Y35" s="51">
        <f t="shared" si="9"/>
        <v>0</v>
      </c>
      <c r="Z35" s="51">
        <f t="shared" si="10"/>
        <v>1725</v>
      </c>
      <c r="AA35" s="51">
        <f t="shared" si="11"/>
        <v>0</v>
      </c>
      <c r="AB35" s="52">
        <f t="shared" si="12"/>
        <v>1725</v>
      </c>
    </row>
    <row r="36" spans="1:28" s="56" customFormat="1" ht="20.25" customHeight="1">
      <c r="A36" s="53" t="s">
        <v>134</v>
      </c>
      <c r="B36" s="102">
        <f>B37+B38</f>
        <v>302769499</v>
      </c>
      <c r="C36" s="102">
        <f aca="true" t="shared" si="18" ref="C36:I36">C37+C38</f>
        <v>29640508</v>
      </c>
      <c r="D36" s="102">
        <f t="shared" si="18"/>
        <v>222537280</v>
      </c>
      <c r="E36" s="102">
        <f t="shared" si="18"/>
        <v>205663041</v>
      </c>
      <c r="F36" s="102">
        <f t="shared" si="18"/>
        <v>83991661</v>
      </c>
      <c r="G36" s="102">
        <f t="shared" si="18"/>
        <v>113220499</v>
      </c>
      <c r="H36" s="102">
        <f t="shared" si="18"/>
        <v>60653445</v>
      </c>
      <c r="I36" s="102">
        <f t="shared" si="18"/>
        <v>37295770</v>
      </c>
      <c r="J36" s="54">
        <f>SUM(B36:I36)</f>
        <v>1055771703</v>
      </c>
      <c r="K36" s="141">
        <v>302769499</v>
      </c>
      <c r="L36" s="149">
        <v>29640508</v>
      </c>
      <c r="M36" s="149">
        <v>222537280</v>
      </c>
      <c r="N36" s="149">
        <f>N38+N37</f>
        <v>193426176</v>
      </c>
      <c r="O36" s="149">
        <v>83991661</v>
      </c>
      <c r="P36" s="149">
        <v>113220499</v>
      </c>
      <c r="Q36" s="149">
        <v>60653445</v>
      </c>
      <c r="R36" s="149">
        <v>37295770</v>
      </c>
      <c r="S36" s="150">
        <f>SUM(K36:R36)</f>
        <v>1043534838</v>
      </c>
      <c r="T36" s="102">
        <f t="shared" si="4"/>
        <v>0</v>
      </c>
      <c r="U36" s="54">
        <f t="shared" si="5"/>
        <v>0</v>
      </c>
      <c r="V36" s="54">
        <f t="shared" si="6"/>
        <v>0</v>
      </c>
      <c r="W36" s="54">
        <f t="shared" si="7"/>
        <v>-12236865</v>
      </c>
      <c r="X36" s="54">
        <f t="shared" si="8"/>
        <v>0</v>
      </c>
      <c r="Y36" s="54">
        <f t="shared" si="9"/>
        <v>0</v>
      </c>
      <c r="Z36" s="54">
        <f t="shared" si="10"/>
        <v>0</v>
      </c>
      <c r="AA36" s="54">
        <f t="shared" si="11"/>
        <v>0</v>
      </c>
      <c r="AB36" s="103">
        <f t="shared" si="12"/>
        <v>-12236865</v>
      </c>
    </row>
    <row r="37" spans="1:28" ht="27" customHeight="1">
      <c r="A37" s="58" t="s">
        <v>135</v>
      </c>
      <c r="B37" s="102">
        <v>257611127</v>
      </c>
      <c r="C37" s="54">
        <v>20950586</v>
      </c>
      <c r="D37" s="54">
        <v>196664670</v>
      </c>
      <c r="E37" s="54">
        <v>185695170</v>
      </c>
      <c r="F37" s="54">
        <v>75071583</v>
      </c>
      <c r="G37" s="54">
        <v>96551608</v>
      </c>
      <c r="H37" s="54">
        <v>48861101</v>
      </c>
      <c r="I37" s="54">
        <v>29307754</v>
      </c>
      <c r="J37" s="54">
        <f>SUM(B37:I37)</f>
        <v>910713599</v>
      </c>
      <c r="K37" s="141">
        <f>K36-K38</f>
        <v>257611127</v>
      </c>
      <c r="L37" s="149">
        <f>L36-L38</f>
        <v>20950586</v>
      </c>
      <c r="M37" s="149">
        <f>M36-M38</f>
        <v>196664670</v>
      </c>
      <c r="N37" s="149">
        <f>185695170-12236865</f>
        <v>173458305</v>
      </c>
      <c r="O37" s="149">
        <f>O36-O38</f>
        <v>75071583</v>
      </c>
      <c r="P37" s="149">
        <f>P36-P38</f>
        <v>96551608</v>
      </c>
      <c r="Q37" s="149">
        <f>Q36-Q38</f>
        <v>48861101</v>
      </c>
      <c r="R37" s="149">
        <f>R36-R38</f>
        <v>29307754</v>
      </c>
      <c r="S37" s="150">
        <f aca="true" t="shared" si="19" ref="S37:S45">SUM(K37:R37)</f>
        <v>898476734</v>
      </c>
      <c r="T37" s="102">
        <f aca="true" t="shared" si="20" ref="T37:AB37">K37-B37</f>
        <v>0</v>
      </c>
      <c r="U37" s="54">
        <f t="shared" si="20"/>
        <v>0</v>
      </c>
      <c r="V37" s="54">
        <f t="shared" si="20"/>
        <v>0</v>
      </c>
      <c r="W37" s="54">
        <f t="shared" si="20"/>
        <v>-12236865</v>
      </c>
      <c r="X37" s="54">
        <f t="shared" si="20"/>
        <v>0</v>
      </c>
      <c r="Y37" s="54">
        <f t="shared" si="20"/>
        <v>0</v>
      </c>
      <c r="Z37" s="54">
        <f t="shared" si="20"/>
        <v>0</v>
      </c>
      <c r="AA37" s="54">
        <f t="shared" si="20"/>
        <v>0</v>
      </c>
      <c r="AB37" s="106">
        <f t="shared" si="20"/>
        <v>-12236865</v>
      </c>
    </row>
    <row r="38" spans="1:30" s="165" customFormat="1" ht="20.25" customHeight="1">
      <c r="A38" s="58" t="s">
        <v>136</v>
      </c>
      <c r="B38" s="102">
        <v>45158372</v>
      </c>
      <c r="C38" s="54">
        <v>8689922</v>
      </c>
      <c r="D38" s="55">
        <v>25872610</v>
      </c>
      <c r="E38" s="55">
        <v>19967871</v>
      </c>
      <c r="F38" s="55">
        <v>8920078</v>
      </c>
      <c r="G38" s="55">
        <v>16668891</v>
      </c>
      <c r="H38" s="55">
        <v>11792344</v>
      </c>
      <c r="I38" s="55">
        <v>7988016</v>
      </c>
      <c r="J38" s="103">
        <f>SUM(B38:I38)</f>
        <v>145058104</v>
      </c>
      <c r="K38" s="141">
        <v>45158372</v>
      </c>
      <c r="L38" s="149">
        <v>8689922</v>
      </c>
      <c r="M38" s="149">
        <v>25872610</v>
      </c>
      <c r="N38" s="149">
        <v>19967871</v>
      </c>
      <c r="O38" s="149">
        <v>8920078</v>
      </c>
      <c r="P38" s="149">
        <v>16668891</v>
      </c>
      <c r="Q38" s="149">
        <v>11792344</v>
      </c>
      <c r="R38" s="149">
        <v>7988016</v>
      </c>
      <c r="S38" s="150">
        <f t="shared" si="19"/>
        <v>145058104</v>
      </c>
      <c r="T38" s="102">
        <f t="shared" si="4"/>
        <v>0</v>
      </c>
      <c r="U38" s="54">
        <f t="shared" si="5"/>
        <v>0</v>
      </c>
      <c r="V38" s="55">
        <f t="shared" si="6"/>
        <v>0</v>
      </c>
      <c r="W38" s="55">
        <f t="shared" si="7"/>
        <v>0</v>
      </c>
      <c r="X38" s="55">
        <f t="shared" si="8"/>
        <v>0</v>
      </c>
      <c r="Y38" s="55">
        <f t="shared" si="9"/>
        <v>0</v>
      </c>
      <c r="Z38" s="55">
        <f t="shared" si="10"/>
        <v>0</v>
      </c>
      <c r="AA38" s="55">
        <f t="shared" si="11"/>
        <v>0</v>
      </c>
      <c r="AB38" s="103">
        <f t="shared" si="12"/>
        <v>0</v>
      </c>
      <c r="AD38" s="167"/>
    </row>
    <row r="39" spans="1:30" ht="20.25" customHeight="1">
      <c r="A39" s="53" t="s">
        <v>133</v>
      </c>
      <c r="B39" s="102">
        <f aca="true" t="shared" si="21" ref="B39:I39">B45+B40+B44</f>
        <v>329298220</v>
      </c>
      <c r="C39" s="102">
        <f t="shared" si="21"/>
        <v>32052633</v>
      </c>
      <c r="D39" s="102">
        <f t="shared" si="21"/>
        <v>245154107</v>
      </c>
      <c r="E39" s="102">
        <f t="shared" si="21"/>
        <v>209916150</v>
      </c>
      <c r="F39" s="102">
        <f t="shared" si="21"/>
        <v>105792574</v>
      </c>
      <c r="G39" s="102">
        <f t="shared" si="21"/>
        <v>170979365</v>
      </c>
      <c r="H39" s="102">
        <f t="shared" si="21"/>
        <v>104806911</v>
      </c>
      <c r="I39" s="102">
        <f t="shared" si="21"/>
        <v>59962596</v>
      </c>
      <c r="J39" s="102">
        <f>SUM(B39:I39)</f>
        <v>1257962556</v>
      </c>
      <c r="K39" s="141">
        <f>K45+K40+K44</f>
        <v>326264989</v>
      </c>
      <c r="L39" s="141">
        <f aca="true" t="shared" si="22" ref="L39:R39">L45+L40+L44</f>
        <v>33921353</v>
      </c>
      <c r="M39" s="141">
        <f t="shared" si="22"/>
        <v>241865123</v>
      </c>
      <c r="N39" s="141">
        <f t="shared" si="22"/>
        <v>215393962</v>
      </c>
      <c r="O39" s="141">
        <f t="shared" si="22"/>
        <v>108182596</v>
      </c>
      <c r="P39" s="141">
        <f t="shared" si="22"/>
        <v>172919365</v>
      </c>
      <c r="Q39" s="141">
        <f>Q45+Q40+Q44</f>
        <v>106300198</v>
      </c>
      <c r="R39" s="141">
        <f t="shared" si="22"/>
        <v>60320277</v>
      </c>
      <c r="S39" s="149">
        <f>SUM(K39:R39)</f>
        <v>1265167863</v>
      </c>
      <c r="T39" s="102">
        <f t="shared" si="4"/>
        <v>-3033231</v>
      </c>
      <c r="U39" s="54">
        <f t="shared" si="5"/>
        <v>1868720</v>
      </c>
      <c r="V39" s="54">
        <f t="shared" si="6"/>
        <v>-3288984</v>
      </c>
      <c r="W39" s="54">
        <f t="shared" si="7"/>
        <v>5477812</v>
      </c>
      <c r="X39" s="54">
        <f t="shared" si="8"/>
        <v>2390022</v>
      </c>
      <c r="Y39" s="54">
        <f t="shared" si="9"/>
        <v>1940000</v>
      </c>
      <c r="Z39" s="54">
        <f t="shared" si="10"/>
        <v>1493287</v>
      </c>
      <c r="AA39" s="54">
        <f t="shared" si="11"/>
        <v>357681</v>
      </c>
      <c r="AB39" s="106">
        <f>S39-J39</f>
        <v>7205307</v>
      </c>
      <c r="AD39" s="122"/>
    </row>
    <row r="40" spans="1:28" ht="15.75">
      <c r="A40" s="154" t="s">
        <v>137</v>
      </c>
      <c r="B40" s="107">
        <f>B42+B43</f>
        <v>259967988</v>
      </c>
      <c r="C40" s="62">
        <f aca="true" t="shared" si="23" ref="C40:R40">C42+C43</f>
        <v>21267653</v>
      </c>
      <c r="D40" s="62">
        <f t="shared" si="23"/>
        <v>200339754</v>
      </c>
      <c r="E40" s="62">
        <f t="shared" si="23"/>
        <v>171378762</v>
      </c>
      <c r="F40" s="62">
        <f t="shared" si="23"/>
        <v>89365338</v>
      </c>
      <c r="G40" s="62">
        <f t="shared" si="23"/>
        <v>144655313</v>
      </c>
      <c r="H40" s="62">
        <f t="shared" si="23"/>
        <v>88128457</v>
      </c>
      <c r="I40" s="62">
        <f t="shared" si="23"/>
        <v>49043804</v>
      </c>
      <c r="J40" s="106">
        <f t="shared" si="23"/>
        <v>1024147069</v>
      </c>
      <c r="K40" s="143">
        <f t="shared" si="23"/>
        <v>252377720</v>
      </c>
      <c r="L40" s="144">
        <f t="shared" si="23"/>
        <v>21267653</v>
      </c>
      <c r="M40" s="144">
        <f t="shared" si="23"/>
        <v>193452770</v>
      </c>
      <c r="N40" s="144">
        <f t="shared" si="23"/>
        <v>169100199</v>
      </c>
      <c r="O40" s="144">
        <f t="shared" si="23"/>
        <v>87032849</v>
      </c>
      <c r="P40" s="144">
        <f t="shared" si="23"/>
        <v>141611289</v>
      </c>
      <c r="Q40" s="144">
        <f t="shared" si="23"/>
        <v>86402872</v>
      </c>
      <c r="R40" s="144">
        <f t="shared" si="23"/>
        <v>48044811</v>
      </c>
      <c r="S40" s="150">
        <f t="shared" si="19"/>
        <v>999290163</v>
      </c>
      <c r="T40" s="107">
        <f t="shared" si="4"/>
        <v>-7590268</v>
      </c>
      <c r="U40" s="62">
        <f t="shared" si="5"/>
        <v>0</v>
      </c>
      <c r="V40" s="62">
        <f t="shared" si="6"/>
        <v>-6886984</v>
      </c>
      <c r="W40" s="62">
        <f t="shared" si="7"/>
        <v>-2278563</v>
      </c>
      <c r="X40" s="62">
        <f t="shared" si="8"/>
        <v>-2332489</v>
      </c>
      <c r="Y40" s="62">
        <f t="shared" si="9"/>
        <v>-3044024</v>
      </c>
      <c r="Z40" s="62">
        <f t="shared" si="10"/>
        <v>-1725585</v>
      </c>
      <c r="AA40" s="62">
        <f t="shared" si="11"/>
        <v>-998993</v>
      </c>
      <c r="AB40" s="106">
        <f t="shared" si="12"/>
        <v>-24856906</v>
      </c>
    </row>
    <row r="41" spans="1:28" ht="15.75" hidden="1">
      <c r="A41" s="117" t="s">
        <v>96</v>
      </c>
      <c r="B41" s="107">
        <v>0.9149</v>
      </c>
      <c r="C41" s="62">
        <v>0.9103</v>
      </c>
      <c r="D41" s="63">
        <v>0.9136</v>
      </c>
      <c r="E41" s="63">
        <v>0.9022</v>
      </c>
      <c r="F41" s="63">
        <v>0.9225</v>
      </c>
      <c r="G41" s="63">
        <v>0.9374</v>
      </c>
      <c r="H41" s="63">
        <v>0.9475</v>
      </c>
      <c r="I41" s="63">
        <v>0.9436</v>
      </c>
      <c r="J41" s="103">
        <f>SUM(B41:I41)</f>
        <v>7.392</v>
      </c>
      <c r="K41" s="143">
        <v>0.9149</v>
      </c>
      <c r="L41" s="144">
        <v>0.9103</v>
      </c>
      <c r="M41" s="144">
        <v>0.9136</v>
      </c>
      <c r="N41" s="144">
        <v>0.9022</v>
      </c>
      <c r="O41" s="144">
        <v>0.9225</v>
      </c>
      <c r="P41" s="144">
        <v>0.9374</v>
      </c>
      <c r="Q41" s="144">
        <v>0.9475</v>
      </c>
      <c r="R41" s="144">
        <v>0.9436</v>
      </c>
      <c r="S41" s="150">
        <f t="shared" si="19"/>
        <v>7.392</v>
      </c>
      <c r="T41" s="107">
        <f t="shared" si="4"/>
        <v>0</v>
      </c>
      <c r="U41" s="62">
        <f t="shared" si="5"/>
        <v>0</v>
      </c>
      <c r="V41" s="63">
        <f t="shared" si="6"/>
        <v>0</v>
      </c>
      <c r="W41" s="63">
        <f t="shared" si="7"/>
        <v>0</v>
      </c>
      <c r="X41" s="63">
        <f t="shared" si="8"/>
        <v>0</v>
      </c>
      <c r="Y41" s="63">
        <f t="shared" si="9"/>
        <v>0</v>
      </c>
      <c r="Z41" s="63">
        <f t="shared" si="10"/>
        <v>0</v>
      </c>
      <c r="AA41" s="63">
        <f t="shared" si="11"/>
        <v>0</v>
      </c>
      <c r="AB41" s="103">
        <f t="shared" si="12"/>
        <v>0</v>
      </c>
    </row>
    <row r="42" spans="1:28" s="163" customFormat="1" ht="60">
      <c r="A42" s="155" t="s">
        <v>97</v>
      </c>
      <c r="B42" s="156">
        <f>242928598</f>
        <v>242928598</v>
      </c>
      <c r="C42" s="157">
        <v>19038461</v>
      </c>
      <c r="D42" s="158">
        <f>189770037</f>
        <v>189770037</v>
      </c>
      <c r="E42" s="158">
        <f>161282331</f>
        <v>161282331</v>
      </c>
      <c r="F42" s="158">
        <f>84657042</f>
        <v>84657042</v>
      </c>
      <c r="G42" s="158">
        <f>133807845</f>
        <v>133807845</v>
      </c>
      <c r="H42" s="158">
        <f>82051311</f>
        <v>82051311</v>
      </c>
      <c r="I42" s="158">
        <f>46793532</f>
        <v>46793532</v>
      </c>
      <c r="J42" s="159">
        <f>SUM(B42:I42)</f>
        <v>960329157</v>
      </c>
      <c r="K42" s="160">
        <f>242928598-7590268</f>
        <v>235338330</v>
      </c>
      <c r="L42" s="161">
        <v>19038461</v>
      </c>
      <c r="M42" s="161">
        <f>189770037-8122053</f>
        <v>181647984</v>
      </c>
      <c r="N42" s="161">
        <f>161282331-3258563</f>
        <v>158023768</v>
      </c>
      <c r="O42" s="161">
        <f>84657042-2332489</f>
        <v>82324553</v>
      </c>
      <c r="P42" s="161">
        <f>133807845-3044024</f>
        <v>130763821</v>
      </c>
      <c r="Q42" s="161">
        <f>82051311-1725585</f>
        <v>80325726</v>
      </c>
      <c r="R42" s="161">
        <f>46793532-1057953</f>
        <v>45735579</v>
      </c>
      <c r="S42" s="162">
        <f t="shared" si="19"/>
        <v>933198222</v>
      </c>
      <c r="T42" s="156">
        <f t="shared" si="4"/>
        <v>-7590268</v>
      </c>
      <c r="U42" s="157">
        <f t="shared" si="5"/>
        <v>0</v>
      </c>
      <c r="V42" s="158">
        <f t="shared" si="6"/>
        <v>-8122053</v>
      </c>
      <c r="W42" s="158">
        <f t="shared" si="7"/>
        <v>-3258563</v>
      </c>
      <c r="X42" s="158">
        <f t="shared" si="8"/>
        <v>-2332489</v>
      </c>
      <c r="Y42" s="158">
        <f t="shared" si="9"/>
        <v>-3044024</v>
      </c>
      <c r="Z42" s="158">
        <f t="shared" si="10"/>
        <v>-1725585</v>
      </c>
      <c r="AA42" s="158">
        <f t="shared" si="11"/>
        <v>-1057953</v>
      </c>
      <c r="AB42" s="166">
        <f t="shared" si="12"/>
        <v>-27130935</v>
      </c>
    </row>
    <row r="43" spans="1:28" s="163" customFormat="1" ht="15.75">
      <c r="A43" s="164" t="s">
        <v>98</v>
      </c>
      <c r="B43" s="156">
        <v>17039390</v>
      </c>
      <c r="C43" s="157">
        <v>2229192</v>
      </c>
      <c r="D43" s="158">
        <f>10569717</f>
        <v>10569717</v>
      </c>
      <c r="E43" s="158">
        <f>10096431</f>
        <v>10096431</v>
      </c>
      <c r="F43" s="158">
        <v>4708296</v>
      </c>
      <c r="G43" s="158">
        <v>10847468</v>
      </c>
      <c r="H43" s="158">
        <v>6077146</v>
      </c>
      <c r="I43" s="158">
        <f>2250272</f>
        <v>2250272</v>
      </c>
      <c r="J43" s="159">
        <f>SUM(B43:I43)</f>
        <v>63817912</v>
      </c>
      <c r="K43" s="160">
        <v>17039390</v>
      </c>
      <c r="L43" s="161">
        <v>2229192</v>
      </c>
      <c r="M43" s="161">
        <f>10569717+1235069</f>
        <v>11804786</v>
      </c>
      <c r="N43" s="161">
        <f>10096431+980000</f>
        <v>11076431</v>
      </c>
      <c r="O43" s="161">
        <v>4708296</v>
      </c>
      <c r="P43" s="161">
        <v>10847468</v>
      </c>
      <c r="Q43" s="161">
        <v>6077146</v>
      </c>
      <c r="R43" s="161">
        <f>2250272+20560+38400</f>
        <v>2309232</v>
      </c>
      <c r="S43" s="162">
        <f t="shared" si="19"/>
        <v>66091941</v>
      </c>
      <c r="T43" s="156">
        <f t="shared" si="4"/>
        <v>0</v>
      </c>
      <c r="U43" s="157">
        <f t="shared" si="5"/>
        <v>0</v>
      </c>
      <c r="V43" s="158">
        <f t="shared" si="6"/>
        <v>1235069</v>
      </c>
      <c r="W43" s="158">
        <f t="shared" si="7"/>
        <v>980000</v>
      </c>
      <c r="X43" s="158">
        <f t="shared" si="8"/>
        <v>0</v>
      </c>
      <c r="Y43" s="158">
        <f t="shared" si="9"/>
        <v>0</v>
      </c>
      <c r="Z43" s="158">
        <f t="shared" si="10"/>
        <v>0</v>
      </c>
      <c r="AA43" s="158">
        <f t="shared" si="11"/>
        <v>58960</v>
      </c>
      <c r="AB43" s="159">
        <f t="shared" si="12"/>
        <v>2274029</v>
      </c>
    </row>
    <row r="44" spans="1:28" ht="17.25" customHeight="1">
      <c r="A44" s="154" t="s">
        <v>138</v>
      </c>
      <c r="B44" s="107">
        <v>24171860</v>
      </c>
      <c r="C44" s="62">
        <v>2095058</v>
      </c>
      <c r="D44" s="63">
        <f>18941743</f>
        <v>18941743</v>
      </c>
      <c r="E44" s="63">
        <f>18569517</f>
        <v>18569517</v>
      </c>
      <c r="F44" s="63">
        <v>7507158</v>
      </c>
      <c r="G44" s="63">
        <v>9655161</v>
      </c>
      <c r="H44" s="63">
        <v>4886110</v>
      </c>
      <c r="I44" s="63">
        <f>2930776</f>
        <v>2930776</v>
      </c>
      <c r="J44" s="103">
        <f>SUM(B44:I44)</f>
        <v>88757383</v>
      </c>
      <c r="K44" s="143">
        <v>24171860</v>
      </c>
      <c r="L44" s="144">
        <v>2095058</v>
      </c>
      <c r="M44" s="144">
        <f>18941743-1235069+260000</f>
        <v>17966674</v>
      </c>
      <c r="N44" s="144">
        <f>18569517-980000</f>
        <v>17589517</v>
      </c>
      <c r="O44" s="144">
        <v>7507158</v>
      </c>
      <c r="P44" s="144">
        <v>9655161</v>
      </c>
      <c r="Q44" s="144">
        <v>4886110</v>
      </c>
      <c r="R44" s="144">
        <f>2930776-20560-38400</f>
        <v>2871816</v>
      </c>
      <c r="S44" s="150">
        <f t="shared" si="19"/>
        <v>86743354</v>
      </c>
      <c r="T44" s="107">
        <f t="shared" si="4"/>
        <v>0</v>
      </c>
      <c r="U44" s="62">
        <f t="shared" si="5"/>
        <v>0</v>
      </c>
      <c r="V44" s="63">
        <f t="shared" si="6"/>
        <v>-975069</v>
      </c>
      <c r="W44" s="63">
        <f t="shared" si="7"/>
        <v>-980000</v>
      </c>
      <c r="X44" s="63">
        <f t="shared" si="8"/>
        <v>0</v>
      </c>
      <c r="Y44" s="63">
        <f t="shared" si="9"/>
        <v>0</v>
      </c>
      <c r="Z44" s="63">
        <f t="shared" si="10"/>
        <v>0</v>
      </c>
      <c r="AA44" s="63">
        <f t="shared" si="11"/>
        <v>-58960</v>
      </c>
      <c r="AB44" s="103">
        <f t="shared" si="12"/>
        <v>-2014029</v>
      </c>
    </row>
    <row r="45" spans="1:28" s="56" customFormat="1" ht="20.25" customHeight="1">
      <c r="A45" s="154" t="s">
        <v>139</v>
      </c>
      <c r="B45" s="107">
        <f>45158372</f>
        <v>45158372</v>
      </c>
      <c r="C45" s="62">
        <f>8689922</f>
        <v>8689922</v>
      </c>
      <c r="D45" s="63">
        <f>25872610</f>
        <v>25872610</v>
      </c>
      <c r="E45" s="63">
        <f>19967871</f>
        <v>19967871</v>
      </c>
      <c r="F45" s="63">
        <f>8920078</f>
        <v>8920078</v>
      </c>
      <c r="G45" s="63">
        <f>16668891</f>
        <v>16668891</v>
      </c>
      <c r="H45" s="63">
        <f>11792344</f>
        <v>11792344</v>
      </c>
      <c r="I45" s="63">
        <f>7988016</f>
        <v>7988016</v>
      </c>
      <c r="J45" s="103">
        <f>SUM(B45:I45)</f>
        <v>145058104</v>
      </c>
      <c r="K45" s="143">
        <f>45158372+128953+2277121+1955004+195959</f>
        <v>49715409</v>
      </c>
      <c r="L45" s="144">
        <f>8689922+38368+865863+317126+647363</f>
        <v>10558642</v>
      </c>
      <c r="M45" s="144">
        <f>25872610+606479+2311016+1145522+510052</f>
        <v>30445679</v>
      </c>
      <c r="N45" s="144">
        <f>19967871+791+5556122+1817444+1362018</f>
        <v>28704246</v>
      </c>
      <c r="O45" s="144">
        <f>8920078+451901+2649910+1428712+191988</f>
        <v>13642589</v>
      </c>
      <c r="P45" s="144">
        <f>16668891+678677+2670669+689060+945618</f>
        <v>21652915</v>
      </c>
      <c r="Q45" s="144">
        <f>11792344+79438+2034645+622766+482023</f>
        <v>15011216</v>
      </c>
      <c r="R45" s="144">
        <f>7988016+71849+897874+366164+79747</f>
        <v>9403650</v>
      </c>
      <c r="S45" s="150">
        <f t="shared" si="19"/>
        <v>179134346</v>
      </c>
      <c r="T45" s="102">
        <f aca="true" t="shared" si="24" ref="T45:AB45">K45-B45</f>
        <v>4557037</v>
      </c>
      <c r="U45" s="54">
        <f t="shared" si="24"/>
        <v>1868720</v>
      </c>
      <c r="V45" s="54">
        <f t="shared" si="24"/>
        <v>4573069</v>
      </c>
      <c r="W45" s="54">
        <f t="shared" si="24"/>
        <v>8736375</v>
      </c>
      <c r="X45" s="54">
        <f t="shared" si="24"/>
        <v>4722511</v>
      </c>
      <c r="Y45" s="54">
        <f t="shared" si="24"/>
        <v>4984024</v>
      </c>
      <c r="Z45" s="54">
        <f t="shared" si="24"/>
        <v>3218872</v>
      </c>
      <c r="AA45" s="54">
        <f t="shared" si="24"/>
        <v>1415634</v>
      </c>
      <c r="AB45" s="103">
        <f t="shared" si="24"/>
        <v>34076242</v>
      </c>
    </row>
    <row r="46" spans="1:28" ht="9" customHeight="1">
      <c r="A46" s="58"/>
      <c r="B46" s="102"/>
      <c r="C46" s="54"/>
      <c r="D46" s="55"/>
      <c r="E46" s="55"/>
      <c r="F46" s="55"/>
      <c r="G46" s="55"/>
      <c r="H46" s="55"/>
      <c r="I46" s="55"/>
      <c r="J46" s="103"/>
      <c r="K46" s="141"/>
      <c r="L46" s="149"/>
      <c r="M46" s="149"/>
      <c r="N46" s="149"/>
      <c r="O46" s="149"/>
      <c r="P46" s="149"/>
      <c r="Q46" s="149"/>
      <c r="R46" s="149"/>
      <c r="S46" s="150"/>
      <c r="T46" s="102">
        <f t="shared" si="4"/>
        <v>0</v>
      </c>
      <c r="U46" s="54">
        <f t="shared" si="5"/>
        <v>0</v>
      </c>
      <c r="V46" s="55">
        <f t="shared" si="6"/>
        <v>0</v>
      </c>
      <c r="W46" s="55">
        <f t="shared" si="7"/>
        <v>0</v>
      </c>
      <c r="X46" s="55">
        <f t="shared" si="8"/>
        <v>0</v>
      </c>
      <c r="Y46" s="55">
        <f t="shared" si="9"/>
        <v>0</v>
      </c>
      <c r="Z46" s="55">
        <f t="shared" si="10"/>
        <v>0</v>
      </c>
      <c r="AA46" s="55">
        <f t="shared" si="11"/>
        <v>0</v>
      </c>
      <c r="AB46" s="103">
        <f t="shared" si="12"/>
        <v>0</v>
      </c>
    </row>
    <row r="47" spans="1:28" s="56" customFormat="1" ht="21" customHeight="1">
      <c r="A47" s="53" t="s">
        <v>79</v>
      </c>
      <c r="B47" s="102">
        <f>B39-B36</f>
        <v>26528721</v>
      </c>
      <c r="C47" s="102">
        <f aca="true" t="shared" si="25" ref="C47:J47">C39-C36</f>
        <v>2412125</v>
      </c>
      <c r="D47" s="102">
        <f t="shared" si="25"/>
        <v>22616827</v>
      </c>
      <c r="E47" s="102">
        <f t="shared" si="25"/>
        <v>4253109</v>
      </c>
      <c r="F47" s="102">
        <f t="shared" si="25"/>
        <v>21800913</v>
      </c>
      <c r="G47" s="102">
        <f t="shared" si="25"/>
        <v>57758866</v>
      </c>
      <c r="H47" s="102">
        <f t="shared" si="25"/>
        <v>44153466</v>
      </c>
      <c r="I47" s="102">
        <f t="shared" si="25"/>
        <v>22666826</v>
      </c>
      <c r="J47" s="102">
        <f t="shared" si="25"/>
        <v>202190853</v>
      </c>
      <c r="K47" s="141">
        <f>K39-K36-K15</f>
        <v>16903596</v>
      </c>
      <c r="L47" s="141">
        <f aca="true" t="shared" si="26" ref="L47:R47">L39-L36-L15</f>
        <v>2362016</v>
      </c>
      <c r="M47" s="141">
        <f>M39-M36-M15</f>
        <v>14654534</v>
      </c>
      <c r="N47" s="141">
        <f t="shared" si="26"/>
        <v>0</v>
      </c>
      <c r="O47" s="141">
        <f t="shared" si="26"/>
        <v>19235614</v>
      </c>
      <c r="P47" s="141">
        <f t="shared" si="26"/>
        <v>53721771</v>
      </c>
      <c r="Q47" s="141">
        <f t="shared" si="26"/>
        <v>42226296</v>
      </c>
      <c r="R47" s="141">
        <f t="shared" si="26"/>
        <v>21276797</v>
      </c>
      <c r="S47" s="150">
        <f>SUM(K47:R47)</f>
        <v>170380624</v>
      </c>
      <c r="T47" s="102">
        <f>K47-B47</f>
        <v>-9625125</v>
      </c>
      <c r="U47" s="54">
        <f t="shared" si="5"/>
        <v>-50109</v>
      </c>
      <c r="V47" s="54">
        <f t="shared" si="6"/>
        <v>-7962293</v>
      </c>
      <c r="W47" s="54">
        <f t="shared" si="7"/>
        <v>-4253109</v>
      </c>
      <c r="X47" s="54">
        <f t="shared" si="8"/>
        <v>-2565299</v>
      </c>
      <c r="Y47" s="54">
        <f t="shared" si="9"/>
        <v>-4037095</v>
      </c>
      <c r="Z47" s="54">
        <f t="shared" si="10"/>
        <v>-1927170</v>
      </c>
      <c r="AA47" s="54">
        <f t="shared" si="11"/>
        <v>-1390029</v>
      </c>
      <c r="AB47" s="103">
        <f t="shared" si="12"/>
        <v>-31810229</v>
      </c>
    </row>
    <row r="48" spans="1:28" ht="15.75" customHeight="1">
      <c r="A48" s="58" t="s">
        <v>101</v>
      </c>
      <c r="B48" s="102">
        <f>B47</f>
        <v>26528721</v>
      </c>
      <c r="C48" s="102">
        <f aca="true" t="shared" si="27" ref="C48:J48">C47</f>
        <v>2412125</v>
      </c>
      <c r="D48" s="102">
        <f t="shared" si="27"/>
        <v>22616827</v>
      </c>
      <c r="E48" s="102">
        <f t="shared" si="27"/>
        <v>4253109</v>
      </c>
      <c r="F48" s="102">
        <f t="shared" si="27"/>
        <v>21800913</v>
      </c>
      <c r="G48" s="102">
        <f t="shared" si="27"/>
        <v>57758866</v>
      </c>
      <c r="H48" s="102">
        <f t="shared" si="27"/>
        <v>44153466</v>
      </c>
      <c r="I48" s="102">
        <f t="shared" si="27"/>
        <v>22666826</v>
      </c>
      <c r="J48" s="102">
        <f t="shared" si="27"/>
        <v>202190853</v>
      </c>
      <c r="K48" s="141">
        <f>K47</f>
        <v>16903596</v>
      </c>
      <c r="L48" s="141">
        <f aca="true" t="shared" si="28" ref="L48:S48">L47</f>
        <v>2362016</v>
      </c>
      <c r="M48" s="141">
        <f t="shared" si="28"/>
        <v>14654534</v>
      </c>
      <c r="N48" s="141">
        <f t="shared" si="28"/>
        <v>0</v>
      </c>
      <c r="O48" s="141">
        <f t="shared" si="28"/>
        <v>19235614</v>
      </c>
      <c r="P48" s="141">
        <f t="shared" si="28"/>
        <v>53721771</v>
      </c>
      <c r="Q48" s="141">
        <f t="shared" si="28"/>
        <v>42226296</v>
      </c>
      <c r="R48" s="141">
        <f t="shared" si="28"/>
        <v>21276797</v>
      </c>
      <c r="S48" s="141">
        <f t="shared" si="28"/>
        <v>170380624</v>
      </c>
      <c r="T48" s="102">
        <f t="shared" si="4"/>
        <v>-9625125</v>
      </c>
      <c r="U48" s="54">
        <f t="shared" si="5"/>
        <v>-50109</v>
      </c>
      <c r="V48" s="54">
        <f t="shared" si="6"/>
        <v>-7962293</v>
      </c>
      <c r="W48" s="54">
        <f t="shared" si="7"/>
        <v>-4253109</v>
      </c>
      <c r="X48" s="54">
        <f t="shared" si="8"/>
        <v>-2565299</v>
      </c>
      <c r="Y48" s="54">
        <f t="shared" si="9"/>
        <v>-4037095</v>
      </c>
      <c r="Z48" s="54">
        <f t="shared" si="10"/>
        <v>-1927170</v>
      </c>
      <c r="AA48" s="54">
        <f t="shared" si="11"/>
        <v>-1390029</v>
      </c>
      <c r="AB48" s="103">
        <f t="shared" si="12"/>
        <v>-31810229</v>
      </c>
    </row>
    <row r="49" spans="1:28" ht="15.75" customHeight="1">
      <c r="A49" s="83" t="s">
        <v>102</v>
      </c>
      <c r="B49" s="102">
        <v>2356861</v>
      </c>
      <c r="C49" s="54">
        <v>317066</v>
      </c>
      <c r="D49" s="55">
        <v>3675084</v>
      </c>
      <c r="E49" s="55"/>
      <c r="F49" s="55">
        <v>14293755</v>
      </c>
      <c r="G49" s="55">
        <v>48103705</v>
      </c>
      <c r="H49" s="55">
        <v>39267356</v>
      </c>
      <c r="I49" s="89">
        <v>19736051</v>
      </c>
      <c r="J49" s="103">
        <f>SUM(B49:I49)</f>
        <v>127749878</v>
      </c>
      <c r="K49" s="141"/>
      <c r="L49" s="149">
        <v>317066</v>
      </c>
      <c r="M49" s="149">
        <f>1990000</f>
        <v>1990000</v>
      </c>
      <c r="N49" s="149"/>
      <c r="O49" s="149">
        <f>14293755-2565299</f>
        <v>11728456</v>
      </c>
      <c r="P49" s="149">
        <f>48103705-4037095</f>
        <v>44066610</v>
      </c>
      <c r="Q49" s="149">
        <f>39267356-1927170</f>
        <v>37340186</v>
      </c>
      <c r="R49" s="151">
        <f>19736051-1390029</f>
        <v>18346022</v>
      </c>
      <c r="S49" s="150">
        <f>SUM(K49:R49)</f>
        <v>113788340</v>
      </c>
      <c r="T49" s="102">
        <f t="shared" si="4"/>
        <v>-2356861</v>
      </c>
      <c r="U49" s="54">
        <f t="shared" si="5"/>
        <v>0</v>
      </c>
      <c r="V49" s="55">
        <f t="shared" si="6"/>
        <v>-1685084</v>
      </c>
      <c r="W49" s="55">
        <f t="shared" si="7"/>
        <v>0</v>
      </c>
      <c r="X49" s="55">
        <f t="shared" si="8"/>
        <v>-2565299</v>
      </c>
      <c r="Y49" s="55">
        <f t="shared" si="9"/>
        <v>-4037095</v>
      </c>
      <c r="Z49" s="55">
        <f t="shared" si="10"/>
        <v>-1927170</v>
      </c>
      <c r="AA49" s="89">
        <f t="shared" si="11"/>
        <v>-1390029</v>
      </c>
      <c r="AB49" s="103">
        <f t="shared" si="12"/>
        <v>-13961538</v>
      </c>
    </row>
    <row r="50" spans="1:28" ht="15.75" customHeight="1">
      <c r="A50" s="83" t="s">
        <v>103</v>
      </c>
      <c r="B50" s="54">
        <f aca="true" t="shared" si="29" ref="B50:J50">B48-B49</f>
        <v>24171860</v>
      </c>
      <c r="C50" s="54">
        <f t="shared" si="29"/>
        <v>2095059</v>
      </c>
      <c r="D50" s="54">
        <f t="shared" si="29"/>
        <v>18941743</v>
      </c>
      <c r="E50" s="54">
        <f t="shared" si="29"/>
        <v>4253109</v>
      </c>
      <c r="F50" s="54">
        <f t="shared" si="29"/>
        <v>7507158</v>
      </c>
      <c r="G50" s="54">
        <f t="shared" si="29"/>
        <v>9655161</v>
      </c>
      <c r="H50" s="54">
        <f t="shared" si="29"/>
        <v>4886110</v>
      </c>
      <c r="I50" s="54">
        <f t="shared" si="29"/>
        <v>2930775</v>
      </c>
      <c r="J50" s="103">
        <f t="shared" si="29"/>
        <v>74440975</v>
      </c>
      <c r="K50" s="141">
        <f>K48</f>
        <v>16903596</v>
      </c>
      <c r="L50" s="149">
        <f>L48-L49</f>
        <v>2044950</v>
      </c>
      <c r="M50" s="149">
        <f>M48-M49</f>
        <v>12664534</v>
      </c>
      <c r="N50" s="149">
        <f aca="true" t="shared" si="30" ref="N50:S50">N48-N49</f>
        <v>0</v>
      </c>
      <c r="O50" s="149">
        <f t="shared" si="30"/>
        <v>7507158</v>
      </c>
      <c r="P50" s="149">
        <f t="shared" si="30"/>
        <v>9655161</v>
      </c>
      <c r="Q50" s="149">
        <f t="shared" si="30"/>
        <v>4886110</v>
      </c>
      <c r="R50" s="149">
        <f t="shared" si="30"/>
        <v>2930775</v>
      </c>
      <c r="S50" s="149">
        <f t="shared" si="30"/>
        <v>56592284</v>
      </c>
      <c r="T50" s="102">
        <f t="shared" si="4"/>
        <v>-7268264</v>
      </c>
      <c r="U50" s="54">
        <f t="shared" si="5"/>
        <v>-50109</v>
      </c>
      <c r="V50" s="54">
        <f t="shared" si="6"/>
        <v>-6277209</v>
      </c>
      <c r="W50" s="54">
        <f t="shared" si="7"/>
        <v>-4253109</v>
      </c>
      <c r="X50" s="54">
        <f t="shared" si="8"/>
        <v>0</v>
      </c>
      <c r="Y50" s="54">
        <f t="shared" si="9"/>
        <v>0</v>
      </c>
      <c r="Z50" s="54">
        <f>Q50-H50</f>
        <v>0</v>
      </c>
      <c r="AA50" s="54">
        <f t="shared" si="11"/>
        <v>0</v>
      </c>
      <c r="AB50" s="103">
        <f t="shared" si="12"/>
        <v>-17848691</v>
      </c>
    </row>
    <row r="51" spans="1:28" ht="15.75" customHeight="1">
      <c r="A51" s="83"/>
      <c r="B51" s="102"/>
      <c r="C51" s="54"/>
      <c r="D51" s="88"/>
      <c r="E51" s="55"/>
      <c r="F51" s="55"/>
      <c r="G51" s="55"/>
      <c r="H51" s="55"/>
      <c r="I51" s="55"/>
      <c r="J51" s="103">
        <f>SUM(B51:I51)</f>
        <v>0</v>
      </c>
      <c r="K51" s="141"/>
      <c r="L51" s="149"/>
      <c r="M51" s="152"/>
      <c r="N51" s="149"/>
      <c r="O51" s="149"/>
      <c r="P51" s="149"/>
      <c r="Q51" s="149"/>
      <c r="R51" s="149"/>
      <c r="S51" s="150">
        <f>SUM(K51:R51)</f>
        <v>0</v>
      </c>
      <c r="T51" s="102">
        <f t="shared" si="4"/>
        <v>0</v>
      </c>
      <c r="U51" s="54">
        <f t="shared" si="5"/>
        <v>0</v>
      </c>
      <c r="V51" s="88">
        <f t="shared" si="6"/>
        <v>0</v>
      </c>
      <c r="W51" s="55">
        <f t="shared" si="7"/>
        <v>0</v>
      </c>
      <c r="X51" s="55">
        <f t="shared" si="8"/>
        <v>0</v>
      </c>
      <c r="Y51" s="55">
        <f t="shared" si="9"/>
        <v>0</v>
      </c>
      <c r="Z51" s="55">
        <f t="shared" si="10"/>
        <v>0</v>
      </c>
      <c r="AA51" s="55">
        <f t="shared" si="11"/>
        <v>0</v>
      </c>
      <c r="AB51" s="103">
        <f t="shared" si="12"/>
        <v>0</v>
      </c>
    </row>
    <row r="52" spans="1:30" s="56" customFormat="1" ht="21.75" customHeight="1" thickBot="1">
      <c r="A52" s="67" t="s">
        <v>80</v>
      </c>
      <c r="B52" s="113">
        <f>B39+B55</f>
        <v>366302041</v>
      </c>
      <c r="C52" s="113">
        <f aca="true" t="shared" si="31" ref="C52:I52">C39+C55</f>
        <v>33261924</v>
      </c>
      <c r="D52" s="113">
        <f t="shared" si="31"/>
        <v>264356254</v>
      </c>
      <c r="E52" s="113">
        <f t="shared" si="31"/>
        <v>241405295</v>
      </c>
      <c r="F52" s="113">
        <f t="shared" si="31"/>
        <v>129760732</v>
      </c>
      <c r="G52" s="113">
        <f t="shared" si="31"/>
        <v>204585750</v>
      </c>
      <c r="H52" s="113">
        <f t="shared" si="31"/>
        <v>123691693</v>
      </c>
      <c r="I52" s="113">
        <f t="shared" si="31"/>
        <v>78016449</v>
      </c>
      <c r="J52" s="115">
        <f>SUM(B52:I52)</f>
        <v>1441380138</v>
      </c>
      <c r="K52" s="153">
        <f>K39+K55+K56</f>
        <v>363268810</v>
      </c>
      <c r="L52" s="153">
        <f aca="true" t="shared" si="32" ref="L52:S52">L39+L55+L56</f>
        <v>35130644</v>
      </c>
      <c r="M52" s="153">
        <f t="shared" si="32"/>
        <v>261067270</v>
      </c>
      <c r="N52" s="153">
        <f t="shared" si="32"/>
        <v>246883107</v>
      </c>
      <c r="O52" s="153">
        <f t="shared" si="32"/>
        <v>132158390</v>
      </c>
      <c r="P52" s="153">
        <f t="shared" si="32"/>
        <v>206525750</v>
      </c>
      <c r="Q52" s="153">
        <f>Q39+Q55+Q56</f>
        <v>125200110</v>
      </c>
      <c r="R52" s="153">
        <f t="shared" si="32"/>
        <v>78389363</v>
      </c>
      <c r="S52" s="153">
        <f t="shared" si="32"/>
        <v>1448623444</v>
      </c>
      <c r="T52" s="113">
        <f t="shared" si="4"/>
        <v>-3033231</v>
      </c>
      <c r="U52" s="114">
        <f t="shared" si="5"/>
        <v>1868720</v>
      </c>
      <c r="V52" s="114">
        <f t="shared" si="6"/>
        <v>-3288984</v>
      </c>
      <c r="W52" s="114">
        <f t="shared" si="7"/>
        <v>5477812</v>
      </c>
      <c r="X52" s="114">
        <f t="shared" si="8"/>
        <v>2397658</v>
      </c>
      <c r="Y52" s="114">
        <f t="shared" si="9"/>
        <v>1940000</v>
      </c>
      <c r="Z52" s="114">
        <f t="shared" si="10"/>
        <v>1508417</v>
      </c>
      <c r="AA52" s="114">
        <f t="shared" si="11"/>
        <v>372914</v>
      </c>
      <c r="AB52" s="115">
        <f t="shared" si="12"/>
        <v>7243306</v>
      </c>
      <c r="AD52" s="57"/>
    </row>
    <row r="53" spans="2:28" ht="12.75">
      <c r="B53" s="121">
        <v>-7590268</v>
      </c>
      <c r="C53" s="121"/>
      <c r="D53" s="121">
        <v>-8122053</v>
      </c>
      <c r="E53" s="121">
        <v>-3258563</v>
      </c>
      <c r="F53" s="121">
        <v>-2332489</v>
      </c>
      <c r="G53" s="121">
        <v>-3044024</v>
      </c>
      <c r="H53" s="121">
        <v>-1725585</v>
      </c>
      <c r="I53" s="121">
        <v>-1057953</v>
      </c>
      <c r="J53" s="122">
        <v>-27130935</v>
      </c>
      <c r="K53" s="121">
        <v>-7590268</v>
      </c>
      <c r="L53" s="121"/>
      <c r="M53" s="121">
        <v>-8122053</v>
      </c>
      <c r="N53" s="121">
        <v>-3258563</v>
      </c>
      <c r="O53" s="121">
        <v>-2332489</v>
      </c>
      <c r="P53" s="121">
        <v>-3044024</v>
      </c>
      <c r="Q53" s="121">
        <v>-1725585</v>
      </c>
      <c r="R53" s="121">
        <v>-1057953</v>
      </c>
      <c r="S53" s="122">
        <v>-27130935</v>
      </c>
      <c r="T53" s="121">
        <v>-7590268</v>
      </c>
      <c r="U53" s="121"/>
      <c r="V53" s="121">
        <v>-8122053</v>
      </c>
      <c r="W53" s="121">
        <v>-3258563</v>
      </c>
      <c r="X53" s="121">
        <v>-2332489</v>
      </c>
      <c r="Y53" s="121">
        <v>-3044024</v>
      </c>
      <c r="Z53" s="121">
        <v>-1725585</v>
      </c>
      <c r="AA53" s="121">
        <v>-1057953</v>
      </c>
      <c r="AB53" s="122">
        <v>-27130935</v>
      </c>
    </row>
    <row r="54" spans="2:28" ht="12.75">
      <c r="B54" s="121"/>
      <c r="C54" s="121"/>
      <c r="D54" s="121"/>
      <c r="E54" s="121"/>
      <c r="F54" s="121"/>
      <c r="G54" s="121"/>
      <c r="H54" s="121"/>
      <c r="I54" s="121"/>
      <c r="J54" s="122">
        <v>17176159</v>
      </c>
      <c r="K54" s="121"/>
      <c r="L54" s="121"/>
      <c r="M54" s="121"/>
      <c r="N54" s="121"/>
      <c r="O54" s="121"/>
      <c r="P54" s="121"/>
      <c r="Q54" s="121"/>
      <c r="R54" s="121"/>
      <c r="S54" s="122">
        <v>17176159</v>
      </c>
      <c r="T54" s="121"/>
      <c r="U54" s="121"/>
      <c r="V54" s="121"/>
      <c r="W54" s="121"/>
      <c r="X54" s="121"/>
      <c r="Y54" s="121"/>
      <c r="Z54" s="121"/>
      <c r="AA54" s="121"/>
      <c r="AB54" s="122">
        <v>17176159</v>
      </c>
    </row>
    <row r="55" spans="1:28" ht="12.75">
      <c r="A55" s="77" t="s">
        <v>114</v>
      </c>
      <c r="B55" s="121">
        <f>36504234+499587</f>
        <v>37003821</v>
      </c>
      <c r="C55" s="121">
        <v>1209291</v>
      </c>
      <c r="D55" s="121">
        <v>19202147</v>
      </c>
      <c r="E55" s="121">
        <v>31489145</v>
      </c>
      <c r="F55" s="121">
        <v>23968158</v>
      </c>
      <c r="G55" s="121">
        <v>33606385</v>
      </c>
      <c r="H55" s="121">
        <v>18884782</v>
      </c>
      <c r="I55" s="121">
        <v>18053853</v>
      </c>
      <c r="J55" s="122">
        <f>SUM(B55:I55)</f>
        <v>183417582</v>
      </c>
      <c r="K55" s="121">
        <f>36504234+499587</f>
        <v>37003821</v>
      </c>
      <c r="L55" s="121">
        <v>1209291</v>
      </c>
      <c r="M55" s="121">
        <v>19202147</v>
      </c>
      <c r="N55" s="121">
        <v>31489145</v>
      </c>
      <c r="O55" s="121">
        <v>23968158</v>
      </c>
      <c r="P55" s="121">
        <v>33606385</v>
      </c>
      <c r="Q55" s="121">
        <v>18884782</v>
      </c>
      <c r="R55" s="121">
        <v>18053853</v>
      </c>
      <c r="S55" s="122">
        <f>SUM(K55:R55)</f>
        <v>183417582</v>
      </c>
      <c r="T55" s="121">
        <f>36504234+499587</f>
        <v>37003821</v>
      </c>
      <c r="U55" s="121">
        <v>1209291</v>
      </c>
      <c r="V55" s="121">
        <v>19202147</v>
      </c>
      <c r="W55" s="121">
        <v>31489145</v>
      </c>
      <c r="X55" s="121">
        <v>23968158</v>
      </c>
      <c r="Y55" s="121">
        <v>33606385</v>
      </c>
      <c r="Z55" s="121">
        <v>18884782</v>
      </c>
      <c r="AA55" s="121">
        <v>18053853</v>
      </c>
      <c r="AB55" s="122">
        <f>SUM(T55:AA55)</f>
        <v>183417582</v>
      </c>
    </row>
    <row r="56" spans="1:28" ht="12.75">
      <c r="A56" s="77" t="s">
        <v>115</v>
      </c>
      <c r="B56" s="121"/>
      <c r="C56" s="121"/>
      <c r="D56" s="121"/>
      <c r="E56" s="121"/>
      <c r="F56" s="121">
        <v>7636</v>
      </c>
      <c r="G56" s="121"/>
      <c r="H56" s="121">
        <v>15130</v>
      </c>
      <c r="I56" s="121">
        <v>15233</v>
      </c>
      <c r="J56" s="122">
        <f>SUM(B56:I56)</f>
        <v>37999</v>
      </c>
      <c r="K56" s="121"/>
      <c r="L56" s="121"/>
      <c r="M56" s="121"/>
      <c r="N56" s="121"/>
      <c r="O56" s="121">
        <v>7636</v>
      </c>
      <c r="P56" s="121"/>
      <c r="Q56" s="121">
        <v>15130</v>
      </c>
      <c r="R56" s="121">
        <v>15233</v>
      </c>
      <c r="S56" s="122">
        <f>SUM(K56:R56)</f>
        <v>37999</v>
      </c>
      <c r="T56" s="121"/>
      <c r="U56" s="121"/>
      <c r="V56" s="121"/>
      <c r="W56" s="121"/>
      <c r="X56" s="121">
        <v>7636</v>
      </c>
      <c r="Y56" s="121"/>
      <c r="Z56" s="121">
        <v>15130</v>
      </c>
      <c r="AA56" s="121">
        <v>15233</v>
      </c>
      <c r="AB56" s="122">
        <f>SUM(T56:AA56)</f>
        <v>37999</v>
      </c>
    </row>
    <row r="57" spans="1:28" ht="12.75">
      <c r="A57" s="19" t="s">
        <v>113</v>
      </c>
      <c r="B57" s="123">
        <f>B39+499587+36504234</f>
        <v>366302041</v>
      </c>
      <c r="C57" s="123">
        <f>C39+1209291</f>
        <v>33261924</v>
      </c>
      <c r="D57" s="123">
        <f>D39+19202147</f>
        <v>264356254</v>
      </c>
      <c r="E57" s="123">
        <f>E39+31489145</f>
        <v>241405295</v>
      </c>
      <c r="F57" s="123">
        <f>F39+23968158</f>
        <v>129760732</v>
      </c>
      <c r="G57" s="123">
        <f>G39+33606385</f>
        <v>204585750</v>
      </c>
      <c r="H57" s="123">
        <f>H39+18884782</f>
        <v>123691693</v>
      </c>
      <c r="I57" s="123">
        <f>I39+18053853</f>
        <v>78016449</v>
      </c>
      <c r="J57" s="123"/>
      <c r="K57" s="123">
        <f>K39+499587+36504234</f>
        <v>363268810</v>
      </c>
      <c r="L57" s="123">
        <f>L39+1209291</f>
        <v>35130644</v>
      </c>
      <c r="M57" s="123">
        <f>M39+19202147</f>
        <v>261067270</v>
      </c>
      <c r="N57" s="123">
        <f>N39+31489145</f>
        <v>246883107</v>
      </c>
      <c r="O57" s="123">
        <f>O39+23968158</f>
        <v>132150754</v>
      </c>
      <c r="P57" s="123">
        <f>P39+33606385</f>
        <v>206525750</v>
      </c>
      <c r="Q57" s="123">
        <f>Q39+18884782</f>
        <v>125184980</v>
      </c>
      <c r="R57" s="123">
        <f>R39+18053853</f>
        <v>78374130</v>
      </c>
      <c r="S57" s="123"/>
      <c r="T57" s="123">
        <f>T39+499587+36504234</f>
        <v>33970590</v>
      </c>
      <c r="U57" s="123">
        <f>U39+1209291</f>
        <v>3078011</v>
      </c>
      <c r="V57" s="123">
        <f>V39+19202147</f>
        <v>15913163</v>
      </c>
      <c r="W57" s="123">
        <f>W39+31489145</f>
        <v>36966957</v>
      </c>
      <c r="X57" s="123">
        <f>X39+23968158</f>
        <v>26358180</v>
      </c>
      <c r="Y57" s="123">
        <f>Y39+33606385</f>
        <v>35546385</v>
      </c>
      <c r="Z57" s="123">
        <f>Z39+18884782</f>
        <v>20378069</v>
      </c>
      <c r="AA57" s="123">
        <f>AA39+18053853</f>
        <v>18411534</v>
      </c>
      <c r="AB57" s="123"/>
    </row>
    <row r="58" spans="2:28" ht="12.75">
      <c r="B58" s="124"/>
      <c r="C58" s="125"/>
      <c r="E58" s="126"/>
      <c r="F58" s="126"/>
      <c r="G58" s="126"/>
      <c r="H58" s="126"/>
      <c r="I58" s="126"/>
      <c r="J58" s="126"/>
      <c r="K58" s="124"/>
      <c r="L58" s="125"/>
      <c r="N58" s="126"/>
      <c r="O58" s="126"/>
      <c r="P58" s="126"/>
      <c r="Q58" s="126"/>
      <c r="R58" s="126"/>
      <c r="S58" s="126"/>
      <c r="T58" s="124"/>
      <c r="U58" s="125"/>
      <c r="W58" s="126"/>
      <c r="X58" s="126"/>
      <c r="Y58" s="126"/>
      <c r="Z58" s="126"/>
      <c r="AA58" s="126"/>
      <c r="AB58" s="126"/>
    </row>
    <row r="59" spans="2:28" ht="12.75">
      <c r="B59" s="124"/>
      <c r="C59" s="124"/>
      <c r="D59" s="124"/>
      <c r="E59" s="124"/>
      <c r="F59" s="124"/>
      <c r="G59" s="124"/>
      <c r="H59" s="124"/>
      <c r="I59" s="124"/>
      <c r="J59" s="126"/>
      <c r="K59" s="124"/>
      <c r="L59" s="124"/>
      <c r="M59" s="124"/>
      <c r="N59" s="124"/>
      <c r="O59" s="124"/>
      <c r="P59" s="124"/>
      <c r="Q59" s="124"/>
      <c r="R59" s="124"/>
      <c r="S59" s="126"/>
      <c r="T59" s="124"/>
      <c r="U59" s="124"/>
      <c r="V59" s="124"/>
      <c r="W59" s="124"/>
      <c r="X59" s="124"/>
      <c r="Y59" s="124"/>
      <c r="Z59" s="124"/>
      <c r="AA59" s="124"/>
      <c r="AB59" s="126"/>
    </row>
    <row r="60" spans="2:28" ht="12.75">
      <c r="B60" s="122"/>
      <c r="C60" s="122"/>
      <c r="D60" s="122"/>
      <c r="E60" s="122"/>
      <c r="F60" s="122"/>
      <c r="G60" s="122"/>
      <c r="H60" s="122"/>
      <c r="I60" s="122"/>
      <c r="J60" s="122"/>
      <c r="K60" s="122"/>
      <c r="L60" s="122"/>
      <c r="M60" s="122"/>
      <c r="N60" s="122"/>
      <c r="O60" s="122"/>
      <c r="P60" s="122"/>
      <c r="Q60" s="122"/>
      <c r="R60" s="122"/>
      <c r="S60" s="122"/>
      <c r="T60" s="122"/>
      <c r="U60" s="122"/>
      <c r="V60" s="122"/>
      <c r="W60" s="122"/>
      <c r="X60" s="122"/>
      <c r="Y60" s="122"/>
      <c r="Z60" s="122"/>
      <c r="AA60" s="122"/>
      <c r="AB60" s="122"/>
    </row>
    <row r="61" spans="2:20" ht="12.75">
      <c r="B61" s="122" t="e">
        <f>B36-B39+B38-#REF!+B48</f>
        <v>#REF!</v>
      </c>
      <c r="K61" s="122" t="e">
        <f>K36-K39+K38-#REF!+K48</f>
        <v>#REF!</v>
      </c>
      <c r="T61" s="122" t="e">
        <f>T36-T39+T38-#REF!+T48</f>
        <v>#REF!</v>
      </c>
    </row>
    <row r="63" spans="2:28" ht="12.75">
      <c r="B63" s="122">
        <f>B37-B45+B16</f>
        <v>212452755</v>
      </c>
      <c r="C63" s="124">
        <f aca="true" t="shared" si="33" ref="C63:J63">C37+C16-C45</f>
        <v>12260664</v>
      </c>
      <c r="D63" s="124">
        <f t="shared" si="33"/>
        <v>170792060</v>
      </c>
      <c r="E63" s="124">
        <f t="shared" si="33"/>
        <v>165727299</v>
      </c>
      <c r="F63" s="124">
        <f t="shared" si="33"/>
        <v>66151505</v>
      </c>
      <c r="G63" s="124">
        <f t="shared" si="33"/>
        <v>79882717</v>
      </c>
      <c r="H63" s="124">
        <f t="shared" si="33"/>
        <v>37068757</v>
      </c>
      <c r="I63" s="124">
        <f t="shared" si="33"/>
        <v>21319738</v>
      </c>
      <c r="J63" s="124">
        <f t="shared" si="33"/>
        <v>765655495</v>
      </c>
      <c r="K63" s="122">
        <f>K37-K45+K16</f>
        <v>209930575</v>
      </c>
      <c r="L63" s="124">
        <f aca="true" t="shared" si="34" ref="L63:S63">L37+L16-L45</f>
        <v>10442053</v>
      </c>
      <c r="M63" s="124">
        <f t="shared" si="34"/>
        <v>166319231</v>
      </c>
      <c r="N63" s="124">
        <f t="shared" si="34"/>
        <v>157985470</v>
      </c>
      <c r="O63" s="124">
        <f t="shared" si="34"/>
        <v>61661804</v>
      </c>
      <c r="P63" s="124">
        <f t="shared" si="34"/>
        <v>75891764</v>
      </c>
      <c r="Q63" s="124">
        <f t="shared" si="34"/>
        <v>34051470</v>
      </c>
      <c r="R63" s="124">
        <f t="shared" si="34"/>
        <v>20236180</v>
      </c>
      <c r="S63" s="124">
        <f t="shared" si="34"/>
        <v>736518547</v>
      </c>
      <c r="T63" s="122">
        <f>T37-T45+T16</f>
        <v>-2522180</v>
      </c>
      <c r="U63" s="124">
        <f aca="true" t="shared" si="35" ref="U63:AB63">U37+U16-U45</f>
        <v>-1818611</v>
      </c>
      <c r="V63" s="124">
        <f t="shared" si="35"/>
        <v>-4472829</v>
      </c>
      <c r="W63" s="124">
        <f t="shared" si="35"/>
        <v>-7741829</v>
      </c>
      <c r="X63" s="124">
        <f t="shared" si="35"/>
        <v>-4489701</v>
      </c>
      <c r="Y63" s="124">
        <f t="shared" si="35"/>
        <v>-3990953</v>
      </c>
      <c r="Z63" s="124">
        <f t="shared" si="35"/>
        <v>-3017287</v>
      </c>
      <c r="AA63" s="124">
        <f t="shared" si="35"/>
        <v>-1083558</v>
      </c>
      <c r="AB63" s="124">
        <f t="shared" si="35"/>
        <v>-29136948</v>
      </c>
    </row>
    <row r="64" spans="2:20" ht="12.75">
      <c r="B64" s="122"/>
      <c r="K64" s="122"/>
      <c r="T64" s="122"/>
    </row>
    <row r="67" spans="11:19" ht="12.75">
      <c r="K67" s="122">
        <f aca="true" t="shared" si="36" ref="K67:S67">K15+K36-K39</f>
        <v>-16903596</v>
      </c>
      <c r="L67" s="122">
        <f t="shared" si="36"/>
        <v>-2362016</v>
      </c>
      <c r="M67" s="122">
        <f t="shared" si="36"/>
        <v>-14654534</v>
      </c>
      <c r="N67" s="122">
        <f t="shared" si="36"/>
        <v>0</v>
      </c>
      <c r="O67" s="122">
        <f t="shared" si="36"/>
        <v>-19235614</v>
      </c>
      <c r="P67" s="122">
        <f t="shared" si="36"/>
        <v>-53721771</v>
      </c>
      <c r="Q67" s="122">
        <f t="shared" si="36"/>
        <v>-42226296</v>
      </c>
      <c r="R67" s="122">
        <f t="shared" si="36"/>
        <v>-21276797</v>
      </c>
      <c r="S67" s="122">
        <f t="shared" si="36"/>
        <v>-170380624</v>
      </c>
    </row>
  </sheetData>
  <sheetProtection/>
  <mergeCells count="7">
    <mergeCell ref="A13:A14"/>
    <mergeCell ref="B13:J13"/>
    <mergeCell ref="K13:S13"/>
    <mergeCell ref="T13:AB13"/>
    <mergeCell ref="G7:J7"/>
    <mergeCell ref="G8:J8"/>
    <mergeCell ref="G9:J9"/>
  </mergeCells>
  <printOptions/>
  <pageMargins left="0.75" right="0.75" top="1" bottom="1" header="0.5" footer="0.5"/>
  <pageSetup horizontalDpi="600" verticalDpi="600" orientation="landscape" paperSize="9" scale="63" r:id="rId1"/>
  <colBreaks count="2" manualBreakCount="2">
    <brk id="10" max="65535" man="1"/>
    <brk id="19" max="65535" man="1"/>
  </colBreaks>
</worksheet>
</file>

<file path=xl/worksheets/sheet11.xml><?xml version="1.0" encoding="utf-8"?>
<worksheet xmlns="http://schemas.openxmlformats.org/spreadsheetml/2006/main" xmlns:r="http://schemas.openxmlformats.org/officeDocument/2006/relationships">
  <dimension ref="A1:I37"/>
  <sheetViews>
    <sheetView tabSelected="1" zoomScalePageLayoutView="0" workbookViewId="0" topLeftCell="A1">
      <pane xSplit="2" ySplit="9" topLeftCell="C10" activePane="bottomRight" state="frozen"/>
      <selection pane="topLeft" activeCell="A1" sqref="A1"/>
      <selection pane="topRight" activeCell="B1" sqref="B1"/>
      <selection pane="bottomLeft" activeCell="A10" sqref="A10"/>
      <selection pane="bottomRight" activeCell="C33" sqref="C33"/>
    </sheetView>
  </sheetViews>
  <sheetFormatPr defaultColWidth="9.00390625" defaultRowHeight="12.75"/>
  <cols>
    <col min="1" max="1" width="9.125" style="134" customWidth="1"/>
    <col min="2" max="2" width="61.375" style="134" customWidth="1"/>
    <col min="3" max="3" width="15.125" style="134" customWidth="1"/>
    <col min="4" max="4" width="15.875" style="134" customWidth="1"/>
    <col min="5" max="5" width="14.875" style="134" customWidth="1"/>
    <col min="6" max="6" width="20.125" style="134" customWidth="1"/>
    <col min="7" max="7" width="15.125" style="134" customWidth="1"/>
    <col min="8" max="8" width="14.375" style="134" customWidth="1"/>
    <col min="9" max="9" width="9.875" style="134" bestFit="1" customWidth="1"/>
    <col min="10" max="10" width="12.125" style="134" bestFit="1" customWidth="1"/>
    <col min="11" max="16384" width="9.125" style="134" customWidth="1"/>
  </cols>
  <sheetData>
    <row r="1" spans="2:4" ht="15.75">
      <c r="B1" s="171"/>
      <c r="C1" s="210"/>
      <c r="D1" s="210"/>
    </row>
    <row r="2" ht="12.75">
      <c r="D2" s="172" t="s">
        <v>48</v>
      </c>
    </row>
    <row r="3" ht="12.75">
      <c r="D3" s="173" t="s">
        <v>49</v>
      </c>
    </row>
    <row r="4" spans="2:4" ht="12.75">
      <c r="B4" s="168"/>
      <c r="C4" s="169"/>
      <c r="D4" s="173" t="s">
        <v>124</v>
      </c>
    </row>
    <row r="5" spans="2:4" s="185" customFormat="1" ht="18" customHeight="1">
      <c r="B5" s="185" t="s">
        <v>165</v>
      </c>
      <c r="C5" s="213"/>
      <c r="D5" s="213"/>
    </row>
    <row r="6" spans="2:4" s="170" customFormat="1" ht="15.75" customHeight="1" thickBot="1">
      <c r="B6" s="134"/>
      <c r="C6" s="138"/>
      <c r="D6" s="174" t="s">
        <v>52</v>
      </c>
    </row>
    <row r="7" spans="1:8" s="175" customFormat="1" ht="15.75">
      <c r="A7" s="190"/>
      <c r="B7" s="191"/>
      <c r="C7" s="211" t="s">
        <v>116</v>
      </c>
      <c r="D7" s="211"/>
      <c r="E7" s="211" t="s">
        <v>117</v>
      </c>
      <c r="F7" s="211"/>
      <c r="G7" s="211" t="s">
        <v>118</v>
      </c>
      <c r="H7" s="212"/>
    </row>
    <row r="8" spans="1:8" s="176" customFormat="1" ht="12.75" customHeight="1">
      <c r="A8" s="209" t="s">
        <v>157</v>
      </c>
      <c r="B8" s="214" t="s">
        <v>53</v>
      </c>
      <c r="C8" s="214" t="s">
        <v>36</v>
      </c>
      <c r="D8" s="214" t="s">
        <v>54</v>
      </c>
      <c r="E8" s="214" t="s">
        <v>36</v>
      </c>
      <c r="F8" s="214" t="s">
        <v>54</v>
      </c>
      <c r="G8" s="214" t="s">
        <v>36</v>
      </c>
      <c r="H8" s="215" t="s">
        <v>54</v>
      </c>
    </row>
    <row r="9" spans="1:8" s="176" customFormat="1" ht="27" customHeight="1">
      <c r="A9" s="209"/>
      <c r="B9" s="214"/>
      <c r="C9" s="214"/>
      <c r="D9" s="214"/>
      <c r="E9" s="214"/>
      <c r="F9" s="214"/>
      <c r="G9" s="214"/>
      <c r="H9" s="215"/>
    </row>
    <row r="10" spans="1:8" s="176" customFormat="1" ht="15.75">
      <c r="A10" s="192">
        <v>2</v>
      </c>
      <c r="B10" s="186" t="s">
        <v>88</v>
      </c>
      <c r="C10" s="55">
        <f>SUM(C11:C12)</f>
        <v>224834908</v>
      </c>
      <c r="D10" s="55">
        <v>1063588284</v>
      </c>
      <c r="E10" s="55">
        <f>SUM(E11:E12)</f>
        <v>225737608</v>
      </c>
      <c r="F10" s="55">
        <v>1064490984</v>
      </c>
      <c r="G10" s="55">
        <f aca="true" t="shared" si="0" ref="G10:G19">E10-C10</f>
        <v>902700</v>
      </c>
      <c r="H10" s="103">
        <f aca="true" t="shared" si="1" ref="H10:H19">F10-D10</f>
        <v>902700</v>
      </c>
    </row>
    <row r="11" spans="1:8" s="176" customFormat="1" ht="15.75">
      <c r="A11" s="192" t="s">
        <v>142</v>
      </c>
      <c r="B11" s="186" t="s">
        <v>159</v>
      </c>
      <c r="C11" s="55">
        <v>198362298</v>
      </c>
      <c r="D11" s="55">
        <v>904893884</v>
      </c>
      <c r="E11" s="55">
        <f>198362298</f>
        <v>198362298</v>
      </c>
      <c r="F11" s="55">
        <v>904893884</v>
      </c>
      <c r="G11" s="55">
        <f t="shared" si="0"/>
        <v>0</v>
      </c>
      <c r="H11" s="103">
        <f t="shared" si="1"/>
        <v>0</v>
      </c>
    </row>
    <row r="12" spans="1:8" s="176" customFormat="1" ht="15.75">
      <c r="A12" s="192" t="s">
        <v>143</v>
      </c>
      <c r="B12" s="186" t="s">
        <v>89</v>
      </c>
      <c r="C12" s="55">
        <f>25872610+600000</f>
        <v>26472610</v>
      </c>
      <c r="D12" s="55">
        <v>158694400</v>
      </c>
      <c r="E12" s="55">
        <f>25872610+600000+902700</f>
        <v>27375310</v>
      </c>
      <c r="F12" s="55">
        <v>159597100</v>
      </c>
      <c r="G12" s="55">
        <f t="shared" si="0"/>
        <v>902700</v>
      </c>
      <c r="H12" s="103">
        <f t="shared" si="1"/>
        <v>902700</v>
      </c>
    </row>
    <row r="13" spans="1:8" s="176" customFormat="1" ht="15.75">
      <c r="A13" s="194"/>
      <c r="B13" s="186"/>
      <c r="C13" s="55"/>
      <c r="D13" s="55"/>
      <c r="E13" s="55"/>
      <c r="F13" s="55"/>
      <c r="G13" s="55">
        <f t="shared" si="0"/>
        <v>0</v>
      </c>
      <c r="H13" s="103">
        <f t="shared" si="1"/>
        <v>0</v>
      </c>
    </row>
    <row r="14" spans="1:8" s="176" customFormat="1" ht="15.75">
      <c r="A14" s="192">
        <v>3</v>
      </c>
      <c r="B14" s="186" t="s">
        <v>133</v>
      </c>
      <c r="C14" s="55">
        <f>SUM(C19+C15)</f>
        <v>242517784</v>
      </c>
      <c r="D14" s="55">
        <v>1282141018</v>
      </c>
      <c r="E14" s="55">
        <f>SUM(E19+E15)</f>
        <v>247628479</v>
      </c>
      <c r="F14" s="55">
        <v>1287251713</v>
      </c>
      <c r="G14" s="55">
        <f t="shared" si="0"/>
        <v>5110695</v>
      </c>
      <c r="H14" s="103">
        <f t="shared" si="1"/>
        <v>5110695</v>
      </c>
    </row>
    <row r="15" spans="1:8" s="176" customFormat="1" ht="15.75">
      <c r="A15" s="192" t="s">
        <v>144</v>
      </c>
      <c r="B15" s="186" t="s">
        <v>160</v>
      </c>
      <c r="C15" s="55">
        <f>SUM(C16:C17)</f>
        <v>211212105</v>
      </c>
      <c r="D15" s="55">
        <v>1089758995</v>
      </c>
      <c r="E15" s="55">
        <f>SUM(E16:E18)</f>
        <v>214441443</v>
      </c>
      <c r="F15" s="55">
        <v>1092988333</v>
      </c>
      <c r="G15" s="55">
        <f t="shared" si="0"/>
        <v>3229338</v>
      </c>
      <c r="H15" s="103">
        <f t="shared" si="1"/>
        <v>3229338</v>
      </c>
    </row>
    <row r="16" spans="1:8" s="178" customFormat="1" ht="15.75">
      <c r="A16" s="193" t="s">
        <v>145</v>
      </c>
      <c r="B16" s="188" t="s">
        <v>161</v>
      </c>
      <c r="C16" s="66">
        <f>193452770+52661</f>
        <v>193505431</v>
      </c>
      <c r="D16" s="177">
        <v>1003289641</v>
      </c>
      <c r="E16" s="66">
        <f>193452770+52661</f>
        <v>193505431</v>
      </c>
      <c r="F16" s="177">
        <v>1003289641</v>
      </c>
      <c r="G16" s="66">
        <f t="shared" si="0"/>
        <v>0</v>
      </c>
      <c r="H16" s="103">
        <f t="shared" si="1"/>
        <v>0</v>
      </c>
    </row>
    <row r="17" spans="1:8" s="178" customFormat="1" ht="15.75">
      <c r="A17" s="193" t="s">
        <v>146</v>
      </c>
      <c r="B17" s="188" t="s">
        <v>162</v>
      </c>
      <c r="C17" s="66">
        <v>17706674</v>
      </c>
      <c r="D17" s="177">
        <v>86469354</v>
      </c>
      <c r="E17" s="66">
        <v>20936012</v>
      </c>
      <c r="F17" s="177">
        <v>89698692</v>
      </c>
      <c r="G17" s="66">
        <f t="shared" si="0"/>
        <v>3229338</v>
      </c>
      <c r="H17" s="103">
        <f t="shared" si="1"/>
        <v>3229338</v>
      </c>
    </row>
    <row r="18" spans="1:8" s="184" customFormat="1" ht="15.75">
      <c r="A18" s="195" t="s">
        <v>147</v>
      </c>
      <c r="B18" s="189" t="s">
        <v>163</v>
      </c>
      <c r="C18" s="181">
        <v>0</v>
      </c>
      <c r="D18" s="182">
        <v>0</v>
      </c>
      <c r="E18" s="181">
        <v>0</v>
      </c>
      <c r="F18" s="182">
        <f>SUM(E18:E18)</f>
        <v>0</v>
      </c>
      <c r="G18" s="181">
        <f t="shared" si="0"/>
        <v>0</v>
      </c>
      <c r="H18" s="183">
        <f t="shared" si="1"/>
        <v>0</v>
      </c>
    </row>
    <row r="19" spans="1:9" s="176" customFormat="1" ht="15.75">
      <c r="A19" s="192" t="s">
        <v>148</v>
      </c>
      <c r="B19" s="186" t="s">
        <v>164</v>
      </c>
      <c r="C19" s="55">
        <f>30705679+600000</f>
        <v>31305679</v>
      </c>
      <c r="D19" s="55">
        <v>193398559</v>
      </c>
      <c r="E19" s="55">
        <f>30705679+600000+978657+902700</f>
        <v>33187036</v>
      </c>
      <c r="F19" s="55">
        <v>195279916</v>
      </c>
      <c r="G19" s="55">
        <f t="shared" si="0"/>
        <v>1881357</v>
      </c>
      <c r="H19" s="103">
        <f t="shared" si="1"/>
        <v>1881357</v>
      </c>
      <c r="I19" s="180"/>
    </row>
    <row r="20" spans="1:8" s="176" customFormat="1" ht="12.75" customHeight="1">
      <c r="A20" s="194"/>
      <c r="B20" s="186"/>
      <c r="C20" s="55"/>
      <c r="D20" s="55"/>
      <c r="E20" s="55"/>
      <c r="F20" s="55"/>
      <c r="G20" s="55"/>
      <c r="H20" s="103"/>
    </row>
    <row r="21" spans="1:8" s="176" customFormat="1" ht="15.75">
      <c r="A21" s="192">
        <v>4</v>
      </c>
      <c r="B21" s="186" t="s">
        <v>79</v>
      </c>
      <c r="C21" s="55">
        <f>C14-C10</f>
        <v>17682876</v>
      </c>
      <c r="D21" s="55">
        <v>219569270</v>
      </c>
      <c r="E21" s="55">
        <f>E14-E10</f>
        <v>21890871</v>
      </c>
      <c r="F21" s="55">
        <v>223777265</v>
      </c>
      <c r="G21" s="55">
        <f>E21-C21</f>
        <v>4207995</v>
      </c>
      <c r="H21" s="103">
        <f>F21-D21</f>
        <v>4207995</v>
      </c>
    </row>
    <row r="22" spans="1:8" s="176" customFormat="1" ht="15.75">
      <c r="A22" s="194"/>
      <c r="B22" s="186"/>
      <c r="C22" s="55"/>
      <c r="D22" s="55"/>
      <c r="E22" s="55"/>
      <c r="F22" s="55"/>
      <c r="G22" s="55"/>
      <c r="H22" s="103"/>
    </row>
    <row r="23" spans="1:8" s="176" customFormat="1" ht="31.5">
      <c r="A23" s="192">
        <v>5</v>
      </c>
      <c r="B23" s="186" t="s">
        <v>153</v>
      </c>
      <c r="C23" s="55"/>
      <c r="D23" s="55"/>
      <c r="E23" s="55"/>
      <c r="F23" s="55"/>
      <c r="G23" s="55"/>
      <c r="H23" s="103"/>
    </row>
    <row r="24" spans="1:8" s="179" customFormat="1" ht="15.75">
      <c r="A24" s="194" t="s">
        <v>149</v>
      </c>
      <c r="B24" s="187" t="s">
        <v>154</v>
      </c>
      <c r="C24" s="63">
        <f>12749567</f>
        <v>12749567</v>
      </c>
      <c r="D24" s="55">
        <v>154624228</v>
      </c>
      <c r="E24" s="63">
        <f>12749567</f>
        <v>12749567</v>
      </c>
      <c r="F24" s="55">
        <v>154624228</v>
      </c>
      <c r="G24" s="63">
        <f>E24-C24</f>
        <v>0</v>
      </c>
      <c r="H24" s="103">
        <f>F24-D24</f>
        <v>0</v>
      </c>
    </row>
    <row r="25" spans="1:8" s="217" customFormat="1" ht="31.5">
      <c r="A25" s="216" t="s">
        <v>150</v>
      </c>
      <c r="B25" s="187" t="s">
        <v>158</v>
      </c>
      <c r="C25" s="63">
        <v>260000</v>
      </c>
      <c r="D25" s="55">
        <v>627919</v>
      </c>
      <c r="E25" s="63">
        <f>978657+260000</f>
        <v>1238657</v>
      </c>
      <c r="F25" s="55">
        <v>1606576</v>
      </c>
      <c r="G25" s="63">
        <f>E25-C25</f>
        <v>978657</v>
      </c>
      <c r="H25" s="103">
        <f>F25-D25</f>
        <v>978657</v>
      </c>
    </row>
    <row r="26" spans="1:8" s="179" customFormat="1" ht="15.75">
      <c r="A26" s="194"/>
      <c r="B26" s="187"/>
      <c r="C26" s="63"/>
      <c r="D26" s="55"/>
      <c r="E26" s="63"/>
      <c r="F26" s="55"/>
      <c r="G26" s="63"/>
      <c r="H26" s="103"/>
    </row>
    <row r="27" spans="1:8" s="176" customFormat="1" ht="15.75">
      <c r="A27" s="194">
        <v>6</v>
      </c>
      <c r="B27" s="186" t="s">
        <v>155</v>
      </c>
      <c r="C27" s="55">
        <f>271549189-5254287+600000+52661+3892300</f>
        <v>270839863</v>
      </c>
      <c r="D27" s="55">
        <v>1502077186</v>
      </c>
      <c r="E27" s="55">
        <f>E14+E28+E29</f>
        <v>275950558</v>
      </c>
      <c r="F27" s="55">
        <v>1507187881</v>
      </c>
      <c r="G27" s="55">
        <f aca="true" t="shared" si="2" ref="G27:H29">E27-C27</f>
        <v>5110695</v>
      </c>
      <c r="H27" s="103">
        <f t="shared" si="2"/>
        <v>5110695</v>
      </c>
    </row>
    <row r="28" spans="1:8" s="178" customFormat="1" ht="15.75">
      <c r="A28" s="193" t="s">
        <v>151</v>
      </c>
      <c r="B28" s="188" t="s">
        <v>156</v>
      </c>
      <c r="C28" s="66">
        <v>0</v>
      </c>
      <c r="D28" s="66">
        <f>SUM(C28:C28)</f>
        <v>0</v>
      </c>
      <c r="E28" s="66">
        <v>0</v>
      </c>
      <c r="F28" s="66">
        <f>SUM(E28:E28)</f>
        <v>0</v>
      </c>
      <c r="G28" s="66">
        <f t="shared" si="2"/>
        <v>0</v>
      </c>
      <c r="H28" s="103">
        <f t="shared" si="2"/>
        <v>0</v>
      </c>
    </row>
    <row r="29" spans="1:8" s="178" customFormat="1" ht="16.5" thickBot="1">
      <c r="A29" s="196" t="s">
        <v>152</v>
      </c>
      <c r="B29" s="197" t="s">
        <v>141</v>
      </c>
      <c r="C29" s="198">
        <v>28322079</v>
      </c>
      <c r="D29" s="198">
        <v>219720045</v>
      </c>
      <c r="E29" s="66">
        <v>28322079</v>
      </c>
      <c r="F29" s="198">
        <v>219720045</v>
      </c>
      <c r="G29" s="198">
        <f t="shared" si="2"/>
        <v>0</v>
      </c>
      <c r="H29" s="115">
        <f t="shared" si="2"/>
        <v>0</v>
      </c>
    </row>
    <row r="31" ht="12.75">
      <c r="F31" s="138"/>
    </row>
    <row r="33" spans="3:8" ht="12.75">
      <c r="C33" s="138"/>
      <c r="D33" s="138"/>
      <c r="E33" s="138"/>
      <c r="F33" s="138"/>
      <c r="G33" s="138"/>
      <c r="H33" s="138"/>
    </row>
    <row r="35" ht="12.75">
      <c r="F35" s="138"/>
    </row>
    <row r="37" ht="12.75">
      <c r="F37" s="138"/>
    </row>
  </sheetData>
  <sheetProtection/>
  <mergeCells count="13">
    <mergeCell ref="H8:H9"/>
    <mergeCell ref="F8:F9"/>
    <mergeCell ref="G8:G9"/>
    <mergeCell ref="A8:A9"/>
    <mergeCell ref="C1:D1"/>
    <mergeCell ref="G7:H7"/>
    <mergeCell ref="C5:D5"/>
    <mergeCell ref="C7:D7"/>
    <mergeCell ref="E7:F7"/>
    <mergeCell ref="B8:B9"/>
    <mergeCell ref="C8:C9"/>
    <mergeCell ref="D8:D9"/>
    <mergeCell ref="E8:E9"/>
  </mergeCells>
  <printOptions/>
  <pageMargins left="0.1968503937007874" right="0.15748031496062992" top="0.5118110236220472" bottom="0.3937007874015748" header="0" footer="0"/>
  <pageSetup firstPageNumber="125" useFirstPageNumber="1" horizontalDpi="600" verticalDpi="600" orientation="landscape" paperSize="9" scale="69" r:id="rId1"/>
  <headerFooter alignWithMargins="0">
    <oddHeader>&amp;C&amp;P</oddHeader>
  </headerFooter>
</worksheet>
</file>

<file path=xl/worksheets/sheet2.xml><?xml version="1.0" encoding="utf-8"?>
<worksheet xmlns="http://schemas.openxmlformats.org/spreadsheetml/2006/main" xmlns:r="http://schemas.openxmlformats.org/officeDocument/2006/relationships">
  <dimension ref="A1:O55"/>
  <sheetViews>
    <sheetView zoomScalePageLayoutView="0" workbookViewId="0" topLeftCell="A1">
      <pane xSplit="1" ySplit="4" topLeftCell="B5" activePane="bottomRight" state="frozen"/>
      <selection pane="topLeft" activeCell="A1" sqref="A1"/>
      <selection pane="topRight" activeCell="B1" sqref="B1"/>
      <selection pane="bottomLeft" activeCell="A14" sqref="A14"/>
      <selection pane="bottomRight" activeCell="J24" sqref="J24:J25"/>
    </sheetView>
  </sheetViews>
  <sheetFormatPr defaultColWidth="9.00390625" defaultRowHeight="12.75"/>
  <cols>
    <col min="1" max="1" width="58.00390625" style="40" customWidth="1"/>
    <col min="2" max="2" width="16.25390625" style="40" customWidth="1"/>
    <col min="3" max="3" width="13.375" style="40" customWidth="1"/>
    <col min="4" max="4" width="12.75390625" style="40" customWidth="1"/>
    <col min="5" max="5" width="12.25390625" style="40" customWidth="1"/>
    <col min="6" max="6" width="12.625" style="40" customWidth="1"/>
    <col min="7" max="7" width="12.375" style="40" customWidth="1"/>
    <col min="8" max="8" width="15.00390625" style="40" customWidth="1"/>
    <col min="9" max="9" width="12.125" style="40" customWidth="1"/>
    <col min="10" max="10" width="14.375" style="40" customWidth="1"/>
    <col min="11" max="11" width="9.125" style="40" customWidth="1"/>
    <col min="12" max="12" width="13.00390625" style="40" customWidth="1"/>
    <col min="13" max="14" width="9.125" style="40" customWidth="1"/>
    <col min="15" max="15" width="18.875" style="40" customWidth="1"/>
    <col min="16" max="16384" width="9.125" style="40" customWidth="1"/>
  </cols>
  <sheetData>
    <row r="1" spans="1:15" ht="13.5" customHeight="1">
      <c r="A1" s="37"/>
      <c r="B1" s="37"/>
      <c r="C1" s="37"/>
      <c r="D1" s="37"/>
      <c r="E1" s="37"/>
      <c r="F1" s="37"/>
      <c r="G1" s="37"/>
      <c r="H1" s="37"/>
      <c r="I1" s="37"/>
      <c r="J1" s="38"/>
      <c r="K1" s="39"/>
      <c r="L1" s="39"/>
      <c r="M1" s="39"/>
      <c r="N1" s="39"/>
      <c r="O1" s="39"/>
    </row>
    <row r="2" spans="1:10" ht="18.75">
      <c r="A2" s="202" t="s">
        <v>0</v>
      </c>
      <c r="B2" s="202"/>
      <c r="C2" s="202"/>
      <c r="D2" s="202"/>
      <c r="E2" s="202"/>
      <c r="F2" s="202"/>
      <c r="G2" s="202"/>
      <c r="H2" s="202"/>
      <c r="I2" s="202"/>
      <c r="J2" s="202"/>
    </row>
    <row r="3" spans="1:10" ht="16.5" thickBot="1">
      <c r="A3" s="43"/>
      <c r="B3" s="43"/>
      <c r="C3" s="43"/>
      <c r="D3" s="43"/>
      <c r="E3" s="43"/>
      <c r="F3" s="43"/>
      <c r="G3" s="43"/>
      <c r="H3" s="43"/>
      <c r="I3" s="43"/>
      <c r="J3" s="43" t="s">
        <v>52</v>
      </c>
    </row>
    <row r="4" spans="1:10" ht="34.5" customHeight="1" thickBot="1">
      <c r="A4" s="44" t="s">
        <v>53</v>
      </c>
      <c r="B4" s="45" t="s">
        <v>33</v>
      </c>
      <c r="C4" s="46" t="s">
        <v>34</v>
      </c>
      <c r="D4" s="46" t="s">
        <v>36</v>
      </c>
      <c r="E4" s="46" t="s">
        <v>39</v>
      </c>
      <c r="F4" s="46" t="s">
        <v>32</v>
      </c>
      <c r="G4" s="46" t="s">
        <v>30</v>
      </c>
      <c r="H4" s="46" t="s">
        <v>35</v>
      </c>
      <c r="I4" s="46" t="s">
        <v>38</v>
      </c>
      <c r="J4" s="47" t="s">
        <v>54</v>
      </c>
    </row>
    <row r="5" spans="1:10" ht="9" customHeight="1">
      <c r="A5" s="48"/>
      <c r="B5" s="49"/>
      <c r="C5" s="50"/>
      <c r="D5" s="51"/>
      <c r="E5" s="51"/>
      <c r="F5" s="51"/>
      <c r="G5" s="51"/>
      <c r="H5" s="51"/>
      <c r="I5" s="51"/>
      <c r="J5" s="52"/>
    </row>
    <row r="6" spans="1:13" s="56" customFormat="1" ht="20.25" customHeight="1" hidden="1">
      <c r="A6" s="53" t="s">
        <v>88</v>
      </c>
      <c r="B6" s="54">
        <v>302769499</v>
      </c>
      <c r="C6" s="54">
        <v>29640508</v>
      </c>
      <c r="D6" s="55">
        <v>222537280</v>
      </c>
      <c r="E6" s="55">
        <v>205663041</v>
      </c>
      <c r="F6" s="55">
        <v>83991661</v>
      </c>
      <c r="G6" s="55">
        <v>113220499</v>
      </c>
      <c r="H6" s="55">
        <v>60653445</v>
      </c>
      <c r="I6" s="55">
        <v>37295770</v>
      </c>
      <c r="J6" s="55">
        <f>SUM(B6:I6)</f>
        <v>1055771703</v>
      </c>
      <c r="M6" s="57"/>
    </row>
    <row r="7" spans="1:13" s="56" customFormat="1" ht="20.25" customHeight="1" hidden="1">
      <c r="A7" s="64" t="s">
        <v>89</v>
      </c>
      <c r="B7" s="70">
        <v>45158372</v>
      </c>
      <c r="C7" s="70">
        <v>8689922</v>
      </c>
      <c r="D7" s="71">
        <v>25872610</v>
      </c>
      <c r="E7" s="71">
        <v>19967871</v>
      </c>
      <c r="F7" s="71">
        <v>8920078</v>
      </c>
      <c r="G7" s="71">
        <v>1668891</v>
      </c>
      <c r="H7" s="71">
        <v>11792344</v>
      </c>
      <c r="I7" s="71">
        <v>7988016</v>
      </c>
      <c r="J7" s="71">
        <f>SUM(B7:I7)</f>
        <v>130058104</v>
      </c>
      <c r="M7" s="57"/>
    </row>
    <row r="8" spans="1:10" ht="27" customHeight="1" hidden="1">
      <c r="A8" s="58" t="s">
        <v>90</v>
      </c>
      <c r="B8" s="54">
        <f>B6-B7</f>
        <v>257611127</v>
      </c>
      <c r="C8" s="54">
        <f aca="true" t="shared" si="0" ref="C8:J8">C6-C7</f>
        <v>20950586</v>
      </c>
      <c r="D8" s="54">
        <f t="shared" si="0"/>
        <v>196664670</v>
      </c>
      <c r="E8" s="54">
        <f t="shared" si="0"/>
        <v>185695170</v>
      </c>
      <c r="F8" s="54">
        <f t="shared" si="0"/>
        <v>75071583</v>
      </c>
      <c r="G8" s="54">
        <f t="shared" si="0"/>
        <v>111551608</v>
      </c>
      <c r="H8" s="54">
        <f t="shared" si="0"/>
        <v>48861101</v>
      </c>
      <c r="I8" s="54">
        <f t="shared" si="0"/>
        <v>29307754</v>
      </c>
      <c r="J8" s="54">
        <f t="shared" si="0"/>
        <v>925713599</v>
      </c>
    </row>
    <row r="9" spans="1:10" s="56" customFormat="1" ht="15.75" hidden="1">
      <c r="A9" s="53" t="s">
        <v>91</v>
      </c>
      <c r="B9" s="54">
        <v>26528721</v>
      </c>
      <c r="C9" s="54">
        <v>2412125</v>
      </c>
      <c r="D9" s="55">
        <v>22616827</v>
      </c>
      <c r="E9" s="55">
        <v>4253109</v>
      </c>
      <c r="F9" s="55">
        <v>21800913</v>
      </c>
      <c r="G9" s="55">
        <v>57758866</v>
      </c>
      <c r="H9" s="55">
        <v>44153466</v>
      </c>
      <c r="I9" s="55">
        <v>22666826</v>
      </c>
      <c r="J9" s="55">
        <f>SUM(B9:I9)</f>
        <v>202190853</v>
      </c>
    </row>
    <row r="10" spans="1:10" s="56" customFormat="1" ht="15.75" hidden="1">
      <c r="A10" s="59"/>
      <c r="B10" s="54"/>
      <c r="C10" s="54"/>
      <c r="D10" s="55"/>
      <c r="E10" s="55"/>
      <c r="F10" s="55"/>
      <c r="G10" s="55"/>
      <c r="H10" s="55"/>
      <c r="I10" s="55"/>
      <c r="J10" s="55"/>
    </row>
    <row r="11" spans="1:10" ht="20.25" customHeight="1" hidden="1">
      <c r="A11" s="72" t="s">
        <v>92</v>
      </c>
      <c r="B11" s="54">
        <f>B12+B13</f>
        <v>329298220</v>
      </c>
      <c r="C11" s="54">
        <f aca="true" t="shared" si="1" ref="C11:I11">C12+C13</f>
        <v>32052634</v>
      </c>
      <c r="D11" s="54">
        <f t="shared" si="1"/>
        <v>245154107</v>
      </c>
      <c r="E11" s="54">
        <f t="shared" si="1"/>
        <v>209916150</v>
      </c>
      <c r="F11" s="54">
        <f t="shared" si="1"/>
        <v>105792574</v>
      </c>
      <c r="G11" s="54">
        <f t="shared" si="1"/>
        <v>170979365</v>
      </c>
      <c r="H11" s="54">
        <f t="shared" si="1"/>
        <v>104806911</v>
      </c>
      <c r="I11" s="54">
        <f t="shared" si="1"/>
        <v>59962595</v>
      </c>
      <c r="J11" s="54">
        <f>J12+J13</f>
        <v>1257962556</v>
      </c>
    </row>
    <row r="12" spans="1:10" s="56" customFormat="1" ht="20.25" customHeight="1" hidden="1">
      <c r="A12" s="73" t="s">
        <v>93</v>
      </c>
      <c r="B12" s="54">
        <v>284139848</v>
      </c>
      <c r="C12" s="54">
        <v>23362712</v>
      </c>
      <c r="D12" s="55">
        <v>219281497</v>
      </c>
      <c r="E12" s="55">
        <v>189948279</v>
      </c>
      <c r="F12" s="55">
        <v>96872496</v>
      </c>
      <c r="G12" s="55">
        <v>154310474</v>
      </c>
      <c r="H12" s="55">
        <v>93014567</v>
      </c>
      <c r="I12" s="55">
        <v>51974579</v>
      </c>
      <c r="J12" s="55">
        <f>SUM(B12:I12)</f>
        <v>1112904452</v>
      </c>
    </row>
    <row r="13" spans="1:10" s="77" customFormat="1" ht="15.75" hidden="1">
      <c r="A13" s="74" t="s">
        <v>94</v>
      </c>
      <c r="B13" s="62">
        <v>45158372</v>
      </c>
      <c r="C13" s="62">
        <v>8689922</v>
      </c>
      <c r="D13" s="63">
        <v>25872610</v>
      </c>
      <c r="E13" s="63">
        <v>19967871</v>
      </c>
      <c r="F13" s="63">
        <v>8920078</v>
      </c>
      <c r="G13" s="63">
        <v>16668891</v>
      </c>
      <c r="H13" s="63">
        <v>11792344</v>
      </c>
      <c r="I13" s="63">
        <v>7988016</v>
      </c>
      <c r="J13" s="55">
        <f aca="true" t="shared" si="2" ref="J13:J18">SUM(B13:I13)</f>
        <v>145058104</v>
      </c>
    </row>
    <row r="14" spans="1:10" ht="15.75" hidden="1">
      <c r="A14" s="73" t="s">
        <v>95</v>
      </c>
      <c r="B14" s="62">
        <v>259967988</v>
      </c>
      <c r="C14" s="62">
        <v>21267653</v>
      </c>
      <c r="D14" s="63">
        <v>200339754</v>
      </c>
      <c r="E14" s="63">
        <v>171378762</v>
      </c>
      <c r="F14" s="63">
        <v>89365338</v>
      </c>
      <c r="G14" s="63">
        <v>144655313</v>
      </c>
      <c r="H14" s="63">
        <v>88128457</v>
      </c>
      <c r="I14" s="63">
        <v>49043804</v>
      </c>
      <c r="J14" s="55">
        <f t="shared" si="2"/>
        <v>1024147069</v>
      </c>
    </row>
    <row r="15" spans="1:10" ht="15.75" hidden="1">
      <c r="A15" s="73" t="s">
        <v>96</v>
      </c>
      <c r="B15" s="62">
        <v>0.9149</v>
      </c>
      <c r="C15" s="62">
        <v>0.9103</v>
      </c>
      <c r="D15" s="63">
        <v>0.9136</v>
      </c>
      <c r="E15" s="63">
        <v>0.9022</v>
      </c>
      <c r="F15" s="63">
        <v>0.9225</v>
      </c>
      <c r="G15" s="63">
        <v>0.9374</v>
      </c>
      <c r="H15" s="63">
        <v>0.9475</v>
      </c>
      <c r="I15" s="63">
        <v>0.9436</v>
      </c>
      <c r="J15" s="55">
        <f t="shared" si="2"/>
        <v>7.392</v>
      </c>
    </row>
    <row r="16" spans="1:10" ht="60" hidden="1">
      <c r="A16" s="75" t="s">
        <v>97</v>
      </c>
      <c r="B16" s="62">
        <v>242928598</v>
      </c>
      <c r="C16" s="62">
        <v>19038461</v>
      </c>
      <c r="D16" s="63">
        <v>189770037</v>
      </c>
      <c r="E16" s="63">
        <v>161282331</v>
      </c>
      <c r="F16" s="63">
        <v>84657042</v>
      </c>
      <c r="G16" s="63">
        <v>133807845</v>
      </c>
      <c r="H16" s="63">
        <v>82051311</v>
      </c>
      <c r="I16" s="63">
        <v>46793532</v>
      </c>
      <c r="J16" s="55">
        <f t="shared" si="2"/>
        <v>960329157</v>
      </c>
    </row>
    <row r="17" spans="1:10" ht="15.75" hidden="1">
      <c r="A17" s="73" t="s">
        <v>98</v>
      </c>
      <c r="B17" s="62">
        <v>17039390</v>
      </c>
      <c r="C17" s="62">
        <v>2229192</v>
      </c>
      <c r="D17" s="63">
        <v>10569717</v>
      </c>
      <c r="E17" s="63">
        <v>10096431</v>
      </c>
      <c r="F17" s="63">
        <v>4708296</v>
      </c>
      <c r="G17" s="63">
        <v>10847468</v>
      </c>
      <c r="H17" s="63">
        <v>6077146</v>
      </c>
      <c r="I17" s="63">
        <v>2250272</v>
      </c>
      <c r="J17" s="55">
        <f t="shared" si="2"/>
        <v>63817912</v>
      </c>
    </row>
    <row r="18" spans="1:10" ht="17.25" customHeight="1" hidden="1">
      <c r="A18" s="73" t="s">
        <v>99</v>
      </c>
      <c r="B18" s="62">
        <v>24171860</v>
      </c>
      <c r="C18" s="62">
        <v>2095059</v>
      </c>
      <c r="D18" s="63">
        <v>18941743</v>
      </c>
      <c r="E18" s="63">
        <v>18569517</v>
      </c>
      <c r="F18" s="63">
        <v>7507158</v>
      </c>
      <c r="G18" s="63">
        <v>9655161</v>
      </c>
      <c r="H18" s="63">
        <v>4886110</v>
      </c>
      <c r="I18" s="63">
        <v>2930775</v>
      </c>
      <c r="J18" s="55">
        <f t="shared" si="2"/>
        <v>88757383</v>
      </c>
    </row>
    <row r="19" spans="1:10" ht="17.25" customHeight="1" hidden="1">
      <c r="A19" s="76"/>
      <c r="B19" s="62"/>
      <c r="C19" s="62"/>
      <c r="D19" s="63"/>
      <c r="E19" s="63"/>
      <c r="F19" s="63"/>
      <c r="G19" s="63"/>
      <c r="H19" s="63"/>
      <c r="I19" s="63"/>
      <c r="J19" s="55"/>
    </row>
    <row r="20" spans="1:10" s="79" customFormat="1" ht="17.25" customHeight="1">
      <c r="A20" s="78" t="s">
        <v>100</v>
      </c>
      <c r="B20" s="54">
        <f>SUM(B21:B24)</f>
        <v>257906</v>
      </c>
      <c r="C20" s="54">
        <f aca="true" t="shared" si="3" ref="C20:J20">SUM(C21:C24)</f>
        <v>76736</v>
      </c>
      <c r="D20" s="54">
        <f t="shared" si="3"/>
        <v>1212958</v>
      </c>
      <c r="E20" s="54">
        <f t="shared" si="3"/>
        <v>1582</v>
      </c>
      <c r="F20" s="54">
        <f t="shared" si="3"/>
        <v>903802</v>
      </c>
      <c r="G20" s="54">
        <f t="shared" si="3"/>
        <v>1357354</v>
      </c>
      <c r="H20" s="54">
        <f t="shared" si="3"/>
        <v>157151</v>
      </c>
      <c r="I20" s="54">
        <f t="shared" si="3"/>
        <v>143698</v>
      </c>
      <c r="J20" s="54">
        <f t="shared" si="3"/>
        <v>4111187</v>
      </c>
    </row>
    <row r="21" spans="1:10" ht="15.75">
      <c r="A21" s="61" t="s">
        <v>81</v>
      </c>
      <c r="B21" s="62">
        <f aca="true" t="shared" si="4" ref="B21:G21">SUM(B22:B24)</f>
        <v>128953</v>
      </c>
      <c r="C21" s="62">
        <f t="shared" si="4"/>
        <v>38368</v>
      </c>
      <c r="D21" s="62">
        <f t="shared" si="4"/>
        <v>606479</v>
      </c>
      <c r="E21" s="62">
        <f t="shared" si="4"/>
        <v>791</v>
      </c>
      <c r="F21" s="62">
        <f t="shared" si="4"/>
        <v>451901</v>
      </c>
      <c r="G21" s="62">
        <f t="shared" si="4"/>
        <v>678677</v>
      </c>
      <c r="H21" s="62">
        <f>SUM(H22:H25)</f>
        <v>79438</v>
      </c>
      <c r="I21" s="62">
        <f>SUM(I22:I25)</f>
        <v>71849</v>
      </c>
      <c r="J21" s="62">
        <f>SUM(J22:J25)</f>
        <v>2056456</v>
      </c>
    </row>
    <row r="22" spans="1:10" ht="31.5">
      <c r="A22" s="61" t="s">
        <v>61</v>
      </c>
      <c r="B22" s="62">
        <v>0</v>
      </c>
      <c r="C22" s="62">
        <v>0</v>
      </c>
      <c r="D22" s="63">
        <v>0</v>
      </c>
      <c r="E22" s="63">
        <v>791</v>
      </c>
      <c r="F22" s="63"/>
      <c r="G22" s="63">
        <v>672694</v>
      </c>
      <c r="H22" s="63">
        <v>70531</v>
      </c>
      <c r="I22" s="63">
        <v>328</v>
      </c>
      <c r="J22" s="63">
        <f>SUM(B22:I22)</f>
        <v>744344</v>
      </c>
    </row>
    <row r="23" spans="1:10" ht="31.5">
      <c r="A23" s="61" t="s">
        <v>62</v>
      </c>
      <c r="B23" s="62">
        <v>156</v>
      </c>
      <c r="C23" s="62">
        <v>20390</v>
      </c>
      <c r="D23" s="63">
        <v>163664</v>
      </c>
      <c r="E23" s="63">
        <v>0</v>
      </c>
      <c r="F23" s="63">
        <v>425169</v>
      </c>
      <c r="G23" s="63">
        <v>5970</v>
      </c>
      <c r="H23" s="63">
        <f>7182</f>
        <v>7182</v>
      </c>
      <c r="I23" s="63"/>
      <c r="J23" s="63">
        <f>SUM(B23:I23)</f>
        <v>622531</v>
      </c>
    </row>
    <row r="24" spans="1:10" ht="15.75">
      <c r="A24" s="61" t="s">
        <v>64</v>
      </c>
      <c r="B24" s="62">
        <v>128797</v>
      </c>
      <c r="C24" s="62">
        <v>17978</v>
      </c>
      <c r="D24" s="63">
        <v>442815</v>
      </c>
      <c r="E24" s="63"/>
      <c r="F24" s="63">
        <v>26732</v>
      </c>
      <c r="G24" s="63">
        <v>13</v>
      </c>
      <c r="H24" s="63">
        <v>0</v>
      </c>
      <c r="I24" s="63">
        <v>71521</v>
      </c>
      <c r="J24" s="63">
        <f>SUM(B24:I24)</f>
        <v>687856</v>
      </c>
    </row>
    <row r="25" spans="1:10" ht="34.5" customHeight="1">
      <c r="A25" s="61" t="s">
        <v>125</v>
      </c>
      <c r="B25" s="54"/>
      <c r="C25" s="54"/>
      <c r="D25" s="55"/>
      <c r="E25" s="55"/>
      <c r="F25" s="55"/>
      <c r="G25" s="55"/>
      <c r="H25" s="63">
        <v>1725</v>
      </c>
      <c r="I25" s="55"/>
      <c r="J25" s="63">
        <f>SUM(B25:I25)</f>
        <v>1725</v>
      </c>
    </row>
    <row r="26" spans="1:10" ht="21" customHeight="1">
      <c r="A26" s="58" t="s">
        <v>86</v>
      </c>
      <c r="B26" s="54"/>
      <c r="C26" s="54"/>
      <c r="D26" s="55"/>
      <c r="E26" s="55"/>
      <c r="F26" s="55"/>
      <c r="G26" s="55"/>
      <c r="H26" s="55"/>
      <c r="I26" s="55"/>
      <c r="J26" s="55"/>
    </row>
    <row r="27" spans="1:10" s="56" customFormat="1" ht="15.75">
      <c r="A27" s="53" t="s">
        <v>67</v>
      </c>
      <c r="B27" s="54">
        <f>B28+B29</f>
        <v>4311978</v>
      </c>
      <c r="C27" s="54">
        <f aca="true" t="shared" si="5" ref="C27:J27">C28+C29</f>
        <v>915972</v>
      </c>
      <c r="D27" s="54">
        <f t="shared" si="5"/>
        <v>2411256</v>
      </c>
      <c r="E27" s="54">
        <f t="shared" si="5"/>
        <v>18787533</v>
      </c>
      <c r="F27" s="54">
        <f t="shared" si="5"/>
        <v>2882720</v>
      </c>
      <c r="G27" s="54">
        <f t="shared" si="5"/>
        <v>3663740</v>
      </c>
      <c r="H27" s="54">
        <f t="shared" si="5"/>
        <v>2236230</v>
      </c>
      <c r="I27" s="54">
        <f t="shared" si="5"/>
        <v>1229950</v>
      </c>
      <c r="J27" s="54">
        <f t="shared" si="5"/>
        <v>36439379</v>
      </c>
    </row>
    <row r="28" spans="1:10" ht="15.75" customHeight="1">
      <c r="A28" s="58" t="s">
        <v>82</v>
      </c>
      <c r="B28" s="7">
        <v>2034857</v>
      </c>
      <c r="C28" s="7">
        <v>50109</v>
      </c>
      <c r="D28" s="7">
        <v>100240</v>
      </c>
      <c r="E28" s="55">
        <v>13231411</v>
      </c>
      <c r="F28" s="55">
        <v>232810</v>
      </c>
      <c r="G28" s="55">
        <v>993071</v>
      </c>
      <c r="H28" s="55">
        <v>201585</v>
      </c>
      <c r="I28" s="55">
        <v>332076</v>
      </c>
      <c r="J28" s="55">
        <f>SUM(B28:I28)</f>
        <v>17176159</v>
      </c>
    </row>
    <row r="29" spans="1:10" ht="15.75">
      <c r="A29" s="58" t="s">
        <v>84</v>
      </c>
      <c r="B29" s="62">
        <f>SUM(B30:B39)</f>
        <v>2277121</v>
      </c>
      <c r="C29" s="62">
        <f>SUM(C30:C39)</f>
        <v>865863</v>
      </c>
      <c r="D29" s="62">
        <f>SUM(D30:D40)</f>
        <v>2311016</v>
      </c>
      <c r="E29" s="62">
        <f aca="true" t="shared" si="6" ref="E29:J29">SUM(E30:E40)</f>
        <v>5556122</v>
      </c>
      <c r="F29" s="62">
        <f t="shared" si="6"/>
        <v>2649910</v>
      </c>
      <c r="G29" s="62">
        <f t="shared" si="6"/>
        <v>2670669</v>
      </c>
      <c r="H29" s="62">
        <f t="shared" si="6"/>
        <v>2034645</v>
      </c>
      <c r="I29" s="62">
        <f t="shared" si="6"/>
        <v>897874</v>
      </c>
      <c r="J29" s="62">
        <f t="shared" si="6"/>
        <v>19263220</v>
      </c>
    </row>
    <row r="30" spans="1:10" ht="15.75">
      <c r="A30" s="61" t="s">
        <v>5</v>
      </c>
      <c r="B30" s="62"/>
      <c r="C30" s="62"/>
      <c r="D30" s="63"/>
      <c r="E30" s="63"/>
      <c r="F30" s="63"/>
      <c r="G30" s="63"/>
      <c r="H30" s="63"/>
      <c r="I30" s="63"/>
      <c r="J30" s="63"/>
    </row>
    <row r="31" spans="1:10" s="56" customFormat="1" ht="15">
      <c r="A31" s="64" t="s">
        <v>70</v>
      </c>
      <c r="B31" s="65">
        <v>8929</v>
      </c>
      <c r="C31" s="65"/>
      <c r="D31" s="66"/>
      <c r="E31" s="66">
        <v>380224</v>
      </c>
      <c r="F31" s="66">
        <v>280809</v>
      </c>
      <c r="G31" s="66">
        <v>625459</v>
      </c>
      <c r="H31" s="66">
        <v>194956</v>
      </c>
      <c r="I31" s="66">
        <v>452263</v>
      </c>
      <c r="J31" s="66">
        <f aca="true" t="shared" si="7" ref="J31:J42">SUM(B31:I31)</f>
        <v>1942640</v>
      </c>
    </row>
    <row r="32" spans="1:10" s="56" customFormat="1" ht="30">
      <c r="A32" s="64" t="s">
        <v>71</v>
      </c>
      <c r="B32" s="65">
        <v>13045</v>
      </c>
      <c r="C32" s="65"/>
      <c r="D32" s="66">
        <v>1</v>
      </c>
      <c r="E32" s="66">
        <v>799383</v>
      </c>
      <c r="F32" s="66">
        <v>72072</v>
      </c>
      <c r="G32" s="66">
        <v>40404</v>
      </c>
      <c r="H32" s="66">
        <v>240868</v>
      </c>
      <c r="I32" s="66">
        <v>151851</v>
      </c>
      <c r="J32" s="66">
        <f t="shared" si="7"/>
        <v>1317624</v>
      </c>
    </row>
    <row r="33" spans="1:10" s="56" customFormat="1" ht="30" customHeight="1">
      <c r="A33" s="64" t="s">
        <v>72</v>
      </c>
      <c r="B33" s="65">
        <v>1573893</v>
      </c>
      <c r="C33" s="65">
        <v>751479</v>
      </c>
      <c r="D33" s="66">
        <v>2171212</v>
      </c>
      <c r="E33" s="66">
        <v>3380450</v>
      </c>
      <c r="F33" s="66">
        <v>686261</v>
      </c>
      <c r="G33" s="66">
        <v>653213</v>
      </c>
      <c r="H33" s="66">
        <v>102978</v>
      </c>
      <c r="I33" s="66">
        <v>73959</v>
      </c>
      <c r="J33" s="66">
        <f t="shared" si="7"/>
        <v>9393445</v>
      </c>
    </row>
    <row r="34" spans="1:15" s="56" customFormat="1" ht="16.5">
      <c r="A34" s="64" t="s">
        <v>16</v>
      </c>
      <c r="B34" s="65"/>
      <c r="C34" s="65"/>
      <c r="D34" s="66">
        <v>2748</v>
      </c>
      <c r="E34" s="66"/>
      <c r="F34" s="66">
        <v>8031</v>
      </c>
      <c r="G34" s="66">
        <v>10770</v>
      </c>
      <c r="H34" s="66">
        <v>4406</v>
      </c>
      <c r="I34" s="66">
        <v>23538</v>
      </c>
      <c r="J34" s="66">
        <f t="shared" si="7"/>
        <v>49493</v>
      </c>
      <c r="N34" s="84" t="s">
        <v>104</v>
      </c>
      <c r="O34" s="85">
        <v>24171860</v>
      </c>
    </row>
    <row r="35" spans="1:15" s="56" customFormat="1" ht="16.5">
      <c r="A35" s="64" t="s">
        <v>73</v>
      </c>
      <c r="B35" s="65">
        <v>573130</v>
      </c>
      <c r="C35" s="65">
        <v>114384</v>
      </c>
      <c r="D35" s="66"/>
      <c r="E35" s="66"/>
      <c r="F35" s="66">
        <v>1507713</v>
      </c>
      <c r="G35" s="66"/>
      <c r="H35" s="66"/>
      <c r="I35" s="66"/>
      <c r="J35" s="66">
        <f t="shared" si="7"/>
        <v>2195227</v>
      </c>
      <c r="N35" s="84" t="s">
        <v>105</v>
      </c>
      <c r="O35" s="85">
        <v>2095059</v>
      </c>
    </row>
    <row r="36" spans="1:15" s="56" customFormat="1" ht="32.25" customHeight="1">
      <c r="A36" s="64" t="s">
        <v>74</v>
      </c>
      <c r="B36" s="65">
        <v>34999</v>
      </c>
      <c r="C36" s="65"/>
      <c r="D36" s="66"/>
      <c r="E36" s="66">
        <v>541915</v>
      </c>
      <c r="F36" s="66"/>
      <c r="G36" s="66">
        <v>1010582</v>
      </c>
      <c r="H36" s="66">
        <v>1432846</v>
      </c>
      <c r="I36" s="66">
        <v>24975</v>
      </c>
      <c r="J36" s="66">
        <f t="shared" si="7"/>
        <v>3045317</v>
      </c>
      <c r="N36" s="84" t="s">
        <v>106</v>
      </c>
      <c r="O36" s="85">
        <v>18941743</v>
      </c>
    </row>
    <row r="37" spans="1:15" s="56" customFormat="1" ht="45">
      <c r="A37" s="64" t="s">
        <v>75</v>
      </c>
      <c r="B37" s="65"/>
      <c r="C37" s="65"/>
      <c r="D37" s="66"/>
      <c r="E37" s="66">
        <v>382980</v>
      </c>
      <c r="F37" s="66"/>
      <c r="G37" s="66">
        <v>226136</v>
      </c>
      <c r="H37" s="66">
        <v>44509</v>
      </c>
      <c r="I37" s="66">
        <v>28583</v>
      </c>
      <c r="J37" s="66">
        <f t="shared" si="7"/>
        <v>682208</v>
      </c>
      <c r="N37" s="84" t="s">
        <v>107</v>
      </c>
      <c r="O37" s="85">
        <v>4253109</v>
      </c>
    </row>
    <row r="38" spans="1:15" s="56" customFormat="1" ht="45">
      <c r="A38" s="64" t="s">
        <v>76</v>
      </c>
      <c r="B38" s="65">
        <v>73125</v>
      </c>
      <c r="C38" s="65"/>
      <c r="D38" s="66">
        <v>137054</v>
      </c>
      <c r="E38" s="66">
        <v>70735</v>
      </c>
      <c r="F38" s="66">
        <v>95024</v>
      </c>
      <c r="G38" s="66">
        <v>104105</v>
      </c>
      <c r="H38" s="66">
        <v>14082</v>
      </c>
      <c r="I38" s="66">
        <v>142705</v>
      </c>
      <c r="J38" s="66">
        <f t="shared" si="7"/>
        <v>636830</v>
      </c>
      <c r="N38" s="84" t="s">
        <v>108</v>
      </c>
      <c r="O38" s="85">
        <v>7507158</v>
      </c>
    </row>
    <row r="39" spans="1:15" s="56" customFormat="1" ht="60">
      <c r="A39" s="64" t="s">
        <v>85</v>
      </c>
      <c r="B39" s="65"/>
      <c r="C39" s="65"/>
      <c r="D39" s="66"/>
      <c r="E39" s="66">
        <v>435</v>
      </c>
      <c r="F39" s="66"/>
      <c r="G39" s="66"/>
      <c r="H39" s="66"/>
      <c r="I39" s="66"/>
      <c r="J39" s="66">
        <f t="shared" si="7"/>
        <v>435</v>
      </c>
      <c r="N39" s="84" t="s">
        <v>109</v>
      </c>
      <c r="O39" s="85">
        <v>9655161</v>
      </c>
    </row>
    <row r="40" spans="1:15" s="56" customFormat="1" ht="16.5">
      <c r="A40" s="64" t="s">
        <v>87</v>
      </c>
      <c r="B40" s="65"/>
      <c r="C40" s="65"/>
      <c r="D40" s="66">
        <v>1</v>
      </c>
      <c r="E40" s="66"/>
      <c r="F40" s="66"/>
      <c r="G40" s="66"/>
      <c r="H40" s="66"/>
      <c r="I40" s="66"/>
      <c r="J40" s="66">
        <f t="shared" si="7"/>
        <v>1</v>
      </c>
      <c r="N40" s="84" t="s">
        <v>110</v>
      </c>
      <c r="O40" s="85">
        <v>4886110</v>
      </c>
    </row>
    <row r="41" spans="1:15" s="56" customFormat="1" ht="15" customHeight="1">
      <c r="A41" s="53" t="s">
        <v>77</v>
      </c>
      <c r="B41" s="55">
        <v>1955004</v>
      </c>
      <c r="C41" s="55">
        <v>317126</v>
      </c>
      <c r="D41" s="55">
        <v>1145522</v>
      </c>
      <c r="E41" s="55">
        <v>1817444</v>
      </c>
      <c r="F41" s="55">
        <v>1428712</v>
      </c>
      <c r="G41" s="55">
        <v>689060</v>
      </c>
      <c r="H41" s="55">
        <v>622766</v>
      </c>
      <c r="I41" s="55">
        <v>366164</v>
      </c>
      <c r="J41" s="55">
        <f t="shared" si="7"/>
        <v>8341798</v>
      </c>
      <c r="N41" s="84" t="s">
        <v>111</v>
      </c>
      <c r="O41" s="85">
        <v>2930775</v>
      </c>
    </row>
    <row r="42" spans="1:15" s="56" customFormat="1" ht="15" customHeight="1">
      <c r="A42" s="53" t="s">
        <v>78</v>
      </c>
      <c r="B42" s="55">
        <v>195959</v>
      </c>
      <c r="C42" s="55">
        <v>647363</v>
      </c>
      <c r="D42" s="55">
        <v>510052</v>
      </c>
      <c r="E42" s="55">
        <v>1362018</v>
      </c>
      <c r="F42" s="55">
        <v>191988</v>
      </c>
      <c r="G42" s="55">
        <v>945618</v>
      </c>
      <c r="H42" s="55">
        <v>482023</v>
      </c>
      <c r="I42" s="55">
        <v>79747</v>
      </c>
      <c r="J42" s="55">
        <f t="shared" si="7"/>
        <v>4414768</v>
      </c>
      <c r="N42" s="86" t="s">
        <v>112</v>
      </c>
      <c r="O42" s="87">
        <v>74440975</v>
      </c>
    </row>
    <row r="43" spans="1:10" ht="9" customHeight="1">
      <c r="A43" s="58"/>
      <c r="B43" s="54"/>
      <c r="C43" s="54"/>
      <c r="D43" s="55"/>
      <c r="E43" s="55"/>
      <c r="F43" s="55"/>
      <c r="G43" s="55"/>
      <c r="H43" s="55"/>
      <c r="I43" s="55"/>
      <c r="J43" s="55"/>
    </row>
    <row r="44" spans="1:11" s="56" customFormat="1" ht="21" customHeight="1">
      <c r="A44" s="53" t="s">
        <v>79</v>
      </c>
      <c r="B44" s="54">
        <f>B11-B6</f>
        <v>26528721</v>
      </c>
      <c r="C44" s="54">
        <f aca="true" t="shared" si="8" ref="C44:J44">C11-C6</f>
        <v>2412126</v>
      </c>
      <c r="D44" s="54">
        <f t="shared" si="8"/>
        <v>22616827</v>
      </c>
      <c r="E44" s="54">
        <f t="shared" si="8"/>
        <v>4253109</v>
      </c>
      <c r="F44" s="54">
        <f t="shared" si="8"/>
        <v>21800913</v>
      </c>
      <c r="G44" s="54">
        <f t="shared" si="8"/>
        <v>57758866</v>
      </c>
      <c r="H44" s="54">
        <f t="shared" si="8"/>
        <v>44153466</v>
      </c>
      <c r="I44" s="54">
        <f t="shared" si="8"/>
        <v>22666825</v>
      </c>
      <c r="J44" s="54">
        <f t="shared" si="8"/>
        <v>202190853</v>
      </c>
      <c r="K44" s="54">
        <f>K6-K11</f>
        <v>0</v>
      </c>
    </row>
    <row r="45" spans="1:10" ht="15.75" customHeight="1">
      <c r="A45" s="58" t="s">
        <v>101</v>
      </c>
      <c r="B45" s="54">
        <f>SUM(B46:B47)</f>
        <v>26528721</v>
      </c>
      <c r="C45" s="54">
        <f aca="true" t="shared" si="9" ref="C45:J45">SUM(C46:C47)</f>
        <v>2412125</v>
      </c>
      <c r="D45" s="54">
        <f t="shared" si="9"/>
        <v>22616827</v>
      </c>
      <c r="E45" s="54">
        <f t="shared" si="9"/>
        <v>4253109</v>
      </c>
      <c r="F45" s="54">
        <f t="shared" si="9"/>
        <v>21800913</v>
      </c>
      <c r="G45" s="54">
        <f t="shared" si="9"/>
        <v>57758866</v>
      </c>
      <c r="H45" s="54">
        <f t="shared" si="9"/>
        <v>44153466</v>
      </c>
      <c r="I45" s="54">
        <f t="shared" si="9"/>
        <v>22666826</v>
      </c>
      <c r="J45" s="54">
        <f t="shared" si="9"/>
        <v>202190853</v>
      </c>
    </row>
    <row r="46" spans="1:10" ht="15.75" customHeight="1">
      <c r="A46" s="83" t="s">
        <v>102</v>
      </c>
      <c r="B46" s="54">
        <v>2356861</v>
      </c>
      <c r="C46" s="54">
        <v>317066</v>
      </c>
      <c r="D46" s="55">
        <v>3675084</v>
      </c>
      <c r="E46" s="55"/>
      <c r="F46" s="55">
        <v>14293755</v>
      </c>
      <c r="G46" s="55">
        <v>48103705</v>
      </c>
      <c r="H46" s="55">
        <v>39267356</v>
      </c>
      <c r="I46" s="89">
        <v>19736051</v>
      </c>
      <c r="J46" s="55">
        <f>SUM(B46:I46)</f>
        <v>127749878</v>
      </c>
    </row>
    <row r="47" spans="1:10" ht="15.75" customHeight="1">
      <c r="A47" s="83" t="s">
        <v>103</v>
      </c>
      <c r="B47" s="54">
        <v>24171860</v>
      </c>
      <c r="C47" s="54">
        <v>2095059</v>
      </c>
      <c r="D47" s="85">
        <v>18941743</v>
      </c>
      <c r="E47" s="55">
        <v>4253109</v>
      </c>
      <c r="F47" s="55">
        <v>7507158</v>
      </c>
      <c r="G47" s="55">
        <v>9655161</v>
      </c>
      <c r="H47" s="55">
        <v>4886110</v>
      </c>
      <c r="I47" s="55">
        <v>2930775</v>
      </c>
      <c r="J47" s="55">
        <f>SUM(B47:I47)</f>
        <v>74440975</v>
      </c>
    </row>
    <row r="48" spans="1:10" ht="15.75" customHeight="1">
      <c r="A48" s="83"/>
      <c r="B48" s="54"/>
      <c r="C48" s="54"/>
      <c r="D48" s="85"/>
      <c r="E48" s="55"/>
      <c r="F48" s="55"/>
      <c r="G48" s="55"/>
      <c r="H48" s="55"/>
      <c r="I48" s="55"/>
      <c r="J48" s="55"/>
    </row>
    <row r="49" spans="1:10" s="56" customFormat="1" ht="21.75" customHeight="1" thickBot="1">
      <c r="A49" s="67" t="s">
        <v>80</v>
      </c>
      <c r="B49" s="55">
        <v>366302041</v>
      </c>
      <c r="C49" s="55">
        <v>33261924</v>
      </c>
      <c r="D49" s="55">
        <v>264356254</v>
      </c>
      <c r="E49" s="55">
        <v>241405295</v>
      </c>
      <c r="F49" s="55">
        <v>129760732</v>
      </c>
      <c r="G49" s="55">
        <v>204585750</v>
      </c>
      <c r="H49" s="55">
        <v>123691693</v>
      </c>
      <c r="I49" s="55">
        <v>78016449</v>
      </c>
      <c r="J49" s="55">
        <f>SUM(B49:I49)</f>
        <v>1441380138</v>
      </c>
    </row>
    <row r="50" ht="12.75">
      <c r="J50" s="68"/>
    </row>
    <row r="51" spans="1:10" ht="69.75" customHeight="1">
      <c r="A51" s="19" t="s">
        <v>46</v>
      </c>
      <c r="B51" s="20">
        <f>B11+36504234+499587</f>
        <v>366302041</v>
      </c>
      <c r="C51" s="20"/>
      <c r="D51" s="20"/>
      <c r="E51" s="20"/>
      <c r="F51" s="20"/>
      <c r="G51" s="20"/>
      <c r="H51" s="20"/>
      <c r="I51" s="20"/>
      <c r="J51" s="1"/>
    </row>
    <row r="52" spans="3:12" ht="12.75">
      <c r="C52" s="3"/>
      <c r="E52" s="4"/>
      <c r="F52" s="4"/>
      <c r="G52" s="4"/>
      <c r="H52" s="4"/>
      <c r="I52" s="4"/>
      <c r="J52" s="4"/>
      <c r="K52" s="4"/>
      <c r="L52" s="4"/>
    </row>
    <row r="53" spans="1:12" ht="12.75">
      <c r="A53" t="s">
        <v>44</v>
      </c>
      <c r="C53" s="3"/>
      <c r="E53" s="4"/>
      <c r="F53" s="4"/>
      <c r="G53" s="4"/>
      <c r="H53" s="4"/>
      <c r="I53" s="4"/>
      <c r="J53" s="4"/>
      <c r="K53" s="4"/>
      <c r="L53" s="4"/>
    </row>
    <row r="54" spans="2:10" ht="12.75">
      <c r="B54" s="68"/>
      <c r="C54" s="68"/>
      <c r="D54" s="68"/>
      <c r="E54" s="68"/>
      <c r="F54" s="68"/>
      <c r="G54" s="68"/>
      <c r="H54" s="68"/>
      <c r="I54" s="68"/>
      <c r="J54" s="68"/>
    </row>
    <row r="55" ht="12.75">
      <c r="A55" s="40" t="s">
        <v>83</v>
      </c>
    </row>
  </sheetData>
  <sheetProtection/>
  <mergeCells count="1">
    <mergeCell ref="A2:J2"/>
  </mergeCells>
  <printOptions/>
  <pageMargins left="0.75" right="0.75" top="1" bottom="0.2" header="0.5" footer="0.2"/>
  <pageSetup horizontalDpi="600" verticalDpi="600" orientation="landscape" paperSize="9" scale="68" r:id="rId1"/>
</worksheet>
</file>

<file path=xl/worksheets/sheet3.xml><?xml version="1.0" encoding="utf-8"?>
<worksheet xmlns="http://schemas.openxmlformats.org/spreadsheetml/2006/main" xmlns:r="http://schemas.openxmlformats.org/officeDocument/2006/relationships">
  <dimension ref="A1:O55"/>
  <sheetViews>
    <sheetView zoomScalePageLayoutView="0" workbookViewId="0" topLeftCell="A1">
      <pane xSplit="1" ySplit="4" topLeftCell="B44" activePane="bottomRight" state="frozen"/>
      <selection pane="topLeft" activeCell="A1" sqref="A1"/>
      <selection pane="topRight" activeCell="B1" sqref="B1"/>
      <selection pane="bottomLeft" activeCell="A14" sqref="A14"/>
      <selection pane="bottomRight" activeCell="H21" sqref="H21"/>
    </sheetView>
  </sheetViews>
  <sheetFormatPr defaultColWidth="9.00390625" defaultRowHeight="12.75"/>
  <cols>
    <col min="1" max="1" width="58.00390625" style="40" customWidth="1"/>
    <col min="2" max="2" width="12.875" style="40" customWidth="1"/>
    <col min="3" max="3" width="13.375" style="40" customWidth="1"/>
    <col min="4" max="4" width="12.75390625" style="40" customWidth="1"/>
    <col min="5" max="5" width="12.25390625" style="40" customWidth="1"/>
    <col min="6" max="6" width="12.625" style="40" customWidth="1"/>
    <col min="7" max="7" width="12.375" style="40" customWidth="1"/>
    <col min="8" max="8" width="15.00390625" style="40" customWidth="1"/>
    <col min="9" max="9" width="12.125" style="40" customWidth="1"/>
    <col min="10" max="10" width="14.375" style="40" customWidth="1"/>
    <col min="11" max="11" width="11.125" style="40" bestFit="1" customWidth="1"/>
    <col min="12" max="12" width="13.00390625" style="40" customWidth="1"/>
    <col min="13" max="14" width="9.125" style="40" customWidth="1"/>
    <col min="15" max="15" width="18.875" style="40" customWidth="1"/>
    <col min="16" max="16384" width="9.125" style="40" customWidth="1"/>
  </cols>
  <sheetData>
    <row r="1" spans="1:15" ht="13.5" customHeight="1">
      <c r="A1" s="37"/>
      <c r="B1" s="37"/>
      <c r="C1" s="37"/>
      <c r="D1" s="37"/>
      <c r="E1" s="37"/>
      <c r="F1" s="37"/>
      <c r="G1" s="37"/>
      <c r="H1" s="37"/>
      <c r="I1" s="37"/>
      <c r="J1" s="38"/>
      <c r="K1" s="39"/>
      <c r="L1" s="39"/>
      <c r="M1" s="39"/>
      <c r="N1" s="39"/>
      <c r="O1" s="39"/>
    </row>
    <row r="2" spans="1:10" ht="18.75">
      <c r="A2" s="202" t="s">
        <v>0</v>
      </c>
      <c r="B2" s="202"/>
      <c r="C2" s="202"/>
      <c r="D2" s="202"/>
      <c r="E2" s="202"/>
      <c r="F2" s="202"/>
      <c r="G2" s="202"/>
      <c r="H2" s="202"/>
      <c r="I2" s="202"/>
      <c r="J2" s="202"/>
    </row>
    <row r="3" spans="1:10" ht="16.5" thickBot="1">
      <c r="A3" s="43"/>
      <c r="B3" s="43"/>
      <c r="C3" s="43"/>
      <c r="D3" s="43"/>
      <c r="E3" s="43"/>
      <c r="F3" s="43"/>
      <c r="G3" s="43"/>
      <c r="H3" s="43"/>
      <c r="I3" s="43"/>
      <c r="J3" s="43" t="s">
        <v>52</v>
      </c>
    </row>
    <row r="4" spans="1:10" ht="34.5" customHeight="1" thickBot="1">
      <c r="A4" s="44" t="s">
        <v>53</v>
      </c>
      <c r="B4" s="45" t="s">
        <v>33</v>
      </c>
      <c r="C4" s="46" t="s">
        <v>34</v>
      </c>
      <c r="D4" s="46" t="s">
        <v>36</v>
      </c>
      <c r="E4" s="46" t="s">
        <v>39</v>
      </c>
      <c r="F4" s="46" t="s">
        <v>32</v>
      </c>
      <c r="G4" s="46" t="s">
        <v>30</v>
      </c>
      <c r="H4" s="46" t="s">
        <v>35</v>
      </c>
      <c r="I4" s="46" t="s">
        <v>38</v>
      </c>
      <c r="J4" s="47" t="s">
        <v>54</v>
      </c>
    </row>
    <row r="5" spans="1:10" ht="9" customHeight="1">
      <c r="A5" s="48"/>
      <c r="B5" s="49"/>
      <c r="C5" s="50"/>
      <c r="D5" s="51"/>
      <c r="E5" s="51"/>
      <c r="F5" s="51"/>
      <c r="G5" s="51"/>
      <c r="H5" s="51"/>
      <c r="I5" s="51"/>
      <c r="J5" s="52"/>
    </row>
    <row r="6" spans="1:13" s="56" customFormat="1" ht="20.25" customHeight="1">
      <c r="A6" s="53" t="s">
        <v>88</v>
      </c>
      <c r="B6" s="54">
        <v>302769499</v>
      </c>
      <c r="C6" s="54">
        <v>29640508</v>
      </c>
      <c r="D6" s="55">
        <v>222537280</v>
      </c>
      <c r="E6" s="55">
        <v>205663041</v>
      </c>
      <c r="F6" s="55">
        <v>83991661</v>
      </c>
      <c r="G6" s="55">
        <v>113220499</v>
      </c>
      <c r="H6" s="55">
        <v>60653445</v>
      </c>
      <c r="I6" s="55">
        <v>37295770</v>
      </c>
      <c r="J6" s="55">
        <f>SUM(B6:I6)</f>
        <v>1055771703</v>
      </c>
      <c r="M6" s="57"/>
    </row>
    <row r="7" spans="1:13" s="56" customFormat="1" ht="20.25" customHeight="1">
      <c r="A7" s="64" t="s">
        <v>89</v>
      </c>
      <c r="B7" s="70">
        <v>45158372</v>
      </c>
      <c r="C7" s="70">
        <v>8689922</v>
      </c>
      <c r="D7" s="71">
        <v>25872610</v>
      </c>
      <c r="E7" s="71">
        <v>19967871</v>
      </c>
      <c r="F7" s="71">
        <v>8920078</v>
      </c>
      <c r="G7" s="71">
        <v>16668891</v>
      </c>
      <c r="H7" s="71">
        <v>11792344</v>
      </c>
      <c r="I7" s="71">
        <v>7988016</v>
      </c>
      <c r="J7" s="71">
        <f>SUM(B7:I7)</f>
        <v>145058104</v>
      </c>
      <c r="M7" s="57"/>
    </row>
    <row r="8" spans="1:10" ht="27" customHeight="1">
      <c r="A8" s="58" t="s">
        <v>90</v>
      </c>
      <c r="B8" s="54">
        <f>B6-B7</f>
        <v>257611127</v>
      </c>
      <c r="C8" s="54">
        <f aca="true" t="shared" si="0" ref="C8:J8">C6-C7</f>
        <v>20950586</v>
      </c>
      <c r="D8" s="54">
        <f t="shared" si="0"/>
        <v>196664670</v>
      </c>
      <c r="E8" s="54">
        <f t="shared" si="0"/>
        <v>185695170</v>
      </c>
      <c r="F8" s="54">
        <f t="shared" si="0"/>
        <v>75071583</v>
      </c>
      <c r="G8" s="54">
        <f t="shared" si="0"/>
        <v>96551608</v>
      </c>
      <c r="H8" s="54">
        <f t="shared" si="0"/>
        <v>48861101</v>
      </c>
      <c r="I8" s="54">
        <f t="shared" si="0"/>
        <v>29307754</v>
      </c>
      <c r="J8" s="54">
        <f t="shared" si="0"/>
        <v>910713599</v>
      </c>
    </row>
    <row r="9" spans="1:10" s="56" customFormat="1" ht="15.75">
      <c r="A9" s="53" t="s">
        <v>91</v>
      </c>
      <c r="B9" s="54">
        <v>26528721</v>
      </c>
      <c r="C9" s="54">
        <v>2412125</v>
      </c>
      <c r="D9" s="55">
        <v>22616827</v>
      </c>
      <c r="E9" s="55">
        <v>4253109</v>
      </c>
      <c r="F9" s="55">
        <v>21800913</v>
      </c>
      <c r="G9" s="55">
        <v>57758866</v>
      </c>
      <c r="H9" s="55">
        <v>44153466</v>
      </c>
      <c r="I9" s="55">
        <v>22666826</v>
      </c>
      <c r="J9" s="55">
        <f>SUM(B9:I9)</f>
        <v>202190853</v>
      </c>
    </row>
    <row r="10" spans="1:10" s="56" customFormat="1" ht="15.75">
      <c r="A10" s="59"/>
      <c r="B10" s="54"/>
      <c r="C10" s="54"/>
      <c r="D10" s="55"/>
      <c r="E10" s="55"/>
      <c r="F10" s="55"/>
      <c r="G10" s="55"/>
      <c r="H10" s="55"/>
      <c r="I10" s="55"/>
      <c r="J10" s="55"/>
    </row>
    <row r="11" spans="1:10" ht="20.25" customHeight="1">
      <c r="A11" s="72" t="s">
        <v>92</v>
      </c>
      <c r="B11" s="54">
        <f>B12+B13</f>
        <v>321707952</v>
      </c>
      <c r="C11" s="54">
        <f aca="true" t="shared" si="1" ref="C11:I11">C12+C13</f>
        <v>32052633</v>
      </c>
      <c r="D11" s="54">
        <f t="shared" si="1"/>
        <v>237032054</v>
      </c>
      <c r="E11" s="54">
        <f t="shared" si="1"/>
        <v>206657587</v>
      </c>
      <c r="F11" s="54">
        <f t="shared" si="1"/>
        <v>103460085</v>
      </c>
      <c r="G11" s="54">
        <f t="shared" si="1"/>
        <v>167935341</v>
      </c>
      <c r="H11" s="54">
        <f t="shared" si="1"/>
        <v>103081326</v>
      </c>
      <c r="I11" s="54">
        <f t="shared" si="1"/>
        <v>58904643</v>
      </c>
      <c r="J11" s="54">
        <f>J12+J13</f>
        <v>1230831621</v>
      </c>
    </row>
    <row r="12" spans="1:10" s="56" customFormat="1" ht="20.25" customHeight="1">
      <c r="A12" s="73" t="s">
        <v>93</v>
      </c>
      <c r="B12" s="54">
        <f>B14+B18</f>
        <v>276549580</v>
      </c>
      <c r="C12" s="54">
        <f aca="true" t="shared" si="2" ref="C12:I12">C14+C18</f>
        <v>23362711</v>
      </c>
      <c r="D12" s="54">
        <f t="shared" si="2"/>
        <v>211159444</v>
      </c>
      <c r="E12" s="54">
        <f t="shared" si="2"/>
        <v>186689716</v>
      </c>
      <c r="F12" s="54">
        <f t="shared" si="2"/>
        <v>94540007</v>
      </c>
      <c r="G12" s="54">
        <f t="shared" si="2"/>
        <v>151266450</v>
      </c>
      <c r="H12" s="54">
        <f t="shared" si="2"/>
        <v>91288982</v>
      </c>
      <c r="I12" s="54">
        <f t="shared" si="2"/>
        <v>50916627</v>
      </c>
      <c r="J12" s="55">
        <f>SUM(B12:I12)</f>
        <v>1085773517</v>
      </c>
    </row>
    <row r="13" spans="1:10" s="77" customFormat="1" ht="15.75">
      <c r="A13" s="74" t="s">
        <v>94</v>
      </c>
      <c r="B13" s="62">
        <v>45158372</v>
      </c>
      <c r="C13" s="62">
        <v>8689922</v>
      </c>
      <c r="D13" s="63">
        <v>25872610</v>
      </c>
      <c r="E13" s="63">
        <v>19967871</v>
      </c>
      <c r="F13" s="63">
        <v>8920078</v>
      </c>
      <c r="G13" s="63">
        <v>16668891</v>
      </c>
      <c r="H13" s="63">
        <v>11792344</v>
      </c>
      <c r="I13" s="63">
        <v>7988016</v>
      </c>
      <c r="J13" s="55">
        <f aca="true" t="shared" si="3" ref="J13:J18">SUM(B13:I13)</f>
        <v>145058104</v>
      </c>
    </row>
    <row r="14" spans="1:10" ht="15.75">
      <c r="A14" s="73" t="s">
        <v>95</v>
      </c>
      <c r="B14" s="62">
        <f>B16+B17</f>
        <v>252377720</v>
      </c>
      <c r="C14" s="62">
        <f aca="true" t="shared" si="4" ref="C14:J14">C16+C17</f>
        <v>21267653</v>
      </c>
      <c r="D14" s="62">
        <f t="shared" si="4"/>
        <v>192217701</v>
      </c>
      <c r="E14" s="62">
        <f t="shared" si="4"/>
        <v>168120199</v>
      </c>
      <c r="F14" s="62">
        <f t="shared" si="4"/>
        <v>87032849</v>
      </c>
      <c r="G14" s="62">
        <f t="shared" si="4"/>
        <v>141611289</v>
      </c>
      <c r="H14" s="62">
        <f t="shared" si="4"/>
        <v>86402872</v>
      </c>
      <c r="I14" s="62">
        <f t="shared" si="4"/>
        <v>47985851</v>
      </c>
      <c r="J14" s="54">
        <f t="shared" si="4"/>
        <v>997016134</v>
      </c>
    </row>
    <row r="15" spans="1:10" ht="15.75" hidden="1">
      <c r="A15" s="73" t="s">
        <v>96</v>
      </c>
      <c r="B15" s="62">
        <v>0.9149</v>
      </c>
      <c r="C15" s="62">
        <v>0.9103</v>
      </c>
      <c r="D15" s="63">
        <v>0.9136</v>
      </c>
      <c r="E15" s="63">
        <v>0.9022</v>
      </c>
      <c r="F15" s="63">
        <v>0.9225</v>
      </c>
      <c r="G15" s="63">
        <v>0.9374</v>
      </c>
      <c r="H15" s="63">
        <v>0.9475</v>
      </c>
      <c r="I15" s="63">
        <v>0.9436</v>
      </c>
      <c r="J15" s="55">
        <f t="shared" si="3"/>
        <v>7.392</v>
      </c>
    </row>
    <row r="16" spans="1:10" ht="60">
      <c r="A16" s="75" t="s">
        <v>97</v>
      </c>
      <c r="B16" s="62">
        <f>242928598-7590268</f>
        <v>235338330</v>
      </c>
      <c r="C16" s="62">
        <v>19038461</v>
      </c>
      <c r="D16" s="63">
        <f>189770037-8122053</f>
        <v>181647984</v>
      </c>
      <c r="E16" s="63">
        <f>161282331-3258563</f>
        <v>158023768</v>
      </c>
      <c r="F16" s="63">
        <f>84657042-2332489</f>
        <v>82324553</v>
      </c>
      <c r="G16" s="63">
        <f>133807845-3044024</f>
        <v>130763821</v>
      </c>
      <c r="H16" s="63">
        <f>82051311-1725585</f>
        <v>80325726</v>
      </c>
      <c r="I16" s="63">
        <f>46793532-1057953</f>
        <v>45735579</v>
      </c>
      <c r="J16" s="55">
        <f t="shared" si="3"/>
        <v>933198222</v>
      </c>
    </row>
    <row r="17" spans="1:10" ht="15.75">
      <c r="A17" s="73" t="s">
        <v>98</v>
      </c>
      <c r="B17" s="62">
        <v>17039390</v>
      </c>
      <c r="C17" s="62">
        <v>2229192</v>
      </c>
      <c r="D17" s="63">
        <v>10569717</v>
      </c>
      <c r="E17" s="63">
        <v>10096431</v>
      </c>
      <c r="F17" s="63">
        <v>4708296</v>
      </c>
      <c r="G17" s="63">
        <v>10847468</v>
      </c>
      <c r="H17" s="63">
        <v>6077146</v>
      </c>
      <c r="I17" s="63">
        <v>2250272</v>
      </c>
      <c r="J17" s="55">
        <f t="shared" si="3"/>
        <v>63817912</v>
      </c>
    </row>
    <row r="18" spans="1:10" ht="17.25" customHeight="1">
      <c r="A18" s="73" t="s">
        <v>99</v>
      </c>
      <c r="B18" s="62">
        <v>24171860</v>
      </c>
      <c r="C18" s="62">
        <v>2095058</v>
      </c>
      <c r="D18" s="63">
        <v>18941743</v>
      </c>
      <c r="E18" s="63">
        <v>18569517</v>
      </c>
      <c r="F18" s="63">
        <v>7507158</v>
      </c>
      <c r="G18" s="63">
        <v>9655161</v>
      </c>
      <c r="H18" s="63">
        <v>4886110</v>
      </c>
      <c r="I18" s="63">
        <v>2930776</v>
      </c>
      <c r="J18" s="55">
        <f t="shared" si="3"/>
        <v>88757383</v>
      </c>
    </row>
    <row r="19" spans="1:10" ht="17.25" customHeight="1">
      <c r="A19" s="76"/>
      <c r="B19" s="62"/>
      <c r="C19" s="62"/>
      <c r="D19" s="63"/>
      <c r="E19" s="63"/>
      <c r="F19" s="63"/>
      <c r="G19" s="63"/>
      <c r="H19" s="63"/>
      <c r="I19" s="63"/>
      <c r="J19" s="55"/>
    </row>
    <row r="20" spans="1:10" s="79" customFormat="1" ht="17.25" customHeight="1">
      <c r="A20" s="78" t="s">
        <v>100</v>
      </c>
      <c r="B20" s="54">
        <f>SUM(B21:B24)</f>
        <v>257906</v>
      </c>
      <c r="C20" s="54">
        <f aca="true" t="shared" si="5" ref="C20:J20">SUM(C21:C24)</f>
        <v>76736</v>
      </c>
      <c r="D20" s="54">
        <f t="shared" si="5"/>
        <v>1212958</v>
      </c>
      <c r="E20" s="54">
        <f t="shared" si="5"/>
        <v>1582</v>
      </c>
      <c r="F20" s="54">
        <f t="shared" si="5"/>
        <v>903802</v>
      </c>
      <c r="G20" s="54">
        <f t="shared" si="5"/>
        <v>1357354</v>
      </c>
      <c r="H20" s="54">
        <f t="shared" si="5"/>
        <v>155426</v>
      </c>
      <c r="I20" s="54">
        <f t="shared" si="5"/>
        <v>143698</v>
      </c>
      <c r="J20" s="54">
        <f t="shared" si="5"/>
        <v>4109462</v>
      </c>
    </row>
    <row r="21" spans="1:10" ht="15.75">
      <c r="A21" s="61" t="s">
        <v>81</v>
      </c>
      <c r="B21" s="62">
        <f>SUM(B22:B24)</f>
        <v>128953</v>
      </c>
      <c r="C21" s="62">
        <f aca="true" t="shared" si="6" ref="C21:J21">SUM(C22:C24)</f>
        <v>38368</v>
      </c>
      <c r="D21" s="62">
        <f t="shared" si="6"/>
        <v>606479</v>
      </c>
      <c r="E21" s="62">
        <f t="shared" si="6"/>
        <v>791</v>
      </c>
      <c r="F21" s="62">
        <f t="shared" si="6"/>
        <v>451901</v>
      </c>
      <c r="G21" s="62">
        <f t="shared" si="6"/>
        <v>678677</v>
      </c>
      <c r="H21" s="62">
        <f t="shared" si="6"/>
        <v>77713</v>
      </c>
      <c r="I21" s="62">
        <f t="shared" si="6"/>
        <v>71849</v>
      </c>
      <c r="J21" s="69">
        <f t="shared" si="6"/>
        <v>2054731</v>
      </c>
    </row>
    <row r="22" spans="1:10" ht="31.5">
      <c r="A22" s="61" t="s">
        <v>61</v>
      </c>
      <c r="B22" s="62">
        <v>0</v>
      </c>
      <c r="C22" s="62">
        <v>0</v>
      </c>
      <c r="D22" s="63">
        <v>0</v>
      </c>
      <c r="E22" s="63">
        <v>791</v>
      </c>
      <c r="F22" s="63"/>
      <c r="G22" s="63">
        <v>672694</v>
      </c>
      <c r="H22" s="63">
        <v>70531</v>
      </c>
      <c r="I22" s="63">
        <v>328</v>
      </c>
      <c r="J22" s="63">
        <f>SUM(B22:I22)</f>
        <v>744344</v>
      </c>
    </row>
    <row r="23" spans="1:10" ht="31.5">
      <c r="A23" s="61" t="s">
        <v>62</v>
      </c>
      <c r="B23" s="62">
        <v>156</v>
      </c>
      <c r="C23" s="62">
        <v>20390</v>
      </c>
      <c r="D23" s="63">
        <v>163664</v>
      </c>
      <c r="E23" s="63">
        <v>0</v>
      </c>
      <c r="F23" s="63">
        <v>425169</v>
      </c>
      <c r="G23" s="63">
        <v>5970</v>
      </c>
      <c r="H23" s="63">
        <f>7182</f>
        <v>7182</v>
      </c>
      <c r="I23" s="63"/>
      <c r="J23" s="63">
        <f>SUM(B23:I23)</f>
        <v>622531</v>
      </c>
    </row>
    <row r="24" spans="1:10" ht="15.75">
      <c r="A24" s="61" t="s">
        <v>64</v>
      </c>
      <c r="B24" s="62">
        <v>128797</v>
      </c>
      <c r="C24" s="62">
        <v>17978</v>
      </c>
      <c r="D24" s="63">
        <v>442815</v>
      </c>
      <c r="E24" s="63"/>
      <c r="F24" s="63">
        <v>26732</v>
      </c>
      <c r="G24" s="63">
        <v>13</v>
      </c>
      <c r="H24" s="63">
        <v>0</v>
      </c>
      <c r="I24" s="63">
        <v>71521</v>
      </c>
      <c r="J24" s="63">
        <f>SUM(B24:I24)</f>
        <v>687856</v>
      </c>
    </row>
    <row r="25" spans="1:10" ht="9" customHeight="1">
      <c r="A25" s="58"/>
      <c r="B25" s="54"/>
      <c r="C25" s="54"/>
      <c r="D25" s="55"/>
      <c r="E25" s="55"/>
      <c r="F25" s="55"/>
      <c r="G25" s="55"/>
      <c r="H25" s="55"/>
      <c r="I25" s="55"/>
      <c r="J25" s="55"/>
    </row>
    <row r="26" spans="1:10" ht="21" customHeight="1">
      <c r="A26" s="58" t="s">
        <v>86</v>
      </c>
      <c r="B26" s="54"/>
      <c r="C26" s="54"/>
      <c r="D26" s="55"/>
      <c r="E26" s="55"/>
      <c r="F26" s="55"/>
      <c r="G26" s="55"/>
      <c r="H26" s="55"/>
      <c r="I26" s="55"/>
      <c r="J26" s="55"/>
    </row>
    <row r="27" spans="1:10" s="56" customFormat="1" ht="15.75">
      <c r="A27" s="53" t="s">
        <v>67</v>
      </c>
      <c r="B27" s="54">
        <f>B28+B29</f>
        <v>4311978</v>
      </c>
      <c r="C27" s="54">
        <f aca="true" t="shared" si="7" ref="C27:J27">C28+C29</f>
        <v>915972</v>
      </c>
      <c r="D27" s="54">
        <f t="shared" si="7"/>
        <v>2411256</v>
      </c>
      <c r="E27" s="54">
        <f t="shared" si="7"/>
        <v>18787533</v>
      </c>
      <c r="F27" s="54">
        <f t="shared" si="7"/>
        <v>2882720</v>
      </c>
      <c r="G27" s="54">
        <f t="shared" si="7"/>
        <v>3663740</v>
      </c>
      <c r="H27" s="54">
        <f t="shared" si="7"/>
        <v>2236230</v>
      </c>
      <c r="I27" s="54">
        <f t="shared" si="7"/>
        <v>1229950</v>
      </c>
      <c r="J27" s="54">
        <f t="shared" si="7"/>
        <v>36439379</v>
      </c>
    </row>
    <row r="28" spans="1:10" ht="15.75" customHeight="1">
      <c r="A28" s="58" t="s">
        <v>82</v>
      </c>
      <c r="B28" s="7">
        <v>2034857</v>
      </c>
      <c r="C28" s="7">
        <v>50109</v>
      </c>
      <c r="D28" s="7">
        <v>100240</v>
      </c>
      <c r="E28" s="55">
        <v>13231411</v>
      </c>
      <c r="F28" s="55">
        <v>232810</v>
      </c>
      <c r="G28" s="55">
        <v>993071</v>
      </c>
      <c r="H28" s="55">
        <v>201585</v>
      </c>
      <c r="I28" s="55">
        <v>332076</v>
      </c>
      <c r="J28" s="55">
        <f>SUM(B28:I28)</f>
        <v>17176159</v>
      </c>
    </row>
    <row r="29" spans="1:10" ht="15.75">
      <c r="A29" s="58" t="s">
        <v>84</v>
      </c>
      <c r="B29" s="62">
        <f>SUM(B30:B39)</f>
        <v>2277121</v>
      </c>
      <c r="C29" s="62">
        <f>SUM(C30:C39)</f>
        <v>865863</v>
      </c>
      <c r="D29" s="62">
        <f>SUM(D30:D40)</f>
        <v>2311016</v>
      </c>
      <c r="E29" s="62">
        <f aca="true" t="shared" si="8" ref="E29:J29">SUM(E30:E40)</f>
        <v>5556122</v>
      </c>
      <c r="F29" s="62">
        <f t="shared" si="8"/>
        <v>2649910</v>
      </c>
      <c r="G29" s="62">
        <f t="shared" si="8"/>
        <v>2670669</v>
      </c>
      <c r="H29" s="62">
        <f t="shared" si="8"/>
        <v>2034645</v>
      </c>
      <c r="I29" s="62">
        <f t="shared" si="8"/>
        <v>897874</v>
      </c>
      <c r="J29" s="62">
        <f t="shared" si="8"/>
        <v>19263220</v>
      </c>
    </row>
    <row r="30" spans="1:10" ht="15.75">
      <c r="A30" s="61" t="s">
        <v>5</v>
      </c>
      <c r="B30" s="62"/>
      <c r="C30" s="62"/>
      <c r="D30" s="63"/>
      <c r="E30" s="63"/>
      <c r="F30" s="63"/>
      <c r="G30" s="63"/>
      <c r="H30" s="63"/>
      <c r="I30" s="63"/>
      <c r="J30" s="63"/>
    </row>
    <row r="31" spans="1:10" s="56" customFormat="1" ht="15">
      <c r="A31" s="64" t="s">
        <v>70</v>
      </c>
      <c r="B31" s="65">
        <v>8929</v>
      </c>
      <c r="C31" s="65"/>
      <c r="D31" s="66"/>
      <c r="E31" s="66">
        <v>380224</v>
      </c>
      <c r="F31" s="66">
        <v>280809</v>
      </c>
      <c r="G31" s="66">
        <v>625459</v>
      </c>
      <c r="H31" s="66">
        <v>194956</v>
      </c>
      <c r="I31" s="66">
        <v>452263</v>
      </c>
      <c r="J31" s="66">
        <f aca="true" t="shared" si="9" ref="J31:J42">SUM(B31:I31)</f>
        <v>1942640</v>
      </c>
    </row>
    <row r="32" spans="1:10" s="56" customFormat="1" ht="30">
      <c r="A32" s="64" t="s">
        <v>71</v>
      </c>
      <c r="B32" s="65">
        <v>13045</v>
      </c>
      <c r="C32" s="65"/>
      <c r="D32" s="66">
        <v>1</v>
      </c>
      <c r="E32" s="66">
        <v>799383</v>
      </c>
      <c r="F32" s="66">
        <v>72072</v>
      </c>
      <c r="G32" s="66">
        <v>40404</v>
      </c>
      <c r="H32" s="66">
        <v>240868</v>
      </c>
      <c r="I32" s="66">
        <v>151851</v>
      </c>
      <c r="J32" s="66">
        <f t="shared" si="9"/>
        <v>1317624</v>
      </c>
    </row>
    <row r="33" spans="1:10" s="56" customFormat="1" ht="30" customHeight="1">
      <c r="A33" s="64" t="s">
        <v>72</v>
      </c>
      <c r="B33" s="65">
        <v>1573893</v>
      </c>
      <c r="C33" s="65">
        <v>751479</v>
      </c>
      <c r="D33" s="66">
        <v>2171212</v>
      </c>
      <c r="E33" s="66">
        <v>3380450</v>
      </c>
      <c r="F33" s="66">
        <v>686261</v>
      </c>
      <c r="G33" s="66">
        <v>653213</v>
      </c>
      <c r="H33" s="66">
        <v>102978</v>
      </c>
      <c r="I33" s="66">
        <v>73959</v>
      </c>
      <c r="J33" s="66">
        <f t="shared" si="9"/>
        <v>9393445</v>
      </c>
    </row>
    <row r="34" spans="1:15" s="56" customFormat="1" ht="16.5">
      <c r="A34" s="64" t="s">
        <v>16</v>
      </c>
      <c r="B34" s="65"/>
      <c r="C34" s="65"/>
      <c r="D34" s="66">
        <v>2748</v>
      </c>
      <c r="E34" s="66"/>
      <c r="F34" s="66">
        <v>8031</v>
      </c>
      <c r="G34" s="66">
        <v>10770</v>
      </c>
      <c r="H34" s="66">
        <v>4406</v>
      </c>
      <c r="I34" s="66">
        <v>23538</v>
      </c>
      <c r="J34" s="66">
        <f t="shared" si="9"/>
        <v>49493</v>
      </c>
      <c r="N34" s="90"/>
      <c r="O34" s="91"/>
    </row>
    <row r="35" spans="1:15" s="56" customFormat="1" ht="16.5">
      <c r="A35" s="64" t="s">
        <v>73</v>
      </c>
      <c r="B35" s="65">
        <v>573130</v>
      </c>
      <c r="C35" s="65">
        <v>114384</v>
      </c>
      <c r="D35" s="66"/>
      <c r="E35" s="66"/>
      <c r="F35" s="66">
        <v>1507713</v>
      </c>
      <c r="G35" s="66"/>
      <c r="H35" s="66"/>
      <c r="I35" s="66"/>
      <c r="J35" s="66">
        <f t="shared" si="9"/>
        <v>2195227</v>
      </c>
      <c r="N35" s="90"/>
      <c r="O35" s="91"/>
    </row>
    <row r="36" spans="1:15" s="56" customFormat="1" ht="32.25" customHeight="1">
      <c r="A36" s="64" t="s">
        <v>74</v>
      </c>
      <c r="B36" s="65">
        <v>34999</v>
      </c>
      <c r="C36" s="65"/>
      <c r="D36" s="66"/>
      <c r="E36" s="66">
        <v>541915</v>
      </c>
      <c r="F36" s="66"/>
      <c r="G36" s="66">
        <v>1010582</v>
      </c>
      <c r="H36" s="66">
        <v>1432846</v>
      </c>
      <c r="I36" s="66">
        <v>24975</v>
      </c>
      <c r="J36" s="66">
        <f t="shared" si="9"/>
        <v>3045317</v>
      </c>
      <c r="N36" s="90"/>
      <c r="O36" s="91"/>
    </row>
    <row r="37" spans="1:15" s="56" customFormat="1" ht="45">
      <c r="A37" s="64" t="s">
        <v>75</v>
      </c>
      <c r="B37" s="65"/>
      <c r="C37" s="65"/>
      <c r="D37" s="66"/>
      <c r="E37" s="66">
        <v>382980</v>
      </c>
      <c r="F37" s="66"/>
      <c r="G37" s="66">
        <v>226136</v>
      </c>
      <c r="H37" s="66">
        <v>44509</v>
      </c>
      <c r="I37" s="66">
        <v>28583</v>
      </c>
      <c r="J37" s="66">
        <f t="shared" si="9"/>
        <v>682208</v>
      </c>
      <c r="N37" s="90"/>
      <c r="O37" s="91"/>
    </row>
    <row r="38" spans="1:15" s="56" customFormat="1" ht="45">
      <c r="A38" s="64" t="s">
        <v>76</v>
      </c>
      <c r="B38" s="65">
        <v>73125</v>
      </c>
      <c r="C38" s="65"/>
      <c r="D38" s="66">
        <v>137054</v>
      </c>
      <c r="E38" s="66">
        <v>70735</v>
      </c>
      <c r="F38" s="66">
        <v>95024</v>
      </c>
      <c r="G38" s="66">
        <v>104105</v>
      </c>
      <c r="H38" s="66">
        <v>14082</v>
      </c>
      <c r="I38" s="66">
        <v>142705</v>
      </c>
      <c r="J38" s="66">
        <f t="shared" si="9"/>
        <v>636830</v>
      </c>
      <c r="N38" s="90"/>
      <c r="O38" s="91"/>
    </row>
    <row r="39" spans="1:15" s="56" customFormat="1" ht="60">
      <c r="A39" s="64" t="s">
        <v>85</v>
      </c>
      <c r="B39" s="65"/>
      <c r="C39" s="65"/>
      <c r="D39" s="66"/>
      <c r="E39" s="66">
        <v>435</v>
      </c>
      <c r="F39" s="66"/>
      <c r="G39" s="66"/>
      <c r="H39" s="66"/>
      <c r="I39" s="66"/>
      <c r="J39" s="66">
        <f t="shared" si="9"/>
        <v>435</v>
      </c>
      <c r="N39" s="90"/>
      <c r="O39" s="91"/>
    </row>
    <row r="40" spans="1:15" s="56" customFormat="1" ht="16.5">
      <c r="A40" s="64" t="s">
        <v>87</v>
      </c>
      <c r="B40" s="65"/>
      <c r="C40" s="65"/>
      <c r="D40" s="66">
        <v>1</v>
      </c>
      <c r="E40" s="66"/>
      <c r="F40" s="66"/>
      <c r="G40" s="66"/>
      <c r="H40" s="66"/>
      <c r="I40" s="66"/>
      <c r="J40" s="66">
        <f t="shared" si="9"/>
        <v>1</v>
      </c>
      <c r="N40" s="90"/>
      <c r="O40" s="91"/>
    </row>
    <row r="41" spans="1:15" s="56" customFormat="1" ht="15" customHeight="1">
      <c r="A41" s="53" t="s">
        <v>77</v>
      </c>
      <c r="B41" s="55">
        <v>1955004</v>
      </c>
      <c r="C41" s="55">
        <v>317126</v>
      </c>
      <c r="D41" s="55">
        <v>1145522</v>
      </c>
      <c r="E41" s="55">
        <v>1817444</v>
      </c>
      <c r="F41" s="55">
        <v>1428712</v>
      </c>
      <c r="G41" s="55">
        <v>689060</v>
      </c>
      <c r="H41" s="55">
        <v>622766</v>
      </c>
      <c r="I41" s="55">
        <v>366164</v>
      </c>
      <c r="J41" s="55">
        <f t="shared" si="9"/>
        <v>8341798</v>
      </c>
      <c r="N41" s="90"/>
      <c r="O41" s="91"/>
    </row>
    <row r="42" spans="1:15" s="56" customFormat="1" ht="15" customHeight="1">
      <c r="A42" s="53" t="s">
        <v>78</v>
      </c>
      <c r="B42" s="55">
        <v>195959</v>
      </c>
      <c r="C42" s="55">
        <v>647363</v>
      </c>
      <c r="D42" s="55">
        <v>510052</v>
      </c>
      <c r="E42" s="55">
        <v>1362018</v>
      </c>
      <c r="F42" s="55">
        <v>191988</v>
      </c>
      <c r="G42" s="55">
        <v>945618</v>
      </c>
      <c r="H42" s="55">
        <v>482023</v>
      </c>
      <c r="I42" s="55">
        <v>79747</v>
      </c>
      <c r="J42" s="55">
        <f t="shared" si="9"/>
        <v>4414768</v>
      </c>
      <c r="N42" s="92"/>
      <c r="O42" s="93"/>
    </row>
    <row r="43" spans="1:15" ht="9" customHeight="1">
      <c r="A43" s="58"/>
      <c r="B43" s="54"/>
      <c r="C43" s="54"/>
      <c r="D43" s="55"/>
      <c r="E43" s="55"/>
      <c r="F43" s="55"/>
      <c r="G43" s="55"/>
      <c r="H43" s="55"/>
      <c r="I43" s="55"/>
      <c r="J43" s="55"/>
      <c r="N43" s="94"/>
      <c r="O43" s="94"/>
    </row>
    <row r="44" spans="1:11" s="56" customFormat="1" ht="21" customHeight="1">
      <c r="A44" s="53" t="s">
        <v>79</v>
      </c>
      <c r="B44" s="54">
        <f>B11-B6</f>
        <v>18938453</v>
      </c>
      <c r="C44" s="54">
        <f>C11-C6</f>
        <v>2412125</v>
      </c>
      <c r="D44" s="54">
        <f aca="true" t="shared" si="10" ref="D44:J44">D11-D6</f>
        <v>14494774</v>
      </c>
      <c r="E44" s="54">
        <f t="shared" si="10"/>
        <v>994546</v>
      </c>
      <c r="F44" s="54">
        <f t="shared" si="10"/>
        <v>19468424</v>
      </c>
      <c r="G44" s="54">
        <f t="shared" si="10"/>
        <v>54714842</v>
      </c>
      <c r="H44" s="54">
        <f t="shared" si="10"/>
        <v>42427881</v>
      </c>
      <c r="I44" s="54">
        <f t="shared" si="10"/>
        <v>21608873</v>
      </c>
      <c r="J44" s="54">
        <f t="shared" si="10"/>
        <v>175059918</v>
      </c>
      <c r="K44" s="54">
        <f>K6-K11</f>
        <v>0</v>
      </c>
    </row>
    <row r="45" spans="1:11" ht="15.75" customHeight="1">
      <c r="A45" s="58" t="s">
        <v>101</v>
      </c>
      <c r="B45" s="54">
        <f>26528721+B50</f>
        <v>18938453</v>
      </c>
      <c r="C45" s="54">
        <v>2412125</v>
      </c>
      <c r="D45" s="54">
        <f>22616827+D50</f>
        <v>14494774</v>
      </c>
      <c r="E45" s="54">
        <f>4253109+E50</f>
        <v>994546</v>
      </c>
      <c r="F45" s="54">
        <f>21800913+F50</f>
        <v>19468424</v>
      </c>
      <c r="G45" s="54">
        <f>57758866+G50</f>
        <v>54714842</v>
      </c>
      <c r="H45" s="54">
        <f>44153466+H50</f>
        <v>42427881</v>
      </c>
      <c r="I45" s="54">
        <f>22666826+I50</f>
        <v>21608873</v>
      </c>
      <c r="J45" s="54">
        <f>202190853+J50</f>
        <v>175059918</v>
      </c>
      <c r="K45" s="68">
        <f>SUM(B45:I45)</f>
        <v>175059918</v>
      </c>
    </row>
    <row r="46" spans="1:10" ht="15.75" customHeight="1">
      <c r="A46" s="83" t="s">
        <v>102</v>
      </c>
      <c r="B46" s="54">
        <v>2356861</v>
      </c>
      <c r="C46" s="54">
        <v>317066</v>
      </c>
      <c r="D46" s="55">
        <v>3675084</v>
      </c>
      <c r="E46" s="55"/>
      <c r="F46" s="55">
        <v>14293755</v>
      </c>
      <c r="G46" s="55">
        <v>48103705</v>
      </c>
      <c r="H46" s="55">
        <v>39267356</v>
      </c>
      <c r="I46" s="89">
        <v>19736051</v>
      </c>
      <c r="J46" s="55">
        <f>SUM(B46:I46)</f>
        <v>127749878</v>
      </c>
    </row>
    <row r="47" spans="1:10" ht="15.75" customHeight="1">
      <c r="A47" s="83" t="s">
        <v>103</v>
      </c>
      <c r="B47" s="54">
        <v>24171860</v>
      </c>
      <c r="C47" s="54">
        <v>2095059</v>
      </c>
      <c r="D47" s="85">
        <v>18941743</v>
      </c>
      <c r="E47" s="55">
        <v>4253109</v>
      </c>
      <c r="F47" s="55">
        <v>7507158</v>
      </c>
      <c r="G47" s="55">
        <v>9655161</v>
      </c>
      <c r="H47" s="55">
        <v>4886110</v>
      </c>
      <c r="I47" s="55">
        <v>2930775</v>
      </c>
      <c r="J47" s="55">
        <f>SUM(B47:I47)</f>
        <v>74440975</v>
      </c>
    </row>
    <row r="48" spans="1:10" ht="15.75" customHeight="1">
      <c r="A48" s="83"/>
      <c r="B48" s="54"/>
      <c r="C48" s="54"/>
      <c r="D48" s="85"/>
      <c r="E48" s="55"/>
      <c r="F48" s="55"/>
      <c r="G48" s="55"/>
      <c r="H48" s="55"/>
      <c r="I48" s="55"/>
      <c r="J48" s="55"/>
    </row>
    <row r="49" spans="1:10" s="56" customFormat="1" ht="21.75" customHeight="1" thickBot="1">
      <c r="A49" s="67" t="s">
        <v>80</v>
      </c>
      <c r="B49" s="55">
        <v>366302041</v>
      </c>
      <c r="C49" s="55">
        <v>33261924</v>
      </c>
      <c r="D49" s="55">
        <v>264356254</v>
      </c>
      <c r="E49" s="55">
        <v>241405295</v>
      </c>
      <c r="F49" s="55">
        <v>129760732</v>
      </c>
      <c r="G49" s="55">
        <v>204585750</v>
      </c>
      <c r="H49" s="55">
        <v>123691693</v>
      </c>
      <c r="I49" s="55">
        <v>78016449</v>
      </c>
      <c r="J49" s="55">
        <f>SUM(B49:I49)</f>
        <v>1441380138</v>
      </c>
    </row>
    <row r="50" spans="2:11" ht="12.75">
      <c r="B50" s="68">
        <v>-7590268</v>
      </c>
      <c r="C50" s="68"/>
      <c r="D50" s="68">
        <v>-8122053</v>
      </c>
      <c r="E50" s="68">
        <v>-3258563</v>
      </c>
      <c r="F50" s="68">
        <v>-2332489</v>
      </c>
      <c r="G50" s="68">
        <v>-3044024</v>
      </c>
      <c r="H50" s="68">
        <v>-1725585</v>
      </c>
      <c r="I50" s="68">
        <v>-1057953</v>
      </c>
      <c r="J50" s="68">
        <v>-27130935</v>
      </c>
      <c r="K50" s="68">
        <f>SUM(B50:I50)</f>
        <v>-27130935</v>
      </c>
    </row>
    <row r="51" spans="1:10" ht="69.75" customHeight="1">
      <c r="A51" s="19" t="s">
        <v>46</v>
      </c>
      <c r="B51" s="20"/>
      <c r="C51" s="20"/>
      <c r="D51" s="20"/>
      <c r="E51" s="20"/>
      <c r="F51" s="20"/>
      <c r="G51" s="20"/>
      <c r="H51" s="20"/>
      <c r="I51" s="20"/>
      <c r="J51" s="1"/>
    </row>
    <row r="52" spans="3:12" ht="12.75">
      <c r="C52" s="3"/>
      <c r="E52" s="4"/>
      <c r="F52" s="4"/>
      <c r="G52" s="4"/>
      <c r="H52" s="4"/>
      <c r="I52" s="4"/>
      <c r="J52" s="4"/>
      <c r="K52" s="4"/>
      <c r="L52" s="4"/>
    </row>
    <row r="53" spans="1:12" ht="12.75">
      <c r="A53" t="s">
        <v>44</v>
      </c>
      <c r="C53" s="3"/>
      <c r="E53" s="4"/>
      <c r="F53" s="4"/>
      <c r="G53" s="4"/>
      <c r="H53" s="4"/>
      <c r="I53" s="4"/>
      <c r="J53" s="4"/>
      <c r="K53" s="4"/>
      <c r="L53" s="4"/>
    </row>
    <row r="54" spans="2:10" ht="12.75">
      <c r="B54" s="68"/>
      <c r="C54" s="68"/>
      <c r="D54" s="68"/>
      <c r="E54" s="68"/>
      <c r="F54" s="68"/>
      <c r="G54" s="68"/>
      <c r="H54" s="68"/>
      <c r="I54" s="68"/>
      <c r="J54" s="68"/>
    </row>
    <row r="55" ht="12.75">
      <c r="A55" s="40" t="s">
        <v>83</v>
      </c>
    </row>
  </sheetData>
  <sheetProtection/>
  <mergeCells count="1">
    <mergeCell ref="A2:J2"/>
  </mergeCells>
  <printOptions/>
  <pageMargins left="0.75" right="0.75" top="1" bottom="0.2" header="0.5" footer="0.2"/>
  <pageSetup horizontalDpi="600" verticalDpi="600" orientation="landscape" paperSize="9" scale="68" r:id="rId1"/>
</worksheet>
</file>

<file path=xl/worksheets/sheet4.xml><?xml version="1.0" encoding="utf-8"?>
<worksheet xmlns="http://schemas.openxmlformats.org/spreadsheetml/2006/main" xmlns:r="http://schemas.openxmlformats.org/officeDocument/2006/relationships">
  <dimension ref="A1:O55"/>
  <sheetViews>
    <sheetView zoomScalePageLayoutView="0" workbookViewId="0" topLeftCell="A1">
      <pane xSplit="1" ySplit="4" topLeftCell="B41" activePane="bottomRight" state="frozen"/>
      <selection pane="topLeft" activeCell="A1" sqref="A1"/>
      <selection pane="topRight" activeCell="B1" sqref="B1"/>
      <selection pane="bottomLeft" activeCell="A14" sqref="A14"/>
      <selection pane="bottomRight" activeCell="G7" sqref="G7"/>
    </sheetView>
  </sheetViews>
  <sheetFormatPr defaultColWidth="9.00390625" defaultRowHeight="12.75"/>
  <cols>
    <col min="1" max="1" width="58.00390625" style="40" customWidth="1"/>
    <col min="2" max="2" width="12.875" style="40" customWidth="1"/>
    <col min="3" max="3" width="13.375" style="40" customWidth="1"/>
    <col min="4" max="4" width="12.75390625" style="40" customWidth="1"/>
    <col min="5" max="5" width="12.25390625" style="40" customWidth="1"/>
    <col min="6" max="6" width="12.625" style="40" customWidth="1"/>
    <col min="7" max="7" width="12.375" style="40" customWidth="1"/>
    <col min="8" max="8" width="15.00390625" style="40" customWidth="1"/>
    <col min="9" max="9" width="12.125" style="40" customWidth="1"/>
    <col min="10" max="10" width="14.375" style="40" customWidth="1"/>
    <col min="11" max="11" width="11.125" style="40" bestFit="1" customWidth="1"/>
    <col min="12" max="12" width="13.00390625" style="40" customWidth="1"/>
    <col min="13" max="14" width="9.125" style="40" customWidth="1"/>
    <col min="15" max="15" width="18.875" style="40" customWidth="1"/>
    <col min="16" max="16384" width="9.125" style="40" customWidth="1"/>
  </cols>
  <sheetData>
    <row r="1" spans="1:15" ht="13.5" customHeight="1">
      <c r="A1" s="37"/>
      <c r="B1" s="37"/>
      <c r="C1" s="37"/>
      <c r="D1" s="37"/>
      <c r="E1" s="37"/>
      <c r="F1" s="37"/>
      <c r="G1" s="37"/>
      <c r="H1" s="37"/>
      <c r="I1" s="37"/>
      <c r="J1" s="38"/>
      <c r="K1" s="39"/>
      <c r="L1" s="39"/>
      <c r="M1" s="39"/>
      <c r="N1" s="39"/>
      <c r="O1" s="39"/>
    </row>
    <row r="2" spans="1:10" ht="18.75">
      <c r="A2" s="202" t="s">
        <v>0</v>
      </c>
      <c r="B2" s="202"/>
      <c r="C2" s="202"/>
      <c r="D2" s="202"/>
      <c r="E2" s="202"/>
      <c r="F2" s="202"/>
      <c r="G2" s="202"/>
      <c r="H2" s="202"/>
      <c r="I2" s="202"/>
      <c r="J2" s="202"/>
    </row>
    <row r="3" spans="1:10" ht="16.5" thickBot="1">
      <c r="A3" s="43"/>
      <c r="B3" s="43"/>
      <c r="C3" s="43"/>
      <c r="D3" s="43"/>
      <c r="E3" s="43"/>
      <c r="F3" s="43"/>
      <c r="G3" s="43"/>
      <c r="H3" s="43"/>
      <c r="I3" s="43"/>
      <c r="J3" s="43" t="s">
        <v>52</v>
      </c>
    </row>
    <row r="4" spans="1:10" ht="34.5" customHeight="1" thickBot="1">
      <c r="A4" s="44" t="s">
        <v>53</v>
      </c>
      <c r="B4" s="45" t="s">
        <v>33</v>
      </c>
      <c r="C4" s="46" t="s">
        <v>34</v>
      </c>
      <c r="D4" s="46" t="s">
        <v>36</v>
      </c>
      <c r="E4" s="46" t="s">
        <v>39</v>
      </c>
      <c r="F4" s="46" t="s">
        <v>32</v>
      </c>
      <c r="G4" s="46" t="s">
        <v>30</v>
      </c>
      <c r="H4" s="46" t="s">
        <v>35</v>
      </c>
      <c r="I4" s="46" t="s">
        <v>38</v>
      </c>
      <c r="J4" s="47" t="s">
        <v>54</v>
      </c>
    </row>
    <row r="5" spans="1:10" ht="9" customHeight="1">
      <c r="A5" s="48"/>
      <c r="B5" s="49"/>
      <c r="C5" s="50"/>
      <c r="D5" s="51"/>
      <c r="E5" s="51"/>
      <c r="F5" s="51"/>
      <c r="G5" s="51"/>
      <c r="H5" s="51"/>
      <c r="I5" s="51"/>
      <c r="J5" s="52"/>
    </row>
    <row r="6" spans="1:13" s="56" customFormat="1" ht="20.25" customHeight="1">
      <c r="A6" s="53" t="s">
        <v>88</v>
      </c>
      <c r="B6" s="54">
        <v>302769499</v>
      </c>
      <c r="C6" s="54">
        <v>29640508</v>
      </c>
      <c r="D6" s="55">
        <v>222537280</v>
      </c>
      <c r="E6" s="55">
        <v>205663041</v>
      </c>
      <c r="F6" s="55">
        <v>83991661</v>
      </c>
      <c r="G6" s="55">
        <v>113220499</v>
      </c>
      <c r="H6" s="55">
        <v>60653445</v>
      </c>
      <c r="I6" s="55">
        <v>37295770</v>
      </c>
      <c r="J6" s="55">
        <f>SUM(B6:I6)</f>
        <v>1055771703</v>
      </c>
      <c r="M6" s="57"/>
    </row>
    <row r="7" spans="1:13" s="56" customFormat="1" ht="20.25" customHeight="1">
      <c r="A7" s="64" t="s">
        <v>89</v>
      </c>
      <c r="B7" s="70">
        <v>45158372</v>
      </c>
      <c r="C7" s="70">
        <v>8689922</v>
      </c>
      <c r="D7" s="71">
        <v>25872610</v>
      </c>
      <c r="E7" s="71">
        <v>19967871</v>
      </c>
      <c r="F7" s="71">
        <v>8920078</v>
      </c>
      <c r="G7" s="71">
        <v>16668891</v>
      </c>
      <c r="H7" s="71">
        <v>11792344</v>
      </c>
      <c r="I7" s="71">
        <v>7988016</v>
      </c>
      <c r="J7" s="71">
        <f>SUM(B7:I7)</f>
        <v>145058104</v>
      </c>
      <c r="M7" s="57"/>
    </row>
    <row r="8" spans="1:10" ht="27" customHeight="1">
      <c r="A8" s="58" t="s">
        <v>90</v>
      </c>
      <c r="B8" s="54">
        <f aca="true" t="shared" si="0" ref="B8:J8">B6-B7</f>
        <v>257611127</v>
      </c>
      <c r="C8" s="54">
        <f t="shared" si="0"/>
        <v>20950586</v>
      </c>
      <c r="D8" s="54">
        <f t="shared" si="0"/>
        <v>196664670</v>
      </c>
      <c r="E8" s="54">
        <f t="shared" si="0"/>
        <v>185695170</v>
      </c>
      <c r="F8" s="54">
        <f t="shared" si="0"/>
        <v>75071583</v>
      </c>
      <c r="G8" s="54">
        <f t="shared" si="0"/>
        <v>96551608</v>
      </c>
      <c r="H8" s="54">
        <f t="shared" si="0"/>
        <v>48861101</v>
      </c>
      <c r="I8" s="54">
        <f t="shared" si="0"/>
        <v>29307754</v>
      </c>
      <c r="J8" s="54">
        <f t="shared" si="0"/>
        <v>910713599</v>
      </c>
    </row>
    <row r="9" spans="1:10" s="56" customFormat="1" ht="15.75">
      <c r="A9" s="53" t="s">
        <v>91</v>
      </c>
      <c r="B9" s="54">
        <v>26528721</v>
      </c>
      <c r="C9" s="54">
        <v>2412125</v>
      </c>
      <c r="D9" s="55">
        <v>22616827</v>
      </c>
      <c r="E9" s="55">
        <v>4253109</v>
      </c>
      <c r="F9" s="55">
        <v>21800913</v>
      </c>
      <c r="G9" s="55">
        <v>57758866</v>
      </c>
      <c r="H9" s="55">
        <v>44153466</v>
      </c>
      <c r="I9" s="55">
        <v>22666826</v>
      </c>
      <c r="J9" s="55">
        <f>SUM(B9:I9)</f>
        <v>202190853</v>
      </c>
    </row>
    <row r="10" spans="1:10" s="56" customFormat="1" ht="15.75">
      <c r="A10" s="59"/>
      <c r="B10" s="54"/>
      <c r="C10" s="54"/>
      <c r="D10" s="55"/>
      <c r="E10" s="55"/>
      <c r="F10" s="55"/>
      <c r="G10" s="55"/>
      <c r="H10" s="55"/>
      <c r="I10" s="55"/>
      <c r="J10" s="55"/>
    </row>
    <row r="11" spans="1:10" ht="20.25" customHeight="1">
      <c r="A11" s="72" t="s">
        <v>92</v>
      </c>
      <c r="B11" s="54">
        <f aca="true" t="shared" si="1" ref="B11:J11">B12+B13</f>
        <v>321707952</v>
      </c>
      <c r="C11" s="54">
        <f t="shared" si="1"/>
        <v>32052633</v>
      </c>
      <c r="D11" s="54">
        <f t="shared" si="1"/>
        <v>237032054</v>
      </c>
      <c r="E11" s="54">
        <f t="shared" si="1"/>
        <v>206657587</v>
      </c>
      <c r="F11" s="54">
        <f t="shared" si="1"/>
        <v>103460085</v>
      </c>
      <c r="G11" s="54">
        <f t="shared" si="1"/>
        <v>167935341</v>
      </c>
      <c r="H11" s="54">
        <f t="shared" si="1"/>
        <v>103081326</v>
      </c>
      <c r="I11" s="54">
        <f t="shared" si="1"/>
        <v>58904643</v>
      </c>
      <c r="J11" s="54">
        <f t="shared" si="1"/>
        <v>1230831621</v>
      </c>
    </row>
    <row r="12" spans="1:10" s="56" customFormat="1" ht="20.25" customHeight="1">
      <c r="A12" s="73" t="s">
        <v>93</v>
      </c>
      <c r="B12" s="54">
        <f aca="true" t="shared" si="2" ref="B12:I12">B14+B18</f>
        <v>276549580</v>
      </c>
      <c r="C12" s="54">
        <f t="shared" si="2"/>
        <v>23362711</v>
      </c>
      <c r="D12" s="54">
        <f t="shared" si="2"/>
        <v>211159444</v>
      </c>
      <c r="E12" s="54">
        <f t="shared" si="2"/>
        <v>186689716</v>
      </c>
      <c r="F12" s="54">
        <f t="shared" si="2"/>
        <v>94540007</v>
      </c>
      <c r="G12" s="54">
        <f t="shared" si="2"/>
        <v>151266450</v>
      </c>
      <c r="H12" s="54">
        <f t="shared" si="2"/>
        <v>91288982</v>
      </c>
      <c r="I12" s="54">
        <f t="shared" si="2"/>
        <v>50916627</v>
      </c>
      <c r="J12" s="55">
        <f>SUM(B12:I12)</f>
        <v>1085773517</v>
      </c>
    </row>
    <row r="13" spans="1:10" s="80" customFormat="1" ht="15.75">
      <c r="A13" s="74" t="s">
        <v>94</v>
      </c>
      <c r="B13" s="62">
        <v>45158372</v>
      </c>
      <c r="C13" s="62">
        <v>8689922</v>
      </c>
      <c r="D13" s="63">
        <v>25872610</v>
      </c>
      <c r="E13" s="63">
        <v>19967871</v>
      </c>
      <c r="F13" s="63">
        <v>8920078</v>
      </c>
      <c r="G13" s="63">
        <v>16668891</v>
      </c>
      <c r="H13" s="63">
        <v>11792344</v>
      </c>
      <c r="I13" s="63">
        <v>7988016</v>
      </c>
      <c r="J13" s="55">
        <f>SUM(B13:I13)</f>
        <v>145058104</v>
      </c>
    </row>
    <row r="14" spans="1:10" ht="15.75">
      <c r="A14" s="73" t="s">
        <v>95</v>
      </c>
      <c r="B14" s="62">
        <f aca="true" t="shared" si="3" ref="B14:J14">B16+B17</f>
        <v>252377720</v>
      </c>
      <c r="C14" s="62">
        <f t="shared" si="3"/>
        <v>21267653</v>
      </c>
      <c r="D14" s="62">
        <f t="shared" si="3"/>
        <v>193452770</v>
      </c>
      <c r="E14" s="62">
        <f t="shared" si="3"/>
        <v>169100199</v>
      </c>
      <c r="F14" s="62">
        <f t="shared" si="3"/>
        <v>87032849</v>
      </c>
      <c r="G14" s="62">
        <f t="shared" si="3"/>
        <v>141611289</v>
      </c>
      <c r="H14" s="62">
        <f t="shared" si="3"/>
        <v>86402872</v>
      </c>
      <c r="I14" s="62">
        <f t="shared" si="3"/>
        <v>48044811</v>
      </c>
      <c r="J14" s="54">
        <f t="shared" si="3"/>
        <v>999290163</v>
      </c>
    </row>
    <row r="15" spans="1:10" ht="15.75" hidden="1">
      <c r="A15" s="73" t="s">
        <v>96</v>
      </c>
      <c r="B15" s="62">
        <v>0.9149</v>
      </c>
      <c r="C15" s="62">
        <v>0.9103</v>
      </c>
      <c r="D15" s="63">
        <v>0.9136</v>
      </c>
      <c r="E15" s="63">
        <v>0.9022</v>
      </c>
      <c r="F15" s="63">
        <v>0.9225</v>
      </c>
      <c r="G15" s="63">
        <v>0.9374</v>
      </c>
      <c r="H15" s="63">
        <v>0.9475</v>
      </c>
      <c r="I15" s="63">
        <v>0.9436</v>
      </c>
      <c r="J15" s="55">
        <f>SUM(B15:I15)</f>
        <v>7.392</v>
      </c>
    </row>
    <row r="16" spans="1:10" ht="60">
      <c r="A16" s="75" t="s">
        <v>97</v>
      </c>
      <c r="B16" s="62">
        <f>242928598-7590268</f>
        <v>235338330</v>
      </c>
      <c r="C16" s="62">
        <v>19038461</v>
      </c>
      <c r="D16" s="63">
        <f>189770037-8122053</f>
        <v>181647984</v>
      </c>
      <c r="E16" s="63">
        <f>161282331-3258563</f>
        <v>158023768</v>
      </c>
      <c r="F16" s="63">
        <f>84657042-2332489</f>
        <v>82324553</v>
      </c>
      <c r="G16" s="63">
        <f>133807845-3044024</f>
        <v>130763821</v>
      </c>
      <c r="H16" s="63">
        <f>82051311-1725585</f>
        <v>80325726</v>
      </c>
      <c r="I16" s="63">
        <f>46793532-1057953</f>
        <v>45735579</v>
      </c>
      <c r="J16" s="55">
        <f>SUM(B16:I16)</f>
        <v>933198222</v>
      </c>
    </row>
    <row r="17" spans="1:10" ht="15.75">
      <c r="A17" s="73" t="s">
        <v>98</v>
      </c>
      <c r="B17" s="62">
        <v>17039390</v>
      </c>
      <c r="C17" s="62">
        <v>2229192</v>
      </c>
      <c r="D17" s="63">
        <f>10569717+1235069</f>
        <v>11804786</v>
      </c>
      <c r="E17" s="63">
        <f>10096431+980000</f>
        <v>11076431</v>
      </c>
      <c r="F17" s="63">
        <v>4708296</v>
      </c>
      <c r="G17" s="63">
        <v>10847468</v>
      </c>
      <c r="H17" s="63">
        <v>6077146</v>
      </c>
      <c r="I17" s="63">
        <f>2250272+20560+38400</f>
        <v>2309232</v>
      </c>
      <c r="J17" s="55">
        <f>SUM(B17:I17)</f>
        <v>66091941</v>
      </c>
    </row>
    <row r="18" spans="1:10" ht="17.25" customHeight="1">
      <c r="A18" s="73" t="s">
        <v>99</v>
      </c>
      <c r="B18" s="62">
        <v>24171860</v>
      </c>
      <c r="C18" s="62">
        <v>2095058</v>
      </c>
      <c r="D18" s="63">
        <f>18941743-1235069</f>
        <v>17706674</v>
      </c>
      <c r="E18" s="63">
        <f>18569517-980000</f>
        <v>17589517</v>
      </c>
      <c r="F18" s="63">
        <v>7507158</v>
      </c>
      <c r="G18" s="63">
        <v>9655161</v>
      </c>
      <c r="H18" s="63">
        <v>4886110</v>
      </c>
      <c r="I18" s="63">
        <f>2930776-20560-38400</f>
        <v>2871816</v>
      </c>
      <c r="J18" s="55">
        <f>SUM(B18:I18)</f>
        <v>86483354</v>
      </c>
    </row>
    <row r="19" spans="1:10" ht="17.25" customHeight="1">
      <c r="A19" s="76"/>
      <c r="B19" s="62"/>
      <c r="C19" s="62"/>
      <c r="D19" s="63"/>
      <c r="E19" s="63"/>
      <c r="F19" s="63"/>
      <c r="G19" s="63"/>
      <c r="H19" s="63"/>
      <c r="I19" s="63"/>
      <c r="J19" s="55"/>
    </row>
    <row r="20" spans="1:10" s="79" customFormat="1" ht="17.25" customHeight="1">
      <c r="A20" s="78" t="s">
        <v>100</v>
      </c>
      <c r="B20" s="54">
        <f aca="true" t="shared" si="4" ref="B20:J20">SUM(B21:B24)</f>
        <v>257906</v>
      </c>
      <c r="C20" s="54">
        <f t="shared" si="4"/>
        <v>76736</v>
      </c>
      <c r="D20" s="54">
        <f t="shared" si="4"/>
        <v>1212958</v>
      </c>
      <c r="E20" s="54">
        <f t="shared" si="4"/>
        <v>1582</v>
      </c>
      <c r="F20" s="54">
        <f t="shared" si="4"/>
        <v>903802</v>
      </c>
      <c r="G20" s="54">
        <f t="shared" si="4"/>
        <v>1357354</v>
      </c>
      <c r="H20" s="54">
        <f t="shared" si="4"/>
        <v>155426</v>
      </c>
      <c r="I20" s="54">
        <f t="shared" si="4"/>
        <v>143698</v>
      </c>
      <c r="J20" s="54">
        <f t="shared" si="4"/>
        <v>4109462</v>
      </c>
    </row>
    <row r="21" spans="1:10" ht="15.75">
      <c r="A21" s="61" t="s">
        <v>81</v>
      </c>
      <c r="B21" s="62">
        <f aca="true" t="shared" si="5" ref="B21:J21">SUM(B22:B24)</f>
        <v>128953</v>
      </c>
      <c r="C21" s="62">
        <f t="shared" si="5"/>
        <v>38368</v>
      </c>
      <c r="D21" s="62">
        <f t="shared" si="5"/>
        <v>606479</v>
      </c>
      <c r="E21" s="62">
        <f t="shared" si="5"/>
        <v>791</v>
      </c>
      <c r="F21" s="62">
        <f t="shared" si="5"/>
        <v>451901</v>
      </c>
      <c r="G21" s="62">
        <f t="shared" si="5"/>
        <v>678677</v>
      </c>
      <c r="H21" s="62">
        <f t="shared" si="5"/>
        <v>77713</v>
      </c>
      <c r="I21" s="62">
        <f t="shared" si="5"/>
        <v>71849</v>
      </c>
      <c r="J21" s="69">
        <f t="shared" si="5"/>
        <v>2054731</v>
      </c>
    </row>
    <row r="22" spans="1:10" ht="31.5">
      <c r="A22" s="61" t="s">
        <v>61</v>
      </c>
      <c r="B22" s="62">
        <v>0</v>
      </c>
      <c r="C22" s="62">
        <v>0</v>
      </c>
      <c r="D22" s="63">
        <v>0</v>
      </c>
      <c r="E22" s="63">
        <v>791</v>
      </c>
      <c r="F22" s="63"/>
      <c r="G22" s="63">
        <v>672694</v>
      </c>
      <c r="H22" s="63">
        <v>70531</v>
      </c>
      <c r="I22" s="63">
        <v>328</v>
      </c>
      <c r="J22" s="63">
        <f>SUM(B22:I22)</f>
        <v>744344</v>
      </c>
    </row>
    <row r="23" spans="1:10" ht="31.5">
      <c r="A23" s="61" t="s">
        <v>62</v>
      </c>
      <c r="B23" s="62">
        <v>156</v>
      </c>
      <c r="C23" s="62">
        <v>20390</v>
      </c>
      <c r="D23" s="63">
        <v>163664</v>
      </c>
      <c r="E23" s="63">
        <v>0</v>
      </c>
      <c r="F23" s="63">
        <v>425169</v>
      </c>
      <c r="G23" s="63">
        <v>5970</v>
      </c>
      <c r="H23" s="63">
        <f>7182</f>
        <v>7182</v>
      </c>
      <c r="I23" s="63"/>
      <c r="J23" s="63">
        <f>SUM(B23:I23)</f>
        <v>622531</v>
      </c>
    </row>
    <row r="24" spans="1:10" ht="15.75">
      <c r="A24" s="61" t="s">
        <v>64</v>
      </c>
      <c r="B24" s="62">
        <v>128797</v>
      </c>
      <c r="C24" s="62">
        <v>17978</v>
      </c>
      <c r="D24" s="63">
        <v>442815</v>
      </c>
      <c r="E24" s="63"/>
      <c r="F24" s="63">
        <v>26732</v>
      </c>
      <c r="G24" s="63">
        <v>13</v>
      </c>
      <c r="H24" s="63">
        <v>0</v>
      </c>
      <c r="I24" s="63">
        <v>71521</v>
      </c>
      <c r="J24" s="63">
        <f>SUM(B24:I24)</f>
        <v>687856</v>
      </c>
    </row>
    <row r="25" spans="1:10" ht="9" customHeight="1">
      <c r="A25" s="58"/>
      <c r="B25" s="54"/>
      <c r="C25" s="54"/>
      <c r="D25" s="55"/>
      <c r="E25" s="55"/>
      <c r="F25" s="55"/>
      <c r="G25" s="55"/>
      <c r="H25" s="55"/>
      <c r="I25" s="55"/>
      <c r="J25" s="55"/>
    </row>
    <row r="26" spans="1:10" ht="21" customHeight="1">
      <c r="A26" s="58" t="s">
        <v>86</v>
      </c>
      <c r="B26" s="54"/>
      <c r="C26" s="54"/>
      <c r="D26" s="55"/>
      <c r="E26" s="55"/>
      <c r="F26" s="55"/>
      <c r="G26" s="55"/>
      <c r="H26" s="55"/>
      <c r="I26" s="55"/>
      <c r="J26" s="55"/>
    </row>
    <row r="27" spans="1:10" s="56" customFormat="1" ht="15.75">
      <c r="A27" s="53" t="s">
        <v>67</v>
      </c>
      <c r="B27" s="54">
        <f aca="true" t="shared" si="6" ref="B27:J27">B28+B29</f>
        <v>4311978</v>
      </c>
      <c r="C27" s="54">
        <f t="shared" si="6"/>
        <v>915972</v>
      </c>
      <c r="D27" s="54">
        <f t="shared" si="6"/>
        <v>2411256</v>
      </c>
      <c r="E27" s="54">
        <f t="shared" si="6"/>
        <v>18787533</v>
      </c>
      <c r="F27" s="54">
        <f t="shared" si="6"/>
        <v>2882720</v>
      </c>
      <c r="G27" s="54">
        <f t="shared" si="6"/>
        <v>3663740</v>
      </c>
      <c r="H27" s="54">
        <f t="shared" si="6"/>
        <v>2236230</v>
      </c>
      <c r="I27" s="54">
        <f t="shared" si="6"/>
        <v>1229950</v>
      </c>
      <c r="J27" s="54">
        <f t="shared" si="6"/>
        <v>36439379</v>
      </c>
    </row>
    <row r="28" spans="1:10" ht="15.75" customHeight="1">
      <c r="A28" s="58" t="s">
        <v>82</v>
      </c>
      <c r="B28" s="7">
        <v>2034857</v>
      </c>
      <c r="C28" s="7">
        <v>50109</v>
      </c>
      <c r="D28" s="7">
        <v>100240</v>
      </c>
      <c r="E28" s="55">
        <v>13231411</v>
      </c>
      <c r="F28" s="55">
        <v>232810</v>
      </c>
      <c r="G28" s="55">
        <v>993071</v>
      </c>
      <c r="H28" s="55">
        <v>201585</v>
      </c>
      <c r="I28" s="55">
        <v>332076</v>
      </c>
      <c r="J28" s="55">
        <f>SUM(B28:I28)</f>
        <v>17176159</v>
      </c>
    </row>
    <row r="29" spans="1:10" ht="15.75">
      <c r="A29" s="58" t="s">
        <v>84</v>
      </c>
      <c r="B29" s="62">
        <f>SUM(B30:B39)</f>
        <v>2277121</v>
      </c>
      <c r="C29" s="62">
        <f>SUM(C30:C39)</f>
        <v>865863</v>
      </c>
      <c r="D29" s="62">
        <f aca="true" t="shared" si="7" ref="D29:J29">SUM(D30:D40)</f>
        <v>2311016</v>
      </c>
      <c r="E29" s="62">
        <f t="shared" si="7"/>
        <v>5556122</v>
      </c>
      <c r="F29" s="62">
        <f t="shared" si="7"/>
        <v>2649910</v>
      </c>
      <c r="G29" s="62">
        <f t="shared" si="7"/>
        <v>2670669</v>
      </c>
      <c r="H29" s="62">
        <f t="shared" si="7"/>
        <v>2034645</v>
      </c>
      <c r="I29" s="62">
        <f t="shared" si="7"/>
        <v>897874</v>
      </c>
      <c r="J29" s="62">
        <f t="shared" si="7"/>
        <v>19263220</v>
      </c>
    </row>
    <row r="30" spans="1:10" ht="15.75">
      <c r="A30" s="61" t="s">
        <v>5</v>
      </c>
      <c r="B30" s="62"/>
      <c r="C30" s="62"/>
      <c r="D30" s="63"/>
      <c r="E30" s="63"/>
      <c r="F30" s="63"/>
      <c r="G30" s="63"/>
      <c r="H30" s="63"/>
      <c r="I30" s="63"/>
      <c r="J30" s="63"/>
    </row>
    <row r="31" spans="1:10" s="56" customFormat="1" ht="15">
      <c r="A31" s="64" t="s">
        <v>70</v>
      </c>
      <c r="B31" s="65">
        <v>8929</v>
      </c>
      <c r="C31" s="65"/>
      <c r="D31" s="66"/>
      <c r="E31" s="66">
        <v>380224</v>
      </c>
      <c r="F31" s="66">
        <v>280809</v>
      </c>
      <c r="G31" s="66">
        <v>625459</v>
      </c>
      <c r="H31" s="66">
        <v>194956</v>
      </c>
      <c r="I31" s="66">
        <v>452263</v>
      </c>
      <c r="J31" s="66">
        <f aca="true" t="shared" si="8" ref="J31:J42">SUM(B31:I31)</f>
        <v>1942640</v>
      </c>
    </row>
    <row r="32" spans="1:10" s="56" customFormat="1" ht="30">
      <c r="A32" s="64" t="s">
        <v>71</v>
      </c>
      <c r="B32" s="65">
        <v>13045</v>
      </c>
      <c r="C32" s="65"/>
      <c r="D32" s="66">
        <v>1</v>
      </c>
      <c r="E32" s="66">
        <v>799383</v>
      </c>
      <c r="F32" s="66">
        <v>72072</v>
      </c>
      <c r="G32" s="66">
        <v>40404</v>
      </c>
      <c r="H32" s="66">
        <v>240868</v>
      </c>
      <c r="I32" s="66">
        <v>151851</v>
      </c>
      <c r="J32" s="66">
        <f t="shared" si="8"/>
        <v>1317624</v>
      </c>
    </row>
    <row r="33" spans="1:10" s="56" customFormat="1" ht="30" customHeight="1">
      <c r="A33" s="64" t="s">
        <v>72</v>
      </c>
      <c r="B33" s="65">
        <v>1573893</v>
      </c>
      <c r="C33" s="65">
        <v>751479</v>
      </c>
      <c r="D33" s="66">
        <v>2171212</v>
      </c>
      <c r="E33" s="66">
        <v>3380450</v>
      </c>
      <c r="F33" s="66">
        <v>686261</v>
      </c>
      <c r="G33" s="66">
        <v>653213</v>
      </c>
      <c r="H33" s="66">
        <v>102978</v>
      </c>
      <c r="I33" s="66">
        <v>73959</v>
      </c>
      <c r="J33" s="66">
        <f t="shared" si="8"/>
        <v>9393445</v>
      </c>
    </row>
    <row r="34" spans="1:15" s="56" customFormat="1" ht="16.5">
      <c r="A34" s="64" t="s">
        <v>16</v>
      </c>
      <c r="B34" s="65"/>
      <c r="C34" s="65"/>
      <c r="D34" s="66">
        <v>2748</v>
      </c>
      <c r="E34" s="66"/>
      <c r="F34" s="66">
        <v>8031</v>
      </c>
      <c r="G34" s="66">
        <v>10770</v>
      </c>
      <c r="H34" s="66">
        <v>4406</v>
      </c>
      <c r="I34" s="66">
        <v>23538</v>
      </c>
      <c r="J34" s="66">
        <f t="shared" si="8"/>
        <v>49493</v>
      </c>
      <c r="N34" s="90"/>
      <c r="O34" s="91"/>
    </row>
    <row r="35" spans="1:15" s="56" customFormat="1" ht="16.5">
      <c r="A35" s="64" t="s">
        <v>73</v>
      </c>
      <c r="B35" s="65">
        <v>573130</v>
      </c>
      <c r="C35" s="65">
        <v>114384</v>
      </c>
      <c r="D35" s="66"/>
      <c r="E35" s="66"/>
      <c r="F35" s="66">
        <v>1507713</v>
      </c>
      <c r="G35" s="66"/>
      <c r="H35" s="66"/>
      <c r="I35" s="66"/>
      <c r="J35" s="66">
        <f t="shared" si="8"/>
        <v>2195227</v>
      </c>
      <c r="N35" s="90"/>
      <c r="O35" s="91"/>
    </row>
    <row r="36" spans="1:15" s="56" customFormat="1" ht="32.25" customHeight="1">
      <c r="A36" s="64" t="s">
        <v>74</v>
      </c>
      <c r="B36" s="65">
        <v>34999</v>
      </c>
      <c r="C36" s="65"/>
      <c r="D36" s="66"/>
      <c r="E36" s="66">
        <v>541915</v>
      </c>
      <c r="F36" s="66"/>
      <c r="G36" s="66">
        <v>1010582</v>
      </c>
      <c r="H36" s="66">
        <v>1432846</v>
      </c>
      <c r="I36" s="66">
        <v>24975</v>
      </c>
      <c r="J36" s="66">
        <f t="shared" si="8"/>
        <v>3045317</v>
      </c>
      <c r="N36" s="90"/>
      <c r="O36" s="91"/>
    </row>
    <row r="37" spans="1:15" s="56" customFormat="1" ht="45">
      <c r="A37" s="64" t="s">
        <v>75</v>
      </c>
      <c r="B37" s="65"/>
      <c r="C37" s="65"/>
      <c r="D37" s="66"/>
      <c r="E37" s="66">
        <v>382980</v>
      </c>
      <c r="F37" s="66"/>
      <c r="G37" s="66">
        <v>226136</v>
      </c>
      <c r="H37" s="66">
        <v>44509</v>
      </c>
      <c r="I37" s="66">
        <v>28583</v>
      </c>
      <c r="J37" s="66">
        <f t="shared" si="8"/>
        <v>682208</v>
      </c>
      <c r="N37" s="90"/>
      <c r="O37" s="91"/>
    </row>
    <row r="38" spans="1:15" s="56" customFormat="1" ht="45">
      <c r="A38" s="64" t="s">
        <v>76</v>
      </c>
      <c r="B38" s="65">
        <v>73125</v>
      </c>
      <c r="C38" s="65"/>
      <c r="D38" s="66">
        <v>137054</v>
      </c>
      <c r="E38" s="66">
        <v>70735</v>
      </c>
      <c r="F38" s="66">
        <v>95024</v>
      </c>
      <c r="G38" s="66">
        <v>104105</v>
      </c>
      <c r="H38" s="66">
        <v>14082</v>
      </c>
      <c r="I38" s="66">
        <v>142705</v>
      </c>
      <c r="J38" s="66">
        <f t="shared" si="8"/>
        <v>636830</v>
      </c>
      <c r="N38" s="90"/>
      <c r="O38" s="91"/>
    </row>
    <row r="39" spans="1:15" s="56" customFormat="1" ht="60">
      <c r="A39" s="64" t="s">
        <v>85</v>
      </c>
      <c r="B39" s="65"/>
      <c r="C39" s="65"/>
      <c r="D39" s="66"/>
      <c r="E39" s="66">
        <v>435</v>
      </c>
      <c r="F39" s="66"/>
      <c r="G39" s="66"/>
      <c r="H39" s="66"/>
      <c r="I39" s="66"/>
      <c r="J39" s="66">
        <f t="shared" si="8"/>
        <v>435</v>
      </c>
      <c r="N39" s="90"/>
      <c r="O39" s="91"/>
    </row>
    <row r="40" spans="1:15" s="56" customFormat="1" ht="16.5">
      <c r="A40" s="64" t="s">
        <v>87</v>
      </c>
      <c r="B40" s="65"/>
      <c r="C40" s="65"/>
      <c r="D40" s="66">
        <v>1</v>
      </c>
      <c r="E40" s="66"/>
      <c r="F40" s="66"/>
      <c r="G40" s="66"/>
      <c r="H40" s="66"/>
      <c r="I40" s="66"/>
      <c r="J40" s="66">
        <f t="shared" si="8"/>
        <v>1</v>
      </c>
      <c r="N40" s="90"/>
      <c r="O40" s="91"/>
    </row>
    <row r="41" spans="1:15" s="56" customFormat="1" ht="15" customHeight="1">
      <c r="A41" s="53" t="s">
        <v>77</v>
      </c>
      <c r="B41" s="55">
        <v>1955004</v>
      </c>
      <c r="C41" s="55">
        <v>317126</v>
      </c>
      <c r="D41" s="55">
        <v>1145522</v>
      </c>
      <c r="E41" s="55">
        <v>1817444</v>
      </c>
      <c r="F41" s="55">
        <v>1428712</v>
      </c>
      <c r="G41" s="55">
        <v>689060</v>
      </c>
      <c r="H41" s="55">
        <v>622766</v>
      </c>
      <c r="I41" s="55">
        <v>366164</v>
      </c>
      <c r="J41" s="55">
        <f t="shared" si="8"/>
        <v>8341798</v>
      </c>
      <c r="N41" s="90"/>
      <c r="O41" s="91"/>
    </row>
    <row r="42" spans="1:15" s="56" customFormat="1" ht="15" customHeight="1">
      <c r="A42" s="53" t="s">
        <v>78</v>
      </c>
      <c r="B42" s="55">
        <v>195959</v>
      </c>
      <c r="C42" s="55">
        <v>647363</v>
      </c>
      <c r="D42" s="55">
        <v>510052</v>
      </c>
      <c r="E42" s="55">
        <v>1362018</v>
      </c>
      <c r="F42" s="55">
        <v>191988</v>
      </c>
      <c r="G42" s="55">
        <v>945618</v>
      </c>
      <c r="H42" s="55">
        <v>482023</v>
      </c>
      <c r="I42" s="55">
        <v>79747</v>
      </c>
      <c r="J42" s="55">
        <f t="shared" si="8"/>
        <v>4414768</v>
      </c>
      <c r="N42" s="92"/>
      <c r="O42" s="93"/>
    </row>
    <row r="43" spans="1:15" ht="9" customHeight="1">
      <c r="A43" s="58"/>
      <c r="B43" s="54"/>
      <c r="C43" s="54"/>
      <c r="D43" s="55"/>
      <c r="E43" s="55"/>
      <c r="F43" s="55"/>
      <c r="G43" s="55"/>
      <c r="H43" s="55"/>
      <c r="I43" s="55"/>
      <c r="J43" s="55"/>
      <c r="N43" s="94"/>
      <c r="O43" s="94"/>
    </row>
    <row r="44" spans="1:11" s="56" customFormat="1" ht="21" customHeight="1">
      <c r="A44" s="53" t="s">
        <v>79</v>
      </c>
      <c r="B44" s="54">
        <f aca="true" t="shared" si="9" ref="B44:J44">B11-B6</f>
        <v>18938453</v>
      </c>
      <c r="C44" s="54">
        <f t="shared" si="9"/>
        <v>2412125</v>
      </c>
      <c r="D44" s="54">
        <f t="shared" si="9"/>
        <v>14494774</v>
      </c>
      <c r="E44" s="54">
        <f t="shared" si="9"/>
        <v>994546</v>
      </c>
      <c r="F44" s="54">
        <f t="shared" si="9"/>
        <v>19468424</v>
      </c>
      <c r="G44" s="54">
        <f t="shared" si="9"/>
        <v>54714842</v>
      </c>
      <c r="H44" s="54">
        <f t="shared" si="9"/>
        <v>42427881</v>
      </c>
      <c r="I44" s="54">
        <f t="shared" si="9"/>
        <v>21608873</v>
      </c>
      <c r="J44" s="54">
        <f t="shared" si="9"/>
        <v>175059918</v>
      </c>
      <c r="K44" s="54">
        <f>K6-K11</f>
        <v>0</v>
      </c>
    </row>
    <row r="45" spans="1:11" ht="15.75" customHeight="1">
      <c r="A45" s="58" t="s">
        <v>101</v>
      </c>
      <c r="B45" s="54">
        <f>26528721+B50</f>
        <v>18938453</v>
      </c>
      <c r="C45" s="54">
        <v>2412125</v>
      </c>
      <c r="D45" s="54">
        <f>22616827+D50</f>
        <v>14494774</v>
      </c>
      <c r="E45" s="54">
        <f>4253109+E50</f>
        <v>994546</v>
      </c>
      <c r="F45" s="54">
        <f>21800913+F50</f>
        <v>19468424</v>
      </c>
      <c r="G45" s="54">
        <f>57758866+G50</f>
        <v>54714842</v>
      </c>
      <c r="H45" s="54">
        <f>44153466+H50</f>
        <v>42427881</v>
      </c>
      <c r="I45" s="54">
        <f>22666826+I50</f>
        <v>21608873</v>
      </c>
      <c r="J45" s="54">
        <f>202190853+J50</f>
        <v>175059918</v>
      </c>
      <c r="K45" s="68">
        <f>SUM(B45:I45)</f>
        <v>175059918</v>
      </c>
    </row>
    <row r="46" spans="1:10" ht="15.75" customHeight="1">
      <c r="A46" s="83" t="s">
        <v>102</v>
      </c>
      <c r="B46" s="54">
        <v>2356861</v>
      </c>
      <c r="C46" s="54">
        <v>317066</v>
      </c>
      <c r="D46" s="55">
        <v>3675084</v>
      </c>
      <c r="E46" s="55"/>
      <c r="F46" s="55">
        <v>14293755</v>
      </c>
      <c r="G46" s="55">
        <v>48103705</v>
      </c>
      <c r="H46" s="55">
        <v>39267356</v>
      </c>
      <c r="I46" s="89">
        <v>19736051</v>
      </c>
      <c r="J46" s="55">
        <f>SUM(B46:I46)</f>
        <v>127749878</v>
      </c>
    </row>
    <row r="47" spans="1:10" ht="15.75" customHeight="1">
      <c r="A47" s="83" t="s">
        <v>103</v>
      </c>
      <c r="B47" s="54">
        <v>24171860</v>
      </c>
      <c r="C47" s="54">
        <v>2095059</v>
      </c>
      <c r="D47" s="85">
        <v>18941743</v>
      </c>
      <c r="E47" s="55">
        <v>4253109</v>
      </c>
      <c r="F47" s="55">
        <v>7507158</v>
      </c>
      <c r="G47" s="55">
        <v>9655161</v>
      </c>
      <c r="H47" s="55">
        <v>4886110</v>
      </c>
      <c r="I47" s="55">
        <v>2930775</v>
      </c>
      <c r="J47" s="55">
        <f>SUM(B47:I47)</f>
        <v>74440975</v>
      </c>
    </row>
    <row r="48" spans="1:10" ht="15.75" customHeight="1">
      <c r="A48" s="83"/>
      <c r="B48" s="54"/>
      <c r="C48" s="54"/>
      <c r="D48" s="85"/>
      <c r="E48" s="55"/>
      <c r="F48" s="55"/>
      <c r="G48" s="55"/>
      <c r="H48" s="55"/>
      <c r="I48" s="55"/>
      <c r="J48" s="55"/>
    </row>
    <row r="49" spans="1:10" s="56" customFormat="1" ht="21.75" customHeight="1" thickBot="1">
      <c r="A49" s="67" t="s">
        <v>80</v>
      </c>
      <c r="B49" s="55">
        <v>366302041</v>
      </c>
      <c r="C49" s="55">
        <v>33261924</v>
      </c>
      <c r="D49" s="55">
        <v>264356254</v>
      </c>
      <c r="E49" s="55">
        <v>241405295</v>
      </c>
      <c r="F49" s="55">
        <v>129760732</v>
      </c>
      <c r="G49" s="55">
        <v>204585750</v>
      </c>
      <c r="H49" s="55">
        <v>123691693</v>
      </c>
      <c r="I49" s="55">
        <v>78016449</v>
      </c>
      <c r="J49" s="55">
        <f>SUM(B49:I49)</f>
        <v>1441380138</v>
      </c>
    </row>
    <row r="50" spans="2:11" ht="12.75">
      <c r="B50" s="68">
        <v>-7590268</v>
      </c>
      <c r="C50" s="68"/>
      <c r="D50" s="68">
        <v>-8122053</v>
      </c>
      <c r="E50" s="68">
        <v>-3258563</v>
      </c>
      <c r="F50" s="68">
        <v>-2332489</v>
      </c>
      <c r="G50" s="68">
        <v>-3044024</v>
      </c>
      <c r="H50" s="68">
        <v>-1725585</v>
      </c>
      <c r="I50" s="68">
        <v>-1057953</v>
      </c>
      <c r="J50" s="68">
        <v>-27130935</v>
      </c>
      <c r="K50" s="68">
        <f>SUM(B50:I50)</f>
        <v>-27130935</v>
      </c>
    </row>
    <row r="51" spans="1:10" ht="69.75" customHeight="1">
      <c r="A51" s="19" t="s">
        <v>46</v>
      </c>
      <c r="B51" s="81"/>
      <c r="C51" s="81"/>
      <c r="D51" s="81"/>
      <c r="E51" s="81"/>
      <c r="F51" s="81"/>
      <c r="G51" s="81"/>
      <c r="H51" s="81"/>
      <c r="I51" s="81">
        <f>I46+I47-I45</f>
        <v>1057953</v>
      </c>
      <c r="J51" s="1"/>
    </row>
    <row r="52" spans="3:12" ht="12.75">
      <c r="C52" s="3"/>
      <c r="E52" s="82"/>
      <c r="F52" s="82"/>
      <c r="G52" s="82"/>
      <c r="H52" s="82"/>
      <c r="I52" s="82"/>
      <c r="J52" s="82"/>
      <c r="K52" s="82"/>
      <c r="L52" s="82"/>
    </row>
    <row r="53" spans="1:12" ht="12.75">
      <c r="A53" t="s">
        <v>44</v>
      </c>
      <c r="C53" s="3"/>
      <c r="E53" s="82"/>
      <c r="F53" s="82"/>
      <c r="G53" s="82"/>
      <c r="H53" s="82"/>
      <c r="I53" s="82"/>
      <c r="J53" s="82"/>
      <c r="K53" s="82"/>
      <c r="L53" s="82"/>
    </row>
    <row r="54" spans="2:10" ht="12.75">
      <c r="B54" s="68"/>
      <c r="C54" s="68"/>
      <c r="D54" s="68"/>
      <c r="E54" s="68"/>
      <c r="F54" s="68"/>
      <c r="G54" s="68"/>
      <c r="H54" s="68"/>
      <c r="I54" s="68"/>
      <c r="J54" s="68"/>
    </row>
    <row r="55" ht="12.75">
      <c r="A55" s="40" t="s">
        <v>83</v>
      </c>
    </row>
  </sheetData>
  <sheetProtection/>
  <mergeCells count="1">
    <mergeCell ref="A2:J2"/>
  </mergeCells>
  <printOptions/>
  <pageMargins left="0.75" right="0.75" top="1" bottom="0.2" header="0.5" footer="0.2"/>
  <pageSetup horizontalDpi="600" verticalDpi="600" orientation="landscape" paperSize="9" scale="68" r:id="rId1"/>
</worksheet>
</file>

<file path=xl/worksheets/sheet5.xml><?xml version="1.0" encoding="utf-8"?>
<worksheet xmlns="http://schemas.openxmlformats.org/spreadsheetml/2006/main" xmlns:r="http://schemas.openxmlformats.org/officeDocument/2006/relationships">
  <dimension ref="A1:O55"/>
  <sheetViews>
    <sheetView zoomScalePageLayoutView="0" workbookViewId="0" topLeftCell="A1">
      <pane xSplit="1" ySplit="4" topLeftCell="B44" activePane="bottomRight" state="frozen"/>
      <selection pane="topLeft" activeCell="A1" sqref="A1"/>
      <selection pane="topRight" activeCell="B1" sqref="B1"/>
      <selection pane="bottomLeft" activeCell="A14" sqref="A14"/>
      <selection pane="bottomRight" activeCell="G7" sqref="G7"/>
    </sheetView>
  </sheetViews>
  <sheetFormatPr defaultColWidth="9.00390625" defaultRowHeight="12.75"/>
  <cols>
    <col min="1" max="1" width="58.00390625" style="40" customWidth="1"/>
    <col min="2" max="2" width="17.25390625" style="40" customWidth="1"/>
    <col min="3" max="3" width="13.375" style="40" customWidth="1"/>
    <col min="4" max="4" width="16.25390625" style="40" customWidth="1"/>
    <col min="5" max="5" width="14.125" style="40" customWidth="1"/>
    <col min="6" max="6" width="16.25390625" style="40" customWidth="1"/>
    <col min="7" max="7" width="14.75390625" style="40" customWidth="1"/>
    <col min="8" max="8" width="15.00390625" style="40" customWidth="1"/>
    <col min="9" max="9" width="15.875" style="40" customWidth="1"/>
    <col min="10" max="10" width="14.375" style="40" customWidth="1"/>
    <col min="11" max="11" width="15.25390625" style="40" customWidth="1"/>
    <col min="12" max="12" width="13.00390625" style="40" customWidth="1"/>
    <col min="13" max="14" width="9.125" style="40" customWidth="1"/>
    <col min="15" max="15" width="18.875" style="40" customWidth="1"/>
    <col min="16" max="16384" width="9.125" style="40" customWidth="1"/>
  </cols>
  <sheetData>
    <row r="1" spans="1:15" ht="13.5" customHeight="1">
      <c r="A1" s="37"/>
      <c r="B1" s="37"/>
      <c r="C1" s="37"/>
      <c r="D1" s="37"/>
      <c r="E1" s="37"/>
      <c r="F1" s="37"/>
      <c r="G1" s="37"/>
      <c r="H1" s="37"/>
      <c r="I1" s="37"/>
      <c r="J1" s="38"/>
      <c r="K1" s="39"/>
      <c r="L1" s="39"/>
      <c r="M1" s="39"/>
      <c r="N1" s="39"/>
      <c r="O1" s="39"/>
    </row>
    <row r="2" spans="1:10" ht="18.75">
      <c r="A2" s="202" t="s">
        <v>0</v>
      </c>
      <c r="B2" s="202"/>
      <c r="C2" s="202"/>
      <c r="D2" s="202"/>
      <c r="E2" s="202"/>
      <c r="F2" s="202"/>
      <c r="G2" s="202"/>
      <c r="H2" s="202"/>
      <c r="I2" s="202"/>
      <c r="J2" s="202"/>
    </row>
    <row r="3" spans="1:10" ht="16.5" thickBot="1">
      <c r="A3" s="43"/>
      <c r="B3" s="43"/>
      <c r="C3" s="43"/>
      <c r="D3" s="43"/>
      <c r="E3" s="43"/>
      <c r="F3" s="43"/>
      <c r="G3" s="43"/>
      <c r="H3" s="43"/>
      <c r="I3" s="43"/>
      <c r="J3" s="43" t="s">
        <v>52</v>
      </c>
    </row>
    <row r="4" spans="1:10" ht="34.5" customHeight="1" thickBot="1">
      <c r="A4" s="44" t="s">
        <v>53</v>
      </c>
      <c r="B4" s="45" t="s">
        <v>33</v>
      </c>
      <c r="C4" s="46" t="s">
        <v>34</v>
      </c>
      <c r="D4" s="46" t="s">
        <v>36</v>
      </c>
      <c r="E4" s="46" t="s">
        <v>39</v>
      </c>
      <c r="F4" s="46" t="s">
        <v>32</v>
      </c>
      <c r="G4" s="46" t="s">
        <v>30</v>
      </c>
      <c r="H4" s="46" t="s">
        <v>35</v>
      </c>
      <c r="I4" s="46" t="s">
        <v>38</v>
      </c>
      <c r="J4" s="47" t="s">
        <v>54</v>
      </c>
    </row>
    <row r="5" spans="1:10" ht="9" customHeight="1">
      <c r="A5" s="48"/>
      <c r="B5" s="49"/>
      <c r="C5" s="50"/>
      <c r="D5" s="51"/>
      <c r="E5" s="51"/>
      <c r="F5" s="51"/>
      <c r="G5" s="51"/>
      <c r="H5" s="51"/>
      <c r="I5" s="51"/>
      <c r="J5" s="52"/>
    </row>
    <row r="6" spans="1:13" s="56" customFormat="1" ht="20.25" customHeight="1">
      <c r="A6" s="53" t="s">
        <v>88</v>
      </c>
      <c r="B6" s="54">
        <v>302769499</v>
      </c>
      <c r="C6" s="54">
        <v>29640508</v>
      </c>
      <c r="D6" s="55">
        <v>222537280</v>
      </c>
      <c r="E6" s="55">
        <v>205663041</v>
      </c>
      <c r="F6" s="55">
        <v>83991661</v>
      </c>
      <c r="G6" s="55">
        <v>113220499</v>
      </c>
      <c r="H6" s="55">
        <v>60653445</v>
      </c>
      <c r="I6" s="55">
        <v>37295770</v>
      </c>
      <c r="J6" s="55">
        <f>SUM(B6:I6)</f>
        <v>1055771703</v>
      </c>
      <c r="M6" s="57"/>
    </row>
    <row r="7" spans="1:13" s="56" customFormat="1" ht="20.25" customHeight="1">
      <c r="A7" s="64" t="s">
        <v>89</v>
      </c>
      <c r="B7" s="70">
        <v>45158372</v>
      </c>
      <c r="C7" s="70">
        <v>8689922</v>
      </c>
      <c r="D7" s="71">
        <v>25872610</v>
      </c>
      <c r="E7" s="71">
        <v>19967871</v>
      </c>
      <c r="F7" s="71">
        <v>8920078</v>
      </c>
      <c r="G7" s="71">
        <v>16668891</v>
      </c>
      <c r="H7" s="71">
        <v>11792344</v>
      </c>
      <c r="I7" s="71">
        <v>7988016</v>
      </c>
      <c r="J7" s="71">
        <f>SUM(B7:I7)</f>
        <v>145058104</v>
      </c>
      <c r="M7" s="57"/>
    </row>
    <row r="8" spans="1:10" ht="27" customHeight="1">
      <c r="A8" s="58" t="s">
        <v>90</v>
      </c>
      <c r="B8" s="54">
        <f aca="true" t="shared" si="0" ref="B8:J8">B6-B7</f>
        <v>257611127</v>
      </c>
      <c r="C8" s="54">
        <f t="shared" si="0"/>
        <v>20950586</v>
      </c>
      <c r="D8" s="54">
        <f t="shared" si="0"/>
        <v>196664670</v>
      </c>
      <c r="E8" s="54">
        <f t="shared" si="0"/>
        <v>185695170</v>
      </c>
      <c r="F8" s="54">
        <f t="shared" si="0"/>
        <v>75071583</v>
      </c>
      <c r="G8" s="54">
        <f t="shared" si="0"/>
        <v>96551608</v>
      </c>
      <c r="H8" s="54">
        <f t="shared" si="0"/>
        <v>48861101</v>
      </c>
      <c r="I8" s="54">
        <f t="shared" si="0"/>
        <v>29307754</v>
      </c>
      <c r="J8" s="54">
        <f t="shared" si="0"/>
        <v>910713599</v>
      </c>
    </row>
    <row r="9" spans="1:10" s="56" customFormat="1" ht="15.75">
      <c r="A9" s="53" t="s">
        <v>91</v>
      </c>
      <c r="B9" s="54">
        <v>26528721</v>
      </c>
      <c r="C9" s="54">
        <v>2412125</v>
      </c>
      <c r="D9" s="55">
        <v>22616827</v>
      </c>
      <c r="E9" s="55">
        <v>4253109</v>
      </c>
      <c r="F9" s="55">
        <v>21800913</v>
      </c>
      <c r="G9" s="55">
        <v>57758866</v>
      </c>
      <c r="H9" s="55">
        <v>44153466</v>
      </c>
      <c r="I9" s="55">
        <v>22666826</v>
      </c>
      <c r="J9" s="55">
        <f>SUM(B9:I9)</f>
        <v>202190853</v>
      </c>
    </row>
    <row r="10" spans="1:10" s="56" customFormat="1" ht="15.75">
      <c r="A10" s="59"/>
      <c r="B10" s="54"/>
      <c r="C10" s="54"/>
      <c r="D10" s="55"/>
      <c r="E10" s="55"/>
      <c r="F10" s="55"/>
      <c r="G10" s="55"/>
      <c r="H10" s="55"/>
      <c r="I10" s="55"/>
      <c r="J10" s="55"/>
    </row>
    <row r="11" spans="1:10" ht="20.25" customHeight="1">
      <c r="A11" s="72" t="s">
        <v>92</v>
      </c>
      <c r="B11" s="54">
        <f aca="true" t="shared" si="1" ref="B11:J11">B12+B13</f>
        <v>326264989</v>
      </c>
      <c r="C11" s="54">
        <f t="shared" si="1"/>
        <v>33921353</v>
      </c>
      <c r="D11" s="54">
        <f t="shared" si="1"/>
        <v>241605123</v>
      </c>
      <c r="E11" s="54">
        <f t="shared" si="1"/>
        <v>215393962</v>
      </c>
      <c r="F11" s="54">
        <f t="shared" si="1"/>
        <v>108182596</v>
      </c>
      <c r="G11" s="54">
        <f t="shared" si="1"/>
        <v>172919365</v>
      </c>
      <c r="H11" s="54">
        <f t="shared" si="1"/>
        <v>106298473</v>
      </c>
      <c r="I11" s="54">
        <f t="shared" si="1"/>
        <v>60320277</v>
      </c>
      <c r="J11" s="54">
        <f t="shared" si="1"/>
        <v>1264906138</v>
      </c>
    </row>
    <row r="12" spans="1:11" s="56" customFormat="1" ht="20.25" customHeight="1">
      <c r="A12" s="73" t="s">
        <v>93</v>
      </c>
      <c r="B12" s="54">
        <f aca="true" t="shared" si="2" ref="B12:I12">B14+B18</f>
        <v>276549580</v>
      </c>
      <c r="C12" s="54">
        <f t="shared" si="2"/>
        <v>23362711</v>
      </c>
      <c r="D12" s="54">
        <f t="shared" si="2"/>
        <v>211159444</v>
      </c>
      <c r="E12" s="54">
        <f t="shared" si="2"/>
        <v>186689716</v>
      </c>
      <c r="F12" s="54">
        <f t="shared" si="2"/>
        <v>94540007</v>
      </c>
      <c r="G12" s="54">
        <f t="shared" si="2"/>
        <v>151266450</v>
      </c>
      <c r="H12" s="54">
        <f t="shared" si="2"/>
        <v>91288982</v>
      </c>
      <c r="I12" s="54">
        <f t="shared" si="2"/>
        <v>50916627</v>
      </c>
      <c r="J12" s="55">
        <f>SUM(B12:I12)</f>
        <v>1085773517</v>
      </c>
      <c r="K12" s="57"/>
    </row>
    <row r="13" spans="1:11" s="80" customFormat="1" ht="15.75">
      <c r="A13" s="74" t="s">
        <v>94</v>
      </c>
      <c r="B13" s="62">
        <f>45158372+128953+2277121+1955004+195959</f>
        <v>49715409</v>
      </c>
      <c r="C13" s="62">
        <f>8689922+38368+865863+317126+647363</f>
        <v>10558642</v>
      </c>
      <c r="D13" s="63">
        <f>25872610+606479+2311016+1145522+510052</f>
        <v>30445679</v>
      </c>
      <c r="E13" s="63">
        <f>19967871+791+5556122+1817444+1362018</f>
        <v>28704246</v>
      </c>
      <c r="F13" s="63">
        <f>8920078+451901+2649910+1428712+191988</f>
        <v>13642589</v>
      </c>
      <c r="G13" s="63">
        <f>16668891+678677+2670669+689060+945618</f>
        <v>21652915</v>
      </c>
      <c r="H13" s="63">
        <f>11792344+77713+2034645+622766+482023</f>
        <v>15009491</v>
      </c>
      <c r="I13" s="63">
        <f>7988016+71849+897874+366164+79747</f>
        <v>9403650</v>
      </c>
      <c r="J13" s="55">
        <f>SUM(B13:I13)</f>
        <v>179132621</v>
      </c>
      <c r="K13" s="95"/>
    </row>
    <row r="14" spans="1:10" ht="15.75">
      <c r="A14" s="73" t="s">
        <v>95</v>
      </c>
      <c r="B14" s="62">
        <f aca="true" t="shared" si="3" ref="B14:J14">B16+B17</f>
        <v>252377720</v>
      </c>
      <c r="C14" s="62">
        <f t="shared" si="3"/>
        <v>21267653</v>
      </c>
      <c r="D14" s="62">
        <f t="shared" si="3"/>
        <v>193452770</v>
      </c>
      <c r="E14" s="62">
        <f t="shared" si="3"/>
        <v>169100199</v>
      </c>
      <c r="F14" s="62">
        <f t="shared" si="3"/>
        <v>87032849</v>
      </c>
      <c r="G14" s="62">
        <f t="shared" si="3"/>
        <v>141611289</v>
      </c>
      <c r="H14" s="62">
        <f t="shared" si="3"/>
        <v>86402872</v>
      </c>
      <c r="I14" s="62">
        <f t="shared" si="3"/>
        <v>48044811</v>
      </c>
      <c r="J14" s="54">
        <f t="shared" si="3"/>
        <v>999290163</v>
      </c>
    </row>
    <row r="15" spans="1:10" ht="15.75" hidden="1">
      <c r="A15" s="73" t="s">
        <v>96</v>
      </c>
      <c r="B15" s="62">
        <v>0.9149</v>
      </c>
      <c r="C15" s="62">
        <v>0.9103</v>
      </c>
      <c r="D15" s="63">
        <v>0.9136</v>
      </c>
      <c r="E15" s="63">
        <v>0.9022</v>
      </c>
      <c r="F15" s="63">
        <v>0.9225</v>
      </c>
      <c r="G15" s="63">
        <v>0.9374</v>
      </c>
      <c r="H15" s="63">
        <v>0.9475</v>
      </c>
      <c r="I15" s="63">
        <v>0.9436</v>
      </c>
      <c r="J15" s="55">
        <f>SUM(B15:I15)</f>
        <v>7.392</v>
      </c>
    </row>
    <row r="16" spans="1:10" ht="60">
      <c r="A16" s="75" t="s">
        <v>97</v>
      </c>
      <c r="B16" s="62">
        <f>242928598-7590268</f>
        <v>235338330</v>
      </c>
      <c r="C16" s="62">
        <v>19038461</v>
      </c>
      <c r="D16" s="63">
        <f>189770037-8122053</f>
        <v>181647984</v>
      </c>
      <c r="E16" s="63">
        <f>161282331-3258563</f>
        <v>158023768</v>
      </c>
      <c r="F16" s="63">
        <f>84657042-2332489</f>
        <v>82324553</v>
      </c>
      <c r="G16" s="63">
        <f>133807845-3044024</f>
        <v>130763821</v>
      </c>
      <c r="H16" s="63">
        <f>82051311-1725585</f>
        <v>80325726</v>
      </c>
      <c r="I16" s="63">
        <f>46793532-1057953</f>
        <v>45735579</v>
      </c>
      <c r="J16" s="55">
        <f>SUM(B16:I16)</f>
        <v>933198222</v>
      </c>
    </row>
    <row r="17" spans="1:10" ht="15.75">
      <c r="A17" s="73" t="s">
        <v>98</v>
      </c>
      <c r="B17" s="62">
        <v>17039390</v>
      </c>
      <c r="C17" s="62">
        <v>2229192</v>
      </c>
      <c r="D17" s="63">
        <f>10569717+1235069</f>
        <v>11804786</v>
      </c>
      <c r="E17" s="63">
        <f>10096431+980000</f>
        <v>11076431</v>
      </c>
      <c r="F17" s="63">
        <v>4708296</v>
      </c>
      <c r="G17" s="63">
        <v>10847468</v>
      </c>
      <c r="H17" s="63">
        <v>6077146</v>
      </c>
      <c r="I17" s="63">
        <f>2250272+20560+38400</f>
        <v>2309232</v>
      </c>
      <c r="J17" s="55">
        <f>SUM(B17:I17)</f>
        <v>66091941</v>
      </c>
    </row>
    <row r="18" spans="1:10" ht="17.25" customHeight="1">
      <c r="A18" s="73" t="s">
        <v>99</v>
      </c>
      <c r="B18" s="62">
        <v>24171860</v>
      </c>
      <c r="C18" s="62">
        <v>2095058</v>
      </c>
      <c r="D18" s="63">
        <f>18941743-1235069</f>
        <v>17706674</v>
      </c>
      <c r="E18" s="63">
        <f>18569517-980000</f>
        <v>17589517</v>
      </c>
      <c r="F18" s="63">
        <v>7507158</v>
      </c>
      <c r="G18" s="63">
        <v>9655161</v>
      </c>
      <c r="H18" s="63">
        <v>4886110</v>
      </c>
      <c r="I18" s="63">
        <f>2930776-20560-38400</f>
        <v>2871816</v>
      </c>
      <c r="J18" s="55">
        <f>SUM(B18:I18)</f>
        <v>86483354</v>
      </c>
    </row>
    <row r="19" spans="1:10" ht="17.25" customHeight="1">
      <c r="A19" s="76"/>
      <c r="B19" s="62"/>
      <c r="C19" s="62"/>
      <c r="D19" s="63"/>
      <c r="E19" s="63"/>
      <c r="F19" s="63"/>
      <c r="G19" s="63"/>
      <c r="H19" s="63"/>
      <c r="I19" s="63"/>
      <c r="J19" s="55"/>
    </row>
    <row r="20" spans="1:10" s="79" customFormat="1" ht="17.25" customHeight="1">
      <c r="A20" s="78" t="s">
        <v>100</v>
      </c>
      <c r="B20" s="54"/>
      <c r="C20" s="54"/>
      <c r="D20" s="54"/>
      <c r="E20" s="54"/>
      <c r="F20" s="54"/>
      <c r="G20" s="54"/>
      <c r="H20" s="54"/>
      <c r="I20" s="54"/>
      <c r="J20" s="54"/>
    </row>
    <row r="21" spans="1:10" ht="15.75">
      <c r="A21" s="61" t="s">
        <v>81</v>
      </c>
      <c r="B21" s="62">
        <f aca="true" t="shared" si="4" ref="B21:J21">SUM(B22:B24)</f>
        <v>128953</v>
      </c>
      <c r="C21" s="62">
        <f t="shared" si="4"/>
        <v>38368</v>
      </c>
      <c r="D21" s="62">
        <f t="shared" si="4"/>
        <v>606479</v>
      </c>
      <c r="E21" s="62">
        <f t="shared" si="4"/>
        <v>791</v>
      </c>
      <c r="F21" s="62">
        <f t="shared" si="4"/>
        <v>451901</v>
      </c>
      <c r="G21" s="62">
        <f t="shared" si="4"/>
        <v>678677</v>
      </c>
      <c r="H21" s="62">
        <f t="shared" si="4"/>
        <v>77713</v>
      </c>
      <c r="I21" s="62">
        <f t="shared" si="4"/>
        <v>71849</v>
      </c>
      <c r="J21" s="69">
        <f t="shared" si="4"/>
        <v>2054731</v>
      </c>
    </row>
    <row r="22" spans="1:10" ht="31.5">
      <c r="A22" s="61" t="s">
        <v>61</v>
      </c>
      <c r="B22" s="62">
        <v>0</v>
      </c>
      <c r="C22" s="62">
        <v>0</v>
      </c>
      <c r="D22" s="63">
        <v>0</v>
      </c>
      <c r="E22" s="63">
        <v>791</v>
      </c>
      <c r="F22" s="63"/>
      <c r="G22" s="63">
        <v>672694</v>
      </c>
      <c r="H22" s="63">
        <v>70531</v>
      </c>
      <c r="I22" s="63">
        <v>328</v>
      </c>
      <c r="J22" s="63">
        <f>SUM(B22:I22)</f>
        <v>744344</v>
      </c>
    </row>
    <row r="23" spans="1:10" ht="31.5">
      <c r="A23" s="61" t="s">
        <v>62</v>
      </c>
      <c r="B23" s="62">
        <v>156</v>
      </c>
      <c r="C23" s="62">
        <v>20390</v>
      </c>
      <c r="D23" s="63">
        <v>163664</v>
      </c>
      <c r="E23" s="63">
        <v>0</v>
      </c>
      <c r="F23" s="63">
        <v>425169</v>
      </c>
      <c r="G23" s="63">
        <v>5970</v>
      </c>
      <c r="H23" s="63">
        <f>7182</f>
        <v>7182</v>
      </c>
      <c r="I23" s="63"/>
      <c r="J23" s="63">
        <f>SUM(B23:I23)</f>
        <v>622531</v>
      </c>
    </row>
    <row r="24" spans="1:10" ht="15.75">
      <c r="A24" s="61" t="s">
        <v>64</v>
      </c>
      <c r="B24" s="62">
        <v>128797</v>
      </c>
      <c r="C24" s="62">
        <v>17978</v>
      </c>
      <c r="D24" s="63">
        <v>442815</v>
      </c>
      <c r="E24" s="63"/>
      <c r="F24" s="63">
        <v>26732</v>
      </c>
      <c r="G24" s="63">
        <v>13</v>
      </c>
      <c r="H24" s="63">
        <v>0</v>
      </c>
      <c r="I24" s="63">
        <v>71521</v>
      </c>
      <c r="J24" s="63">
        <f>SUM(B24:I24)</f>
        <v>687856</v>
      </c>
    </row>
    <row r="25" spans="1:10" ht="9" customHeight="1">
      <c r="A25" s="58"/>
      <c r="B25" s="54"/>
      <c r="C25" s="54"/>
      <c r="D25" s="55"/>
      <c r="E25" s="55"/>
      <c r="F25" s="55"/>
      <c r="G25" s="55"/>
      <c r="H25" s="55"/>
      <c r="I25" s="55"/>
      <c r="J25" s="55"/>
    </row>
    <row r="26" spans="1:10" ht="21" customHeight="1">
      <c r="A26" s="58" t="s">
        <v>86</v>
      </c>
      <c r="B26" s="54"/>
      <c r="C26" s="54"/>
      <c r="D26" s="55"/>
      <c r="E26" s="55"/>
      <c r="F26" s="55"/>
      <c r="G26" s="55"/>
      <c r="H26" s="55"/>
      <c r="I26" s="55"/>
      <c r="J26" s="55"/>
    </row>
    <row r="27" spans="1:10" s="56" customFormat="1" ht="15.75">
      <c r="A27" s="53" t="s">
        <v>67</v>
      </c>
      <c r="B27" s="54">
        <f aca="true" t="shared" si="5" ref="B27:J27">B28+B29</f>
        <v>4311978</v>
      </c>
      <c r="C27" s="54">
        <f t="shared" si="5"/>
        <v>915972</v>
      </c>
      <c r="D27" s="54">
        <f t="shared" si="5"/>
        <v>2411256</v>
      </c>
      <c r="E27" s="54">
        <f t="shared" si="5"/>
        <v>18787533</v>
      </c>
      <c r="F27" s="54">
        <f t="shared" si="5"/>
        <v>2882720</v>
      </c>
      <c r="G27" s="54">
        <f t="shared" si="5"/>
        <v>3663740</v>
      </c>
      <c r="H27" s="54">
        <f t="shared" si="5"/>
        <v>2236230</v>
      </c>
      <c r="I27" s="54">
        <f t="shared" si="5"/>
        <v>1229950</v>
      </c>
      <c r="J27" s="54">
        <f t="shared" si="5"/>
        <v>36439379</v>
      </c>
    </row>
    <row r="28" spans="1:10" ht="15.75" customHeight="1">
      <c r="A28" s="58" t="s">
        <v>82</v>
      </c>
      <c r="B28" s="7">
        <v>2034857</v>
      </c>
      <c r="C28" s="7">
        <v>50109</v>
      </c>
      <c r="D28" s="7">
        <v>100240</v>
      </c>
      <c r="E28" s="55">
        <v>13231411</v>
      </c>
      <c r="F28" s="55">
        <v>232810</v>
      </c>
      <c r="G28" s="55">
        <v>993071</v>
      </c>
      <c r="H28" s="55">
        <v>201585</v>
      </c>
      <c r="I28" s="55">
        <v>332076</v>
      </c>
      <c r="J28" s="55">
        <f>SUM(B28:I28)</f>
        <v>17176159</v>
      </c>
    </row>
    <row r="29" spans="1:10" ht="15.75">
      <c r="A29" s="58" t="s">
        <v>84</v>
      </c>
      <c r="B29" s="62">
        <f>SUM(B30:B39)</f>
        <v>2277121</v>
      </c>
      <c r="C29" s="62">
        <f>SUM(C30:C39)</f>
        <v>865863</v>
      </c>
      <c r="D29" s="62">
        <f aca="true" t="shared" si="6" ref="D29:J29">SUM(D30:D40)</f>
        <v>2311016</v>
      </c>
      <c r="E29" s="62">
        <f t="shared" si="6"/>
        <v>5556122</v>
      </c>
      <c r="F29" s="62">
        <f t="shared" si="6"/>
        <v>2649910</v>
      </c>
      <c r="G29" s="62">
        <f t="shared" si="6"/>
        <v>2670669</v>
      </c>
      <c r="H29" s="62">
        <f t="shared" si="6"/>
        <v>2034645</v>
      </c>
      <c r="I29" s="62">
        <f t="shared" si="6"/>
        <v>897874</v>
      </c>
      <c r="J29" s="62">
        <f t="shared" si="6"/>
        <v>19263220</v>
      </c>
    </row>
    <row r="30" spans="1:10" ht="15.75">
      <c r="A30" s="61" t="s">
        <v>5</v>
      </c>
      <c r="B30" s="62"/>
      <c r="C30" s="62"/>
      <c r="D30" s="63"/>
      <c r="E30" s="63"/>
      <c r="F30" s="63"/>
      <c r="G30" s="63"/>
      <c r="H30" s="63"/>
      <c r="I30" s="63"/>
      <c r="J30" s="63"/>
    </row>
    <row r="31" spans="1:10" s="56" customFormat="1" ht="15">
      <c r="A31" s="64" t="s">
        <v>70</v>
      </c>
      <c r="B31" s="65">
        <v>8929</v>
      </c>
      <c r="C31" s="65"/>
      <c r="D31" s="66"/>
      <c r="E31" s="66">
        <v>380224</v>
      </c>
      <c r="F31" s="66">
        <v>280809</v>
      </c>
      <c r="G31" s="66">
        <v>625459</v>
      </c>
      <c r="H31" s="66">
        <v>194956</v>
      </c>
      <c r="I31" s="66">
        <v>452263</v>
      </c>
      <c r="J31" s="66">
        <f aca="true" t="shared" si="7" ref="J31:J42">SUM(B31:I31)</f>
        <v>1942640</v>
      </c>
    </row>
    <row r="32" spans="1:10" s="56" customFormat="1" ht="30">
      <c r="A32" s="64" t="s">
        <v>71</v>
      </c>
      <c r="B32" s="65">
        <v>13045</v>
      </c>
      <c r="C32" s="65"/>
      <c r="D32" s="66">
        <v>1</v>
      </c>
      <c r="E32" s="66">
        <v>799383</v>
      </c>
      <c r="F32" s="66">
        <v>72072</v>
      </c>
      <c r="G32" s="66">
        <v>40404</v>
      </c>
      <c r="H32" s="66">
        <v>240868</v>
      </c>
      <c r="I32" s="66">
        <v>151851</v>
      </c>
      <c r="J32" s="66">
        <f t="shared" si="7"/>
        <v>1317624</v>
      </c>
    </row>
    <row r="33" spans="1:10" s="56" customFormat="1" ht="30" customHeight="1">
      <c r="A33" s="64" t="s">
        <v>72</v>
      </c>
      <c r="B33" s="65">
        <v>1573893</v>
      </c>
      <c r="C33" s="65">
        <v>751479</v>
      </c>
      <c r="D33" s="66">
        <v>2171212</v>
      </c>
      <c r="E33" s="66">
        <v>3380450</v>
      </c>
      <c r="F33" s="66">
        <v>686261</v>
      </c>
      <c r="G33" s="66">
        <v>653213</v>
      </c>
      <c r="H33" s="66">
        <v>102978</v>
      </c>
      <c r="I33" s="66">
        <v>73959</v>
      </c>
      <c r="J33" s="66">
        <f t="shared" si="7"/>
        <v>9393445</v>
      </c>
    </row>
    <row r="34" spans="1:15" s="56" customFormat="1" ht="16.5">
      <c r="A34" s="64" t="s">
        <v>16</v>
      </c>
      <c r="B34" s="65"/>
      <c r="C34" s="65"/>
      <c r="D34" s="66">
        <v>2748</v>
      </c>
      <c r="E34" s="66"/>
      <c r="F34" s="66">
        <v>8031</v>
      </c>
      <c r="G34" s="66">
        <v>10770</v>
      </c>
      <c r="H34" s="66">
        <v>4406</v>
      </c>
      <c r="I34" s="66">
        <v>23538</v>
      </c>
      <c r="J34" s="66">
        <f t="shared" si="7"/>
        <v>49493</v>
      </c>
      <c r="N34" s="90"/>
      <c r="O34" s="91"/>
    </row>
    <row r="35" spans="1:15" s="56" customFormat="1" ht="16.5">
      <c r="A35" s="64" t="s">
        <v>73</v>
      </c>
      <c r="B35" s="65">
        <v>573130</v>
      </c>
      <c r="C35" s="65">
        <v>114384</v>
      </c>
      <c r="D35" s="66"/>
      <c r="E35" s="66"/>
      <c r="F35" s="66">
        <v>1507713</v>
      </c>
      <c r="G35" s="66"/>
      <c r="H35" s="66"/>
      <c r="I35" s="66"/>
      <c r="J35" s="66">
        <f t="shared" si="7"/>
        <v>2195227</v>
      </c>
      <c r="N35" s="90"/>
      <c r="O35" s="91"/>
    </row>
    <row r="36" spans="1:15" s="56" customFormat="1" ht="32.25" customHeight="1">
      <c r="A36" s="64" t="s">
        <v>74</v>
      </c>
      <c r="B36" s="65">
        <v>34999</v>
      </c>
      <c r="C36" s="65"/>
      <c r="D36" s="66"/>
      <c r="E36" s="66">
        <v>541915</v>
      </c>
      <c r="F36" s="66"/>
      <c r="G36" s="66">
        <v>1010582</v>
      </c>
      <c r="H36" s="66">
        <v>1432846</v>
      </c>
      <c r="I36" s="66">
        <v>24975</v>
      </c>
      <c r="J36" s="66">
        <f t="shared" si="7"/>
        <v>3045317</v>
      </c>
      <c r="N36" s="90"/>
      <c r="O36" s="91"/>
    </row>
    <row r="37" spans="1:15" s="56" customFormat="1" ht="45">
      <c r="A37" s="64" t="s">
        <v>75</v>
      </c>
      <c r="B37" s="65"/>
      <c r="C37" s="65"/>
      <c r="D37" s="66"/>
      <c r="E37" s="66">
        <v>382980</v>
      </c>
      <c r="F37" s="66"/>
      <c r="G37" s="66">
        <v>226136</v>
      </c>
      <c r="H37" s="66">
        <v>44509</v>
      </c>
      <c r="I37" s="66">
        <v>28583</v>
      </c>
      <c r="J37" s="66">
        <f t="shared" si="7"/>
        <v>682208</v>
      </c>
      <c r="N37" s="90"/>
      <c r="O37" s="91"/>
    </row>
    <row r="38" spans="1:15" s="56" customFormat="1" ht="45">
      <c r="A38" s="64" t="s">
        <v>76</v>
      </c>
      <c r="B38" s="65">
        <v>73125</v>
      </c>
      <c r="C38" s="65"/>
      <c r="D38" s="66">
        <v>137054</v>
      </c>
      <c r="E38" s="66">
        <v>70735</v>
      </c>
      <c r="F38" s="66">
        <v>95024</v>
      </c>
      <c r="G38" s="66">
        <v>104105</v>
      </c>
      <c r="H38" s="66">
        <v>14082</v>
      </c>
      <c r="I38" s="66">
        <v>142705</v>
      </c>
      <c r="J38" s="66">
        <f t="shared" si="7"/>
        <v>636830</v>
      </c>
      <c r="N38" s="90"/>
      <c r="O38" s="91"/>
    </row>
    <row r="39" spans="1:15" s="56" customFormat="1" ht="60">
      <c r="A39" s="64" t="s">
        <v>85</v>
      </c>
      <c r="B39" s="65"/>
      <c r="C39" s="65"/>
      <c r="D39" s="66"/>
      <c r="E39" s="66">
        <v>435</v>
      </c>
      <c r="F39" s="66"/>
      <c r="G39" s="66"/>
      <c r="H39" s="66"/>
      <c r="I39" s="66"/>
      <c r="J39" s="66">
        <f t="shared" si="7"/>
        <v>435</v>
      </c>
      <c r="N39" s="90"/>
      <c r="O39" s="91"/>
    </row>
    <row r="40" spans="1:15" s="56" customFormat="1" ht="16.5">
      <c r="A40" s="64" t="s">
        <v>87</v>
      </c>
      <c r="B40" s="65"/>
      <c r="C40" s="65"/>
      <c r="D40" s="66">
        <v>1</v>
      </c>
      <c r="E40" s="66"/>
      <c r="F40" s="66"/>
      <c r="G40" s="66"/>
      <c r="H40" s="66"/>
      <c r="I40" s="66"/>
      <c r="J40" s="66">
        <f t="shared" si="7"/>
        <v>1</v>
      </c>
      <c r="N40" s="90"/>
      <c r="O40" s="91"/>
    </row>
    <row r="41" spans="1:15" s="56" customFormat="1" ht="15" customHeight="1">
      <c r="A41" s="53" t="s">
        <v>77</v>
      </c>
      <c r="B41" s="55">
        <v>1955004</v>
      </c>
      <c r="C41" s="55">
        <v>317126</v>
      </c>
      <c r="D41" s="55">
        <v>1145522</v>
      </c>
      <c r="E41" s="55">
        <v>1817444</v>
      </c>
      <c r="F41" s="55">
        <v>1428712</v>
      </c>
      <c r="G41" s="55">
        <v>689060</v>
      </c>
      <c r="H41" s="55">
        <v>622766</v>
      </c>
      <c r="I41" s="55">
        <v>366164</v>
      </c>
      <c r="J41" s="55">
        <f t="shared" si="7"/>
        <v>8341798</v>
      </c>
      <c r="N41" s="90"/>
      <c r="O41" s="91"/>
    </row>
    <row r="42" spans="1:15" s="56" customFormat="1" ht="15" customHeight="1">
      <c r="A42" s="53" t="s">
        <v>78</v>
      </c>
      <c r="B42" s="55">
        <v>195959</v>
      </c>
      <c r="C42" s="55">
        <v>647363</v>
      </c>
      <c r="D42" s="55">
        <v>510052</v>
      </c>
      <c r="E42" s="55">
        <v>1362018</v>
      </c>
      <c r="F42" s="55">
        <v>191988</v>
      </c>
      <c r="G42" s="55">
        <v>945618</v>
      </c>
      <c r="H42" s="55">
        <v>482023</v>
      </c>
      <c r="I42" s="55">
        <v>79747</v>
      </c>
      <c r="J42" s="55">
        <f t="shared" si="7"/>
        <v>4414768</v>
      </c>
      <c r="N42" s="92"/>
      <c r="O42" s="93"/>
    </row>
    <row r="43" spans="1:15" ht="9" customHeight="1">
      <c r="A43" s="58"/>
      <c r="B43" s="54"/>
      <c r="C43" s="54"/>
      <c r="D43" s="55"/>
      <c r="E43" s="55"/>
      <c r="F43" s="55"/>
      <c r="G43" s="55"/>
      <c r="H43" s="55"/>
      <c r="I43" s="55"/>
      <c r="J43" s="55"/>
      <c r="N43" s="94"/>
      <c r="O43" s="94"/>
    </row>
    <row r="44" spans="1:11" s="56" customFormat="1" ht="21" customHeight="1">
      <c r="A44" s="53" t="s">
        <v>79</v>
      </c>
      <c r="B44" s="54">
        <f>B11-B6-B21-B29-B41-B42</f>
        <v>18938453</v>
      </c>
      <c r="C44" s="54">
        <f aca="true" t="shared" si="8" ref="C44:J44">C11-C6-C21-C29-C41-C42</f>
        <v>2412125</v>
      </c>
      <c r="D44" s="54">
        <f t="shared" si="8"/>
        <v>14494774</v>
      </c>
      <c r="E44" s="54">
        <f t="shared" si="8"/>
        <v>994546</v>
      </c>
      <c r="F44" s="54">
        <f t="shared" si="8"/>
        <v>19468424</v>
      </c>
      <c r="G44" s="54">
        <f t="shared" si="8"/>
        <v>54714842</v>
      </c>
      <c r="H44" s="54">
        <f t="shared" si="8"/>
        <v>42427881</v>
      </c>
      <c r="I44" s="54">
        <f t="shared" si="8"/>
        <v>21608873</v>
      </c>
      <c r="J44" s="54">
        <f t="shared" si="8"/>
        <v>175059918</v>
      </c>
      <c r="K44" s="54">
        <f>K6-K11</f>
        <v>0</v>
      </c>
    </row>
    <row r="45" spans="1:11" ht="15.75" customHeight="1">
      <c r="A45" s="58" t="s">
        <v>101</v>
      </c>
      <c r="B45" s="54">
        <f>26528721+B50</f>
        <v>18938453</v>
      </c>
      <c r="C45" s="54">
        <v>2412125</v>
      </c>
      <c r="D45" s="54">
        <f>22616827+D50</f>
        <v>14494774</v>
      </c>
      <c r="E45" s="54">
        <f>4253109+E50</f>
        <v>994546</v>
      </c>
      <c r="F45" s="54">
        <f>21800913+F50</f>
        <v>19468424</v>
      </c>
      <c r="G45" s="54">
        <f>57758866+G50</f>
        <v>54714842</v>
      </c>
      <c r="H45" s="54">
        <f>44153466+H50</f>
        <v>42427881</v>
      </c>
      <c r="I45" s="54">
        <f>22666826+I50</f>
        <v>21608873</v>
      </c>
      <c r="J45" s="54">
        <f>202190853+J50</f>
        <v>175059918</v>
      </c>
      <c r="K45" s="68">
        <f>SUM(B45:I45)</f>
        <v>175059918</v>
      </c>
    </row>
    <row r="46" spans="1:10" ht="15.75" customHeight="1">
      <c r="A46" s="83" t="s">
        <v>102</v>
      </c>
      <c r="B46" s="54">
        <v>2356861</v>
      </c>
      <c r="C46" s="54">
        <v>317066</v>
      </c>
      <c r="D46" s="55">
        <v>3675084</v>
      </c>
      <c r="E46" s="55"/>
      <c r="F46" s="55">
        <v>14293755</v>
      </c>
      <c r="G46" s="55">
        <v>48103705</v>
      </c>
      <c r="H46" s="55">
        <v>39267356</v>
      </c>
      <c r="I46" s="89">
        <v>19736051</v>
      </c>
      <c r="J46" s="55">
        <f>SUM(B46:I46)</f>
        <v>127749878</v>
      </c>
    </row>
    <row r="47" spans="1:10" ht="15.75" customHeight="1">
      <c r="A47" s="83" t="s">
        <v>103</v>
      </c>
      <c r="B47" s="54">
        <v>24171860</v>
      </c>
      <c r="C47" s="54">
        <v>2095059</v>
      </c>
      <c r="D47" s="85">
        <v>18941743</v>
      </c>
      <c r="E47" s="55">
        <v>4253109</v>
      </c>
      <c r="F47" s="55">
        <v>7507158</v>
      </c>
      <c r="G47" s="55">
        <v>9655161</v>
      </c>
      <c r="H47" s="55">
        <v>4886110</v>
      </c>
      <c r="I47" s="55">
        <v>2930775</v>
      </c>
      <c r="J47" s="55">
        <f>SUM(B47:I47)</f>
        <v>74440975</v>
      </c>
    </row>
    <row r="48" spans="1:10" ht="15.75" customHeight="1">
      <c r="A48" s="83"/>
      <c r="B48" s="54"/>
      <c r="C48" s="54"/>
      <c r="D48" s="85"/>
      <c r="E48" s="55"/>
      <c r="F48" s="55"/>
      <c r="G48" s="55"/>
      <c r="H48" s="55"/>
      <c r="I48" s="55"/>
      <c r="J48" s="55"/>
    </row>
    <row r="49" spans="1:10" s="56" customFormat="1" ht="21.75" customHeight="1" thickBot="1">
      <c r="A49" s="67" t="s">
        <v>80</v>
      </c>
      <c r="B49" s="55">
        <v>366302041</v>
      </c>
      <c r="C49" s="55">
        <v>33261924</v>
      </c>
      <c r="D49" s="55">
        <v>264356254</v>
      </c>
      <c r="E49" s="55">
        <v>241405295</v>
      </c>
      <c r="F49" s="55">
        <v>129760732</v>
      </c>
      <c r="G49" s="55">
        <v>204585750</v>
      </c>
      <c r="H49" s="55">
        <v>123691693</v>
      </c>
      <c r="I49" s="55">
        <v>78016449</v>
      </c>
      <c r="J49" s="55">
        <f>SUM(B49:I49)</f>
        <v>1441380138</v>
      </c>
    </row>
    <row r="50" spans="2:11" ht="12.75">
      <c r="B50" s="96">
        <v>-7590268</v>
      </c>
      <c r="C50" s="96"/>
      <c r="D50" s="96">
        <v>-8122053</v>
      </c>
      <c r="E50" s="96">
        <v>-3258563</v>
      </c>
      <c r="F50" s="96">
        <v>-2332489</v>
      </c>
      <c r="G50" s="96">
        <v>-3044024</v>
      </c>
      <c r="H50" s="96">
        <v>-1725585</v>
      </c>
      <c r="I50" s="96">
        <v>-1057953</v>
      </c>
      <c r="J50" s="68">
        <v>-27130935</v>
      </c>
      <c r="K50" s="68">
        <f>SUM(B50:I50)</f>
        <v>-27130935</v>
      </c>
    </row>
    <row r="51" spans="1:10" ht="69.75" customHeight="1">
      <c r="A51" s="19" t="s">
        <v>46</v>
      </c>
      <c r="B51" s="81"/>
      <c r="C51" s="81"/>
      <c r="D51" s="81"/>
      <c r="E51" s="81"/>
      <c r="F51" s="81"/>
      <c r="G51" s="81"/>
      <c r="H51" s="81"/>
      <c r="I51" s="81"/>
      <c r="J51" s="1"/>
    </row>
    <row r="52" spans="3:12" ht="12.75">
      <c r="C52" s="3"/>
      <c r="E52" s="82"/>
      <c r="F52" s="82"/>
      <c r="G52" s="82"/>
      <c r="H52" s="82"/>
      <c r="I52" s="82"/>
      <c r="J52" s="82"/>
      <c r="K52" s="82"/>
      <c r="L52" s="82"/>
    </row>
    <row r="53" spans="1:12" ht="12.75">
      <c r="A53" t="s">
        <v>44</v>
      </c>
      <c r="C53" s="3"/>
      <c r="E53" s="82"/>
      <c r="F53" s="82"/>
      <c r="G53" s="82"/>
      <c r="H53" s="82"/>
      <c r="I53" s="82"/>
      <c r="J53" s="82"/>
      <c r="K53" s="82"/>
      <c r="L53" s="82"/>
    </row>
    <row r="54" spans="2:10" ht="12.75">
      <c r="B54" s="68"/>
      <c r="C54" s="68"/>
      <c r="D54" s="68"/>
      <c r="E54" s="68"/>
      <c r="F54" s="68"/>
      <c r="G54" s="68"/>
      <c r="H54" s="68"/>
      <c r="I54" s="68"/>
      <c r="J54" s="68"/>
    </row>
    <row r="55" ht="12.75">
      <c r="A55" s="40" t="s">
        <v>83</v>
      </c>
    </row>
  </sheetData>
  <sheetProtection/>
  <mergeCells count="1">
    <mergeCell ref="A2:J2"/>
  </mergeCells>
  <printOptions/>
  <pageMargins left="0.75" right="0.75" top="1" bottom="0.2" header="0.5" footer="0.2"/>
  <pageSetup horizontalDpi="600" verticalDpi="600" orientation="landscape" paperSize="9" scale="68" r:id="rId1"/>
</worksheet>
</file>

<file path=xl/worksheets/sheet6.xml><?xml version="1.0" encoding="utf-8"?>
<worksheet xmlns="http://schemas.openxmlformats.org/spreadsheetml/2006/main" xmlns:r="http://schemas.openxmlformats.org/officeDocument/2006/relationships">
  <dimension ref="A1:O59"/>
  <sheetViews>
    <sheetView zoomScalePageLayoutView="0" workbookViewId="0" topLeftCell="A1">
      <pane xSplit="1" ySplit="4" topLeftCell="B44" activePane="bottomRight" state="frozen"/>
      <selection pane="topLeft" activeCell="A1" sqref="A1"/>
      <selection pane="topRight" activeCell="B1" sqref="B1"/>
      <selection pane="bottomLeft" activeCell="A14" sqref="A14"/>
      <selection pane="bottomRight" activeCell="G7" sqref="G7"/>
    </sheetView>
  </sheetViews>
  <sheetFormatPr defaultColWidth="9.00390625" defaultRowHeight="12.75"/>
  <cols>
    <col min="1" max="1" width="58.00390625" style="40" customWidth="1"/>
    <col min="2" max="2" width="17.25390625" style="40" customWidth="1"/>
    <col min="3" max="3" width="13.375" style="40" customWidth="1"/>
    <col min="4" max="4" width="16.25390625" style="40" customWidth="1"/>
    <col min="5" max="5" width="14.125" style="40" customWidth="1"/>
    <col min="6" max="6" width="16.25390625" style="40" customWidth="1"/>
    <col min="7" max="7" width="14.75390625" style="40" customWidth="1"/>
    <col min="8" max="8" width="15.00390625" style="40" customWidth="1"/>
    <col min="9" max="9" width="15.875" style="40" customWidth="1"/>
    <col min="10" max="10" width="14.375" style="40" customWidth="1"/>
    <col min="11" max="11" width="15.25390625" style="40" customWidth="1"/>
    <col min="12" max="12" width="13.00390625" style="40" customWidth="1"/>
    <col min="13" max="14" width="9.125" style="40" customWidth="1"/>
    <col min="15" max="15" width="18.875" style="40" customWidth="1"/>
    <col min="16" max="16384" width="9.125" style="40" customWidth="1"/>
  </cols>
  <sheetData>
    <row r="1" spans="1:15" ht="13.5" customHeight="1">
      <c r="A1" s="37"/>
      <c r="B1" s="37"/>
      <c r="C1" s="37"/>
      <c r="D1" s="37"/>
      <c r="E1" s="37"/>
      <c r="F1" s="37"/>
      <c r="G1" s="37"/>
      <c r="H1" s="37"/>
      <c r="I1" s="37"/>
      <c r="J1" s="38"/>
      <c r="K1" s="39"/>
      <c r="L1" s="39"/>
      <c r="M1" s="39"/>
      <c r="N1" s="39"/>
      <c r="O1" s="39"/>
    </row>
    <row r="2" spans="1:10" ht="18.75">
      <c r="A2" s="202" t="s">
        <v>0</v>
      </c>
      <c r="B2" s="202"/>
      <c r="C2" s="202"/>
      <c r="D2" s="202"/>
      <c r="E2" s="202"/>
      <c r="F2" s="202"/>
      <c r="G2" s="202"/>
      <c r="H2" s="202"/>
      <c r="I2" s="202"/>
      <c r="J2" s="202"/>
    </row>
    <row r="3" spans="1:10" ht="16.5" thickBot="1">
      <c r="A3" s="43"/>
      <c r="B3" s="43"/>
      <c r="C3" s="43"/>
      <c r="D3" s="43"/>
      <c r="E3" s="43"/>
      <c r="F3" s="43"/>
      <c r="G3" s="43"/>
      <c r="H3" s="43"/>
      <c r="I3" s="43"/>
      <c r="J3" s="43" t="s">
        <v>52</v>
      </c>
    </row>
    <row r="4" spans="1:10" ht="34.5" customHeight="1" thickBot="1">
      <c r="A4" s="44" t="s">
        <v>53</v>
      </c>
      <c r="B4" s="45" t="s">
        <v>33</v>
      </c>
      <c r="C4" s="46" t="s">
        <v>34</v>
      </c>
      <c r="D4" s="46" t="s">
        <v>36</v>
      </c>
      <c r="E4" s="46" t="s">
        <v>39</v>
      </c>
      <c r="F4" s="46" t="s">
        <v>32</v>
      </c>
      <c r="G4" s="46" t="s">
        <v>30</v>
      </c>
      <c r="H4" s="46" t="s">
        <v>35</v>
      </c>
      <c r="I4" s="46" t="s">
        <v>38</v>
      </c>
      <c r="J4" s="47" t="s">
        <v>54</v>
      </c>
    </row>
    <row r="5" spans="1:10" ht="9" customHeight="1">
      <c r="A5" s="48"/>
      <c r="B5" s="49"/>
      <c r="C5" s="50"/>
      <c r="D5" s="51"/>
      <c r="E5" s="51"/>
      <c r="F5" s="51"/>
      <c r="G5" s="51"/>
      <c r="H5" s="51"/>
      <c r="I5" s="51"/>
      <c r="J5" s="52"/>
    </row>
    <row r="6" spans="1:13" s="56" customFormat="1" ht="20.25" customHeight="1">
      <c r="A6" s="53" t="s">
        <v>88</v>
      </c>
      <c r="B6" s="54">
        <v>302769499</v>
      </c>
      <c r="C6" s="54">
        <v>29640508</v>
      </c>
      <c r="D6" s="55">
        <v>222537280</v>
      </c>
      <c r="E6" s="55">
        <v>205663041</v>
      </c>
      <c r="F6" s="55">
        <v>83991661</v>
      </c>
      <c r="G6" s="55">
        <v>113220499</v>
      </c>
      <c r="H6" s="55">
        <v>60653445</v>
      </c>
      <c r="I6" s="55">
        <v>37295770</v>
      </c>
      <c r="J6" s="55">
        <f>SUM(B6:I6)</f>
        <v>1055771703</v>
      </c>
      <c r="M6" s="57"/>
    </row>
    <row r="7" spans="1:13" s="56" customFormat="1" ht="20.25" customHeight="1">
      <c r="A7" s="64" t="s">
        <v>89</v>
      </c>
      <c r="B7" s="70">
        <v>45158372</v>
      </c>
      <c r="C7" s="70">
        <v>8689922</v>
      </c>
      <c r="D7" s="71">
        <v>25872610</v>
      </c>
      <c r="E7" s="71">
        <v>19967871</v>
      </c>
      <c r="F7" s="71">
        <v>8920078</v>
      </c>
      <c r="G7" s="71">
        <v>16668891</v>
      </c>
      <c r="H7" s="71">
        <v>11792344</v>
      </c>
      <c r="I7" s="71">
        <v>7988016</v>
      </c>
      <c r="J7" s="71">
        <f>SUM(B7:I7)</f>
        <v>145058104</v>
      </c>
      <c r="M7" s="57"/>
    </row>
    <row r="8" spans="1:10" ht="27" customHeight="1">
      <c r="A8" s="58" t="s">
        <v>90</v>
      </c>
      <c r="B8" s="54">
        <f aca="true" t="shared" si="0" ref="B8:J8">B6-B7</f>
        <v>257611127</v>
      </c>
      <c r="C8" s="54">
        <f t="shared" si="0"/>
        <v>20950586</v>
      </c>
      <c r="D8" s="54">
        <f t="shared" si="0"/>
        <v>196664670</v>
      </c>
      <c r="E8" s="54">
        <f t="shared" si="0"/>
        <v>185695170</v>
      </c>
      <c r="F8" s="54">
        <f t="shared" si="0"/>
        <v>75071583</v>
      </c>
      <c r="G8" s="54">
        <f t="shared" si="0"/>
        <v>96551608</v>
      </c>
      <c r="H8" s="54">
        <f t="shared" si="0"/>
        <v>48861101</v>
      </c>
      <c r="I8" s="54">
        <f t="shared" si="0"/>
        <v>29307754</v>
      </c>
      <c r="J8" s="54">
        <f t="shared" si="0"/>
        <v>910713599</v>
      </c>
    </row>
    <row r="9" spans="1:10" s="56" customFormat="1" ht="15.75">
      <c r="A9" s="53" t="s">
        <v>91</v>
      </c>
      <c r="B9" s="54">
        <v>26528721</v>
      </c>
      <c r="C9" s="54">
        <v>2412125</v>
      </c>
      <c r="D9" s="55">
        <v>22616827</v>
      </c>
      <c r="E9" s="55">
        <v>4253109</v>
      </c>
      <c r="F9" s="55">
        <v>21800913</v>
      </c>
      <c r="G9" s="55">
        <v>57758866</v>
      </c>
      <c r="H9" s="55">
        <v>44153466</v>
      </c>
      <c r="I9" s="55">
        <v>22666826</v>
      </c>
      <c r="J9" s="55">
        <f>SUM(B9:I9)</f>
        <v>202190853</v>
      </c>
    </row>
    <row r="10" spans="1:10" s="56" customFormat="1" ht="15.75">
      <c r="A10" s="59"/>
      <c r="B10" s="54"/>
      <c r="C10" s="54"/>
      <c r="D10" s="55"/>
      <c r="E10" s="55"/>
      <c r="F10" s="55"/>
      <c r="G10" s="55"/>
      <c r="H10" s="55"/>
      <c r="I10" s="55"/>
      <c r="J10" s="55"/>
    </row>
    <row r="11" spans="1:10" ht="20.25" customHeight="1">
      <c r="A11" s="72" t="s">
        <v>92</v>
      </c>
      <c r="B11" s="54">
        <f aca="true" t="shared" si="1" ref="B11:J11">B12+B13</f>
        <v>326264989</v>
      </c>
      <c r="C11" s="54">
        <f t="shared" si="1"/>
        <v>33921353</v>
      </c>
      <c r="D11" s="54">
        <f t="shared" si="1"/>
        <v>241605123</v>
      </c>
      <c r="E11" s="54">
        <f t="shared" si="1"/>
        <v>215393962</v>
      </c>
      <c r="F11" s="54">
        <f t="shared" si="1"/>
        <v>108182596</v>
      </c>
      <c r="G11" s="54">
        <f t="shared" si="1"/>
        <v>172919365</v>
      </c>
      <c r="H11" s="54">
        <f t="shared" si="1"/>
        <v>106298473</v>
      </c>
      <c r="I11" s="54">
        <f t="shared" si="1"/>
        <v>60320277</v>
      </c>
      <c r="J11" s="54">
        <f t="shared" si="1"/>
        <v>1264906138</v>
      </c>
    </row>
    <row r="12" spans="1:11" s="56" customFormat="1" ht="20.25" customHeight="1">
      <c r="A12" s="73" t="s">
        <v>93</v>
      </c>
      <c r="B12" s="54">
        <f aca="true" t="shared" si="2" ref="B12:I12">B14+B18</f>
        <v>276549580</v>
      </c>
      <c r="C12" s="54">
        <f t="shared" si="2"/>
        <v>23362711</v>
      </c>
      <c r="D12" s="54">
        <f t="shared" si="2"/>
        <v>211159444</v>
      </c>
      <c r="E12" s="54">
        <f t="shared" si="2"/>
        <v>186689716</v>
      </c>
      <c r="F12" s="54">
        <f t="shared" si="2"/>
        <v>94540007</v>
      </c>
      <c r="G12" s="54">
        <f t="shared" si="2"/>
        <v>151266450</v>
      </c>
      <c r="H12" s="54">
        <f t="shared" si="2"/>
        <v>91288982</v>
      </c>
      <c r="I12" s="54">
        <f t="shared" si="2"/>
        <v>50916627</v>
      </c>
      <c r="J12" s="55">
        <f>SUM(B12:I12)</f>
        <v>1085773517</v>
      </c>
      <c r="K12" s="57"/>
    </row>
    <row r="13" spans="1:11" s="80" customFormat="1" ht="15.75">
      <c r="A13" s="74" t="s">
        <v>94</v>
      </c>
      <c r="B13" s="62">
        <f>45158372+128953+2277121+1955004+195959</f>
        <v>49715409</v>
      </c>
      <c r="C13" s="62">
        <f>8689922+38368+865863+317126+647363</f>
        <v>10558642</v>
      </c>
      <c r="D13" s="63">
        <f>25872610+606479+2311016+1145522+510052</f>
        <v>30445679</v>
      </c>
      <c r="E13" s="63">
        <f>19967871+791+5556122+1817444+1362018</f>
        <v>28704246</v>
      </c>
      <c r="F13" s="63">
        <f>8920078+451901+2649910+1428712+191988</f>
        <v>13642589</v>
      </c>
      <c r="G13" s="63">
        <f>16668891+678677+2670669+689060+945618</f>
        <v>21652915</v>
      </c>
      <c r="H13" s="63">
        <f>11792344+77713+2034645+622766+482023</f>
        <v>15009491</v>
      </c>
      <c r="I13" s="63">
        <f>7988016+71849+897874+366164+79747</f>
        <v>9403650</v>
      </c>
      <c r="J13" s="55">
        <f>SUM(B13:I13)</f>
        <v>179132621</v>
      </c>
      <c r="K13" s="95"/>
    </row>
    <row r="14" spans="1:10" ht="15.75">
      <c r="A14" s="73" t="s">
        <v>95</v>
      </c>
      <c r="B14" s="62">
        <f aca="true" t="shared" si="3" ref="B14:J14">B16+B17</f>
        <v>252377720</v>
      </c>
      <c r="C14" s="62">
        <f t="shared" si="3"/>
        <v>21267653</v>
      </c>
      <c r="D14" s="62">
        <f t="shared" si="3"/>
        <v>193452770</v>
      </c>
      <c r="E14" s="62">
        <f t="shared" si="3"/>
        <v>169100199</v>
      </c>
      <c r="F14" s="62">
        <f t="shared" si="3"/>
        <v>87032849</v>
      </c>
      <c r="G14" s="62">
        <f t="shared" si="3"/>
        <v>141611289</v>
      </c>
      <c r="H14" s="62">
        <f t="shared" si="3"/>
        <v>86402872</v>
      </c>
      <c r="I14" s="62">
        <f t="shared" si="3"/>
        <v>48044811</v>
      </c>
      <c r="J14" s="54">
        <f t="shared" si="3"/>
        <v>999290163</v>
      </c>
    </row>
    <row r="15" spans="1:10" ht="15.75" hidden="1">
      <c r="A15" s="73" t="s">
        <v>96</v>
      </c>
      <c r="B15" s="62">
        <v>0.9149</v>
      </c>
      <c r="C15" s="62">
        <v>0.9103</v>
      </c>
      <c r="D15" s="63">
        <v>0.9136</v>
      </c>
      <c r="E15" s="63">
        <v>0.9022</v>
      </c>
      <c r="F15" s="63">
        <v>0.9225</v>
      </c>
      <c r="G15" s="63">
        <v>0.9374</v>
      </c>
      <c r="H15" s="63">
        <v>0.9475</v>
      </c>
      <c r="I15" s="63">
        <v>0.9436</v>
      </c>
      <c r="J15" s="55">
        <f>SUM(B15:I15)</f>
        <v>7.392</v>
      </c>
    </row>
    <row r="16" spans="1:10" ht="60">
      <c r="A16" s="75" t="s">
        <v>97</v>
      </c>
      <c r="B16" s="62">
        <f>242928598-7590268</f>
        <v>235338330</v>
      </c>
      <c r="C16" s="62">
        <v>19038461</v>
      </c>
      <c r="D16" s="63">
        <f>189770037-8122053</f>
        <v>181647984</v>
      </c>
      <c r="E16" s="63">
        <f>161282331-3258563</f>
        <v>158023768</v>
      </c>
      <c r="F16" s="63">
        <f>84657042-2332489</f>
        <v>82324553</v>
      </c>
      <c r="G16" s="63">
        <f>133807845-3044024</f>
        <v>130763821</v>
      </c>
      <c r="H16" s="63">
        <f>82051311-1725585</f>
        <v>80325726</v>
      </c>
      <c r="I16" s="63">
        <f>46793532-1057953</f>
        <v>45735579</v>
      </c>
      <c r="J16" s="55">
        <f>SUM(B16:I16)</f>
        <v>933198222</v>
      </c>
    </row>
    <row r="17" spans="1:10" ht="15.75">
      <c r="A17" s="73" t="s">
        <v>98</v>
      </c>
      <c r="B17" s="62">
        <v>17039390</v>
      </c>
      <c r="C17" s="62">
        <v>2229192</v>
      </c>
      <c r="D17" s="63">
        <f>10569717+1235069</f>
        <v>11804786</v>
      </c>
      <c r="E17" s="63">
        <f>10096431+980000</f>
        <v>11076431</v>
      </c>
      <c r="F17" s="63">
        <v>4708296</v>
      </c>
      <c r="G17" s="63">
        <v>10847468</v>
      </c>
      <c r="H17" s="63">
        <v>6077146</v>
      </c>
      <c r="I17" s="63">
        <f>2250272+20560+38400</f>
        <v>2309232</v>
      </c>
      <c r="J17" s="55">
        <f>SUM(B17:I17)</f>
        <v>66091941</v>
      </c>
    </row>
    <row r="18" spans="1:10" ht="17.25" customHeight="1">
      <c r="A18" s="73" t="s">
        <v>99</v>
      </c>
      <c r="B18" s="62">
        <v>24171860</v>
      </c>
      <c r="C18" s="62">
        <v>2095058</v>
      </c>
      <c r="D18" s="63">
        <f>18941743-1235069</f>
        <v>17706674</v>
      </c>
      <c r="E18" s="63">
        <f>18569517-980000</f>
        <v>17589517</v>
      </c>
      <c r="F18" s="63">
        <v>7507158</v>
      </c>
      <c r="G18" s="63">
        <v>9655161</v>
      </c>
      <c r="H18" s="63">
        <v>4886110</v>
      </c>
      <c r="I18" s="63">
        <f>2930776-20560-38400</f>
        <v>2871816</v>
      </c>
      <c r="J18" s="55">
        <f>SUM(B18:I18)</f>
        <v>86483354</v>
      </c>
    </row>
    <row r="19" spans="1:10" ht="17.25" customHeight="1">
      <c r="A19" s="76"/>
      <c r="B19" s="62"/>
      <c r="C19" s="62"/>
      <c r="D19" s="63"/>
      <c r="E19" s="63"/>
      <c r="F19" s="63"/>
      <c r="G19" s="63"/>
      <c r="H19" s="63"/>
      <c r="I19" s="63"/>
      <c r="J19" s="55"/>
    </row>
    <row r="20" spans="1:10" s="79" customFormat="1" ht="17.25" customHeight="1">
      <c r="A20" s="78" t="s">
        <v>100</v>
      </c>
      <c r="B20" s="54"/>
      <c r="C20" s="54"/>
      <c r="D20" s="54"/>
      <c r="E20" s="54"/>
      <c r="F20" s="54"/>
      <c r="G20" s="54"/>
      <c r="H20" s="54"/>
      <c r="I20" s="54"/>
      <c r="J20" s="54"/>
    </row>
    <row r="21" spans="1:10" ht="15.75">
      <c r="A21" s="61" t="s">
        <v>81</v>
      </c>
      <c r="B21" s="62">
        <f aca="true" t="shared" si="4" ref="B21:J21">SUM(B22:B24)</f>
        <v>128953</v>
      </c>
      <c r="C21" s="62">
        <f t="shared" si="4"/>
        <v>38368</v>
      </c>
      <c r="D21" s="62">
        <f t="shared" si="4"/>
        <v>606479</v>
      </c>
      <c r="E21" s="62">
        <f t="shared" si="4"/>
        <v>791</v>
      </c>
      <c r="F21" s="62">
        <f t="shared" si="4"/>
        <v>451901</v>
      </c>
      <c r="G21" s="62">
        <f t="shared" si="4"/>
        <v>678677</v>
      </c>
      <c r="H21" s="62">
        <f t="shared" si="4"/>
        <v>77713</v>
      </c>
      <c r="I21" s="62">
        <f t="shared" si="4"/>
        <v>71849</v>
      </c>
      <c r="J21" s="69">
        <f t="shared" si="4"/>
        <v>2054731</v>
      </c>
    </row>
    <row r="22" spans="1:10" ht="31.5">
      <c r="A22" s="61" t="s">
        <v>61</v>
      </c>
      <c r="B22" s="62">
        <v>0</v>
      </c>
      <c r="C22" s="62">
        <v>0</v>
      </c>
      <c r="D22" s="63">
        <v>0</v>
      </c>
      <c r="E22" s="63">
        <v>791</v>
      </c>
      <c r="F22" s="63"/>
      <c r="G22" s="63">
        <v>672694</v>
      </c>
      <c r="H22" s="63">
        <v>70531</v>
      </c>
      <c r="I22" s="63">
        <v>328</v>
      </c>
      <c r="J22" s="63">
        <f>SUM(B22:I22)</f>
        <v>744344</v>
      </c>
    </row>
    <row r="23" spans="1:10" ht="31.5">
      <c r="A23" s="61" t="s">
        <v>62</v>
      </c>
      <c r="B23" s="62">
        <v>156</v>
      </c>
      <c r="C23" s="62">
        <v>20390</v>
      </c>
      <c r="D23" s="63">
        <v>163664</v>
      </c>
      <c r="E23" s="63">
        <v>0</v>
      </c>
      <c r="F23" s="63">
        <v>425169</v>
      </c>
      <c r="G23" s="63">
        <v>5970</v>
      </c>
      <c r="H23" s="63">
        <f>7182</f>
        <v>7182</v>
      </c>
      <c r="I23" s="63"/>
      <c r="J23" s="63">
        <f>SUM(B23:I23)</f>
        <v>622531</v>
      </c>
    </row>
    <row r="24" spans="1:10" ht="15.75">
      <c r="A24" s="61" t="s">
        <v>64</v>
      </c>
      <c r="B24" s="62">
        <v>128797</v>
      </c>
      <c r="C24" s="62">
        <v>17978</v>
      </c>
      <c r="D24" s="63">
        <v>442815</v>
      </c>
      <c r="E24" s="63"/>
      <c r="F24" s="63">
        <v>26732</v>
      </c>
      <c r="G24" s="63">
        <v>13</v>
      </c>
      <c r="H24" s="63">
        <v>0</v>
      </c>
      <c r="I24" s="63">
        <v>71521</v>
      </c>
      <c r="J24" s="63">
        <f>SUM(B24:I24)</f>
        <v>687856</v>
      </c>
    </row>
    <row r="25" spans="1:10" ht="9" customHeight="1">
      <c r="A25" s="58"/>
      <c r="B25" s="54"/>
      <c r="C25" s="54"/>
      <c r="D25" s="55"/>
      <c r="E25" s="55"/>
      <c r="F25" s="55"/>
      <c r="G25" s="55"/>
      <c r="H25" s="55"/>
      <c r="I25" s="55"/>
      <c r="J25" s="55"/>
    </row>
    <row r="26" spans="1:10" ht="21" customHeight="1">
      <c r="A26" s="58" t="s">
        <v>86</v>
      </c>
      <c r="B26" s="54"/>
      <c r="C26" s="54"/>
      <c r="D26" s="55"/>
      <c r="E26" s="55"/>
      <c r="F26" s="55"/>
      <c r="G26" s="55"/>
      <c r="H26" s="55"/>
      <c r="I26" s="55"/>
      <c r="J26" s="55"/>
    </row>
    <row r="27" spans="1:10" s="56" customFormat="1" ht="15.75">
      <c r="A27" s="53" t="s">
        <v>67</v>
      </c>
      <c r="B27" s="54">
        <f aca="true" t="shared" si="5" ref="B27:J27">B28+B29</f>
        <v>4311978</v>
      </c>
      <c r="C27" s="54">
        <f t="shared" si="5"/>
        <v>915972</v>
      </c>
      <c r="D27" s="54">
        <f t="shared" si="5"/>
        <v>2411256</v>
      </c>
      <c r="E27" s="54">
        <f t="shared" si="5"/>
        <v>18787533</v>
      </c>
      <c r="F27" s="54">
        <f t="shared" si="5"/>
        <v>2882720</v>
      </c>
      <c r="G27" s="54">
        <f t="shared" si="5"/>
        <v>3663740</v>
      </c>
      <c r="H27" s="54">
        <f t="shared" si="5"/>
        <v>2236230</v>
      </c>
      <c r="I27" s="54">
        <f t="shared" si="5"/>
        <v>1229950</v>
      </c>
      <c r="J27" s="54">
        <f t="shared" si="5"/>
        <v>36439379</v>
      </c>
    </row>
    <row r="28" spans="1:10" ht="15.75" customHeight="1">
      <c r="A28" s="58" t="s">
        <v>82</v>
      </c>
      <c r="B28" s="7">
        <v>2034857</v>
      </c>
      <c r="C28" s="7">
        <v>50109</v>
      </c>
      <c r="D28" s="7">
        <v>100240</v>
      </c>
      <c r="E28" s="55">
        <v>13231411</v>
      </c>
      <c r="F28" s="55">
        <v>232810</v>
      </c>
      <c r="G28" s="55">
        <v>993071</v>
      </c>
      <c r="H28" s="55">
        <v>201585</v>
      </c>
      <c r="I28" s="55">
        <v>332076</v>
      </c>
      <c r="J28" s="55">
        <f>SUM(B28:I28)</f>
        <v>17176159</v>
      </c>
    </row>
    <row r="29" spans="1:10" ht="15.75">
      <c r="A29" s="58" t="s">
        <v>84</v>
      </c>
      <c r="B29" s="62">
        <f>SUM(B30:B39)</f>
        <v>2277121</v>
      </c>
      <c r="C29" s="62">
        <f>SUM(C30:C39)</f>
        <v>865863</v>
      </c>
      <c r="D29" s="62">
        <f aca="true" t="shared" si="6" ref="D29:J29">SUM(D30:D40)</f>
        <v>2311016</v>
      </c>
      <c r="E29" s="62">
        <f t="shared" si="6"/>
        <v>5556122</v>
      </c>
      <c r="F29" s="62">
        <f t="shared" si="6"/>
        <v>2649910</v>
      </c>
      <c r="G29" s="62">
        <f t="shared" si="6"/>
        <v>2670669</v>
      </c>
      <c r="H29" s="62">
        <f t="shared" si="6"/>
        <v>2034645</v>
      </c>
      <c r="I29" s="62">
        <f t="shared" si="6"/>
        <v>897874</v>
      </c>
      <c r="J29" s="62">
        <f t="shared" si="6"/>
        <v>19263220</v>
      </c>
    </row>
    <row r="30" spans="1:10" ht="15.75">
      <c r="A30" s="61" t="s">
        <v>5</v>
      </c>
      <c r="B30" s="62"/>
      <c r="C30" s="62"/>
      <c r="D30" s="63"/>
      <c r="E30" s="63"/>
      <c r="F30" s="63"/>
      <c r="G30" s="63"/>
      <c r="H30" s="63"/>
      <c r="I30" s="63"/>
      <c r="J30" s="63"/>
    </row>
    <row r="31" spans="1:10" s="56" customFormat="1" ht="15">
      <c r="A31" s="64" t="s">
        <v>70</v>
      </c>
      <c r="B31" s="65">
        <v>8929</v>
      </c>
      <c r="C31" s="65"/>
      <c r="D31" s="66"/>
      <c r="E31" s="66">
        <v>380224</v>
      </c>
      <c r="F31" s="66">
        <v>280809</v>
      </c>
      <c r="G31" s="66">
        <v>625459</v>
      </c>
      <c r="H31" s="66">
        <v>194956</v>
      </c>
      <c r="I31" s="66">
        <v>452263</v>
      </c>
      <c r="J31" s="66">
        <f aca="true" t="shared" si="7" ref="J31:J42">SUM(B31:I31)</f>
        <v>1942640</v>
      </c>
    </row>
    <row r="32" spans="1:10" s="56" customFormat="1" ht="30">
      <c r="A32" s="64" t="s">
        <v>71</v>
      </c>
      <c r="B32" s="65">
        <v>13045</v>
      </c>
      <c r="C32" s="65"/>
      <c r="D32" s="66">
        <v>1</v>
      </c>
      <c r="E32" s="66">
        <v>799383</v>
      </c>
      <c r="F32" s="66">
        <v>72072</v>
      </c>
      <c r="G32" s="66">
        <v>40404</v>
      </c>
      <c r="H32" s="66">
        <v>240868</v>
      </c>
      <c r="I32" s="66">
        <v>151851</v>
      </c>
      <c r="J32" s="66">
        <f t="shared" si="7"/>
        <v>1317624</v>
      </c>
    </row>
    <row r="33" spans="1:10" s="56" customFormat="1" ht="30" customHeight="1">
      <c r="A33" s="64" t="s">
        <v>72</v>
      </c>
      <c r="B33" s="65">
        <v>1573893</v>
      </c>
      <c r="C33" s="65">
        <v>751479</v>
      </c>
      <c r="D33" s="66">
        <v>2171212</v>
      </c>
      <c r="E33" s="66">
        <v>3380450</v>
      </c>
      <c r="F33" s="66">
        <v>686261</v>
      </c>
      <c r="G33" s="66">
        <v>653213</v>
      </c>
      <c r="H33" s="66">
        <v>102978</v>
      </c>
      <c r="I33" s="66">
        <v>73959</v>
      </c>
      <c r="J33" s="66">
        <f t="shared" si="7"/>
        <v>9393445</v>
      </c>
    </row>
    <row r="34" spans="1:15" s="56" customFormat="1" ht="16.5">
      <c r="A34" s="64" t="s">
        <v>16</v>
      </c>
      <c r="B34" s="65"/>
      <c r="C34" s="65"/>
      <c r="D34" s="66">
        <v>2748</v>
      </c>
      <c r="E34" s="66"/>
      <c r="F34" s="66">
        <v>8031</v>
      </c>
      <c r="G34" s="66">
        <v>10770</v>
      </c>
      <c r="H34" s="66">
        <v>4406</v>
      </c>
      <c r="I34" s="66">
        <v>23538</v>
      </c>
      <c r="J34" s="66">
        <f t="shared" si="7"/>
        <v>49493</v>
      </c>
      <c r="N34" s="90"/>
      <c r="O34" s="91"/>
    </row>
    <row r="35" spans="1:15" s="56" customFormat="1" ht="16.5">
      <c r="A35" s="64" t="s">
        <v>73</v>
      </c>
      <c r="B35" s="65">
        <v>573130</v>
      </c>
      <c r="C35" s="65">
        <v>114384</v>
      </c>
      <c r="D35" s="66"/>
      <c r="E35" s="66"/>
      <c r="F35" s="66">
        <v>1507713</v>
      </c>
      <c r="G35" s="66"/>
      <c r="H35" s="66"/>
      <c r="I35" s="66"/>
      <c r="J35" s="66">
        <f t="shared" si="7"/>
        <v>2195227</v>
      </c>
      <c r="N35" s="90"/>
      <c r="O35" s="91"/>
    </row>
    <row r="36" spans="1:15" s="56" customFormat="1" ht="32.25" customHeight="1">
      <c r="A36" s="64" t="s">
        <v>74</v>
      </c>
      <c r="B36" s="65">
        <v>34999</v>
      </c>
      <c r="C36" s="65"/>
      <c r="D36" s="66"/>
      <c r="E36" s="66">
        <v>541915</v>
      </c>
      <c r="F36" s="66"/>
      <c r="G36" s="66">
        <v>1010582</v>
      </c>
      <c r="H36" s="66">
        <v>1432846</v>
      </c>
      <c r="I36" s="66">
        <v>24975</v>
      </c>
      <c r="J36" s="66">
        <f t="shared" si="7"/>
        <v>3045317</v>
      </c>
      <c r="N36" s="90"/>
      <c r="O36" s="91"/>
    </row>
    <row r="37" spans="1:15" s="56" customFormat="1" ht="45">
      <c r="A37" s="64" t="s">
        <v>75</v>
      </c>
      <c r="B37" s="65"/>
      <c r="C37" s="65"/>
      <c r="D37" s="66"/>
      <c r="E37" s="66">
        <v>382980</v>
      </c>
      <c r="F37" s="66"/>
      <c r="G37" s="66">
        <v>226136</v>
      </c>
      <c r="H37" s="66">
        <v>44509</v>
      </c>
      <c r="I37" s="66">
        <v>28583</v>
      </c>
      <c r="J37" s="66">
        <f t="shared" si="7"/>
        <v>682208</v>
      </c>
      <c r="N37" s="90"/>
      <c r="O37" s="91"/>
    </row>
    <row r="38" spans="1:15" s="56" customFormat="1" ht="45">
      <c r="A38" s="64" t="s">
        <v>76</v>
      </c>
      <c r="B38" s="65">
        <v>73125</v>
      </c>
      <c r="C38" s="65"/>
      <c r="D38" s="66">
        <v>137054</v>
      </c>
      <c r="E38" s="66">
        <v>70735</v>
      </c>
      <c r="F38" s="66">
        <v>95024</v>
      </c>
      <c r="G38" s="66">
        <v>104105</v>
      </c>
      <c r="H38" s="66">
        <v>14082</v>
      </c>
      <c r="I38" s="66">
        <v>142705</v>
      </c>
      <c r="J38" s="66">
        <f t="shared" si="7"/>
        <v>636830</v>
      </c>
      <c r="N38" s="90"/>
      <c r="O38" s="91"/>
    </row>
    <row r="39" spans="1:15" s="56" customFormat="1" ht="60">
      <c r="A39" s="64" t="s">
        <v>85</v>
      </c>
      <c r="B39" s="65"/>
      <c r="C39" s="65"/>
      <c r="D39" s="66"/>
      <c r="E39" s="66">
        <v>435</v>
      </c>
      <c r="F39" s="66"/>
      <c r="G39" s="66"/>
      <c r="H39" s="66"/>
      <c r="I39" s="66"/>
      <c r="J39" s="66">
        <f t="shared" si="7"/>
        <v>435</v>
      </c>
      <c r="N39" s="90"/>
      <c r="O39" s="91"/>
    </row>
    <row r="40" spans="1:15" s="56" customFormat="1" ht="16.5">
      <c r="A40" s="64" t="s">
        <v>87</v>
      </c>
      <c r="B40" s="65"/>
      <c r="C40" s="65"/>
      <c r="D40" s="66">
        <v>1</v>
      </c>
      <c r="E40" s="66"/>
      <c r="F40" s="66"/>
      <c r="G40" s="66"/>
      <c r="H40" s="66"/>
      <c r="I40" s="66"/>
      <c r="J40" s="66">
        <f t="shared" si="7"/>
        <v>1</v>
      </c>
      <c r="N40" s="90"/>
      <c r="O40" s="91"/>
    </row>
    <row r="41" spans="1:15" s="56" customFormat="1" ht="15" customHeight="1">
      <c r="A41" s="53" t="s">
        <v>77</v>
      </c>
      <c r="B41" s="55">
        <v>1955004</v>
      </c>
      <c r="C41" s="55">
        <v>317126</v>
      </c>
      <c r="D41" s="55">
        <v>1145522</v>
      </c>
      <c r="E41" s="55">
        <v>1817444</v>
      </c>
      <c r="F41" s="55">
        <v>1428712</v>
      </c>
      <c r="G41" s="55">
        <v>689060</v>
      </c>
      <c r="H41" s="55">
        <v>622766</v>
      </c>
      <c r="I41" s="55">
        <v>366164</v>
      </c>
      <c r="J41" s="55">
        <f t="shared" si="7"/>
        <v>8341798</v>
      </c>
      <c r="N41" s="90"/>
      <c r="O41" s="91"/>
    </row>
    <row r="42" spans="1:15" s="56" customFormat="1" ht="15" customHeight="1">
      <c r="A42" s="53" t="s">
        <v>78</v>
      </c>
      <c r="B42" s="55">
        <v>195959</v>
      </c>
      <c r="C42" s="55">
        <v>647363</v>
      </c>
      <c r="D42" s="55">
        <v>510052</v>
      </c>
      <c r="E42" s="55">
        <v>1362018</v>
      </c>
      <c r="F42" s="55">
        <v>191988</v>
      </c>
      <c r="G42" s="55">
        <v>945618</v>
      </c>
      <c r="H42" s="55">
        <v>482023</v>
      </c>
      <c r="I42" s="55">
        <v>79747</v>
      </c>
      <c r="J42" s="55">
        <f t="shared" si="7"/>
        <v>4414768</v>
      </c>
      <c r="N42" s="92"/>
      <c r="O42" s="93"/>
    </row>
    <row r="43" spans="1:15" ht="22.5" customHeight="1">
      <c r="A43" s="58"/>
      <c r="B43" s="54">
        <f>B8-B12+B28</f>
        <v>-16903596</v>
      </c>
      <c r="C43" s="54">
        <f aca="true" t="shared" si="8" ref="C43:J43">C8-C12+C28</f>
        <v>-2362016</v>
      </c>
      <c r="D43" s="54">
        <f t="shared" si="8"/>
        <v>-14394534</v>
      </c>
      <c r="E43" s="54">
        <f t="shared" si="8"/>
        <v>12236865</v>
      </c>
      <c r="F43" s="54">
        <f t="shared" si="8"/>
        <v>-19235614</v>
      </c>
      <c r="G43" s="54">
        <f t="shared" si="8"/>
        <v>-53721771</v>
      </c>
      <c r="H43" s="54">
        <f t="shared" si="8"/>
        <v>-42226296</v>
      </c>
      <c r="I43" s="54">
        <f t="shared" si="8"/>
        <v>-21276797</v>
      </c>
      <c r="J43" s="54">
        <f t="shared" si="8"/>
        <v>-157883759</v>
      </c>
      <c r="N43" s="94"/>
      <c r="O43" s="94"/>
    </row>
    <row r="44" spans="1:11" s="56" customFormat="1" ht="21" customHeight="1">
      <c r="A44" s="53" t="s">
        <v>79</v>
      </c>
      <c r="B44" s="54">
        <f>B11-B6-B21-B29-B41-B42-B28</f>
        <v>16903596</v>
      </c>
      <c r="C44" s="54">
        <f aca="true" t="shared" si="9" ref="C44:J44">C11-C6-C21-C29-C41-C42-C28</f>
        <v>2362016</v>
      </c>
      <c r="D44" s="54">
        <f t="shared" si="9"/>
        <v>14394534</v>
      </c>
      <c r="E44" s="54">
        <f>E11-E6-E21-E29-E41-E42-E28</f>
        <v>-12236865</v>
      </c>
      <c r="F44" s="54">
        <f t="shared" si="9"/>
        <v>19235614</v>
      </c>
      <c r="G44" s="54">
        <f t="shared" si="9"/>
        <v>53721771</v>
      </c>
      <c r="H44" s="54">
        <f t="shared" si="9"/>
        <v>42226296</v>
      </c>
      <c r="I44" s="54">
        <f t="shared" si="9"/>
        <v>21276797</v>
      </c>
      <c r="J44" s="54">
        <f t="shared" si="9"/>
        <v>157883759</v>
      </c>
      <c r="K44" s="54">
        <f>K6-K11</f>
        <v>0</v>
      </c>
    </row>
    <row r="45" spans="1:11" ht="15.75" customHeight="1">
      <c r="A45" s="58" t="s">
        <v>101</v>
      </c>
      <c r="B45" s="54">
        <f>B46+B47</f>
        <v>16903596</v>
      </c>
      <c r="C45" s="54">
        <f aca="true" t="shared" si="10" ref="C45:I45">C46+C47</f>
        <v>2362016</v>
      </c>
      <c r="D45" s="54">
        <f t="shared" si="10"/>
        <v>14394534</v>
      </c>
      <c r="E45" s="54">
        <f t="shared" si="10"/>
        <v>-12236865</v>
      </c>
      <c r="F45" s="54">
        <f t="shared" si="10"/>
        <v>19235614</v>
      </c>
      <c r="G45" s="54">
        <f t="shared" si="10"/>
        <v>53721771</v>
      </c>
      <c r="H45" s="54">
        <f t="shared" si="10"/>
        <v>42226296</v>
      </c>
      <c r="I45" s="54">
        <f t="shared" si="10"/>
        <v>21276797</v>
      </c>
      <c r="J45" s="54">
        <f>202190853+J50-J51</f>
        <v>157883759</v>
      </c>
      <c r="K45" s="68">
        <f>SUM(B45:I45)</f>
        <v>157883759</v>
      </c>
    </row>
    <row r="46" spans="1:10" ht="15.75" customHeight="1">
      <c r="A46" s="83" t="s">
        <v>102</v>
      </c>
      <c r="B46" s="54"/>
      <c r="C46" s="54">
        <v>317066</v>
      </c>
      <c r="D46" s="55">
        <f>1990000</f>
        <v>1990000</v>
      </c>
      <c r="E46" s="55"/>
      <c r="F46" s="55">
        <f>14293755-2565299</f>
        <v>11728456</v>
      </c>
      <c r="G46" s="55">
        <f>48103705-4037095</f>
        <v>44066610</v>
      </c>
      <c r="H46" s="55">
        <f>39267356-1927170</f>
        <v>37340186</v>
      </c>
      <c r="I46" s="89">
        <f>19736051-1390029</f>
        <v>18346022</v>
      </c>
      <c r="J46" s="55">
        <f>SUM(B46:I46)</f>
        <v>113788340</v>
      </c>
    </row>
    <row r="47" spans="1:10" ht="15.75" customHeight="1">
      <c r="A47" s="83" t="s">
        <v>103</v>
      </c>
      <c r="B47" s="54">
        <f>B44-B46</f>
        <v>16903596</v>
      </c>
      <c r="C47" s="54">
        <f aca="true" t="shared" si="11" ref="C47:I47">C44-C46</f>
        <v>2044950</v>
      </c>
      <c r="D47" s="54">
        <f t="shared" si="11"/>
        <v>12404534</v>
      </c>
      <c r="E47" s="54">
        <f t="shared" si="11"/>
        <v>-12236865</v>
      </c>
      <c r="F47" s="54">
        <f>F44-F46</f>
        <v>7507158</v>
      </c>
      <c r="G47" s="54">
        <f t="shared" si="11"/>
        <v>9655161</v>
      </c>
      <c r="H47" s="54">
        <f t="shared" si="11"/>
        <v>4886110</v>
      </c>
      <c r="I47" s="54">
        <f t="shared" si="11"/>
        <v>2930775</v>
      </c>
      <c r="J47" s="55">
        <f>SUM(B47:I47)</f>
        <v>44095419</v>
      </c>
    </row>
    <row r="48" spans="1:10" ht="15.75" customHeight="1">
      <c r="A48" s="83"/>
      <c r="B48" s="54"/>
      <c r="C48" s="54"/>
      <c r="D48" s="85"/>
      <c r="E48" s="55"/>
      <c r="F48" s="55"/>
      <c r="G48" s="55"/>
      <c r="H48" s="55"/>
      <c r="I48" s="55"/>
      <c r="J48" s="55"/>
    </row>
    <row r="49" spans="1:10" s="56" customFormat="1" ht="21.75" customHeight="1" thickBot="1">
      <c r="A49" s="67" t="s">
        <v>80</v>
      </c>
      <c r="B49" s="55">
        <v>366302041</v>
      </c>
      <c r="C49" s="55">
        <v>33261924</v>
      </c>
      <c r="D49" s="55">
        <v>264356254</v>
      </c>
      <c r="E49" s="55">
        <v>241405295</v>
      </c>
      <c r="F49" s="55">
        <v>129760732</v>
      </c>
      <c r="G49" s="55">
        <v>204585750</v>
      </c>
      <c r="H49" s="55">
        <v>123691693</v>
      </c>
      <c r="I49" s="55">
        <v>78016449</v>
      </c>
      <c r="J49" s="55">
        <f>SUM(B49:I49)</f>
        <v>1441380138</v>
      </c>
    </row>
    <row r="50" spans="2:11" ht="12.75">
      <c r="B50" s="96">
        <v>-7590268</v>
      </c>
      <c r="C50" s="96"/>
      <c r="D50" s="96">
        <v>-8122053</v>
      </c>
      <c r="E50" s="96">
        <v>-3258563</v>
      </c>
      <c r="F50" s="96">
        <v>-2332489</v>
      </c>
      <c r="G50" s="96">
        <v>-3044024</v>
      </c>
      <c r="H50" s="96">
        <v>-1725585</v>
      </c>
      <c r="I50" s="96">
        <v>-1057953</v>
      </c>
      <c r="J50" s="68">
        <v>-27130935</v>
      </c>
      <c r="K50" s="68">
        <f>SUM(B50:I50)</f>
        <v>-27130935</v>
      </c>
    </row>
    <row r="51" spans="2:11" ht="12.75">
      <c r="B51" s="96"/>
      <c r="C51" s="96"/>
      <c r="D51" s="96"/>
      <c r="E51" s="96"/>
      <c r="F51" s="96"/>
      <c r="G51" s="96"/>
      <c r="H51" s="96"/>
      <c r="I51" s="96"/>
      <c r="J51" s="68">
        <v>17176159</v>
      </c>
      <c r="K51" s="68"/>
    </row>
    <row r="52" spans="1:10" ht="69.75" customHeight="1">
      <c r="A52" s="19" t="s">
        <v>46</v>
      </c>
      <c r="B52" s="81"/>
      <c r="C52" s="81"/>
      <c r="D52" s="81"/>
      <c r="E52" s="81"/>
      <c r="F52" s="81"/>
      <c r="G52" s="81"/>
      <c r="H52" s="81"/>
      <c r="I52" s="81"/>
      <c r="J52" s="81"/>
    </row>
    <row r="53" spans="2:12" ht="12.75">
      <c r="B53" s="97"/>
      <c r="C53" s="3"/>
      <c r="E53" s="82"/>
      <c r="F53" s="82"/>
      <c r="G53" s="82"/>
      <c r="H53" s="82"/>
      <c r="I53" s="82"/>
      <c r="J53" s="82"/>
      <c r="K53" s="82"/>
      <c r="L53" s="82"/>
    </row>
    <row r="54" spans="1:12" ht="12.75">
      <c r="A54" t="s">
        <v>44</v>
      </c>
      <c r="B54" s="97"/>
      <c r="C54" s="97"/>
      <c r="D54" s="97"/>
      <c r="E54" s="97"/>
      <c r="F54" s="97"/>
      <c r="G54" s="97"/>
      <c r="H54" s="97"/>
      <c r="I54" s="97"/>
      <c r="J54" s="82"/>
      <c r="K54" s="82"/>
      <c r="L54" s="82"/>
    </row>
    <row r="55" spans="2:10" ht="12.75">
      <c r="B55" s="68"/>
      <c r="C55" s="68"/>
      <c r="D55" s="68"/>
      <c r="E55" s="68"/>
      <c r="F55" s="68"/>
      <c r="G55" s="68"/>
      <c r="H55" s="68"/>
      <c r="I55" s="68"/>
      <c r="J55" s="68"/>
    </row>
    <row r="56" ht="12.75">
      <c r="A56" s="40" t="s">
        <v>83</v>
      </c>
    </row>
    <row r="58" ht="12.75">
      <c r="B58" s="68">
        <f>B8-B12+2034857</f>
        <v>-16903596</v>
      </c>
    </row>
    <row r="59" ht="12.75">
      <c r="B59" s="68">
        <f>B8-B14</f>
        <v>5233407</v>
      </c>
    </row>
  </sheetData>
  <sheetProtection/>
  <mergeCells count="1">
    <mergeCell ref="A2:J2"/>
  </mergeCells>
  <printOptions/>
  <pageMargins left="0.75" right="0.75" top="1" bottom="0.2" header="0.5" footer="0.2"/>
  <pageSetup horizontalDpi="600" verticalDpi="600" orientation="landscape" paperSize="9" scale="68" r:id="rId1"/>
</worksheet>
</file>

<file path=xl/worksheets/sheet7.xml><?xml version="1.0" encoding="utf-8"?>
<worksheet xmlns="http://schemas.openxmlformats.org/spreadsheetml/2006/main" xmlns:r="http://schemas.openxmlformats.org/officeDocument/2006/relationships">
  <dimension ref="A1:O62"/>
  <sheetViews>
    <sheetView zoomScalePageLayoutView="0" workbookViewId="0" topLeftCell="A1">
      <pane xSplit="1" ySplit="4" topLeftCell="B44" activePane="bottomRight" state="frozen"/>
      <selection pane="topLeft" activeCell="A1" sqref="A1"/>
      <selection pane="topRight" activeCell="B1" sqref="B1"/>
      <selection pane="bottomLeft" activeCell="A14" sqref="A14"/>
      <selection pane="bottomRight" activeCell="A54" sqref="A54:J54"/>
    </sheetView>
  </sheetViews>
  <sheetFormatPr defaultColWidth="9.00390625" defaultRowHeight="12.75"/>
  <cols>
    <col min="1" max="1" width="58.00390625" style="40" customWidth="1"/>
    <col min="2" max="2" width="17.25390625" style="40" customWidth="1"/>
    <col min="3" max="3" width="16.00390625" style="40" customWidth="1"/>
    <col min="4" max="4" width="16.25390625" style="40" customWidth="1"/>
    <col min="5" max="5" width="15.875" style="40" customWidth="1"/>
    <col min="6" max="6" width="16.25390625" style="40" customWidth="1"/>
    <col min="7" max="7" width="16.375" style="40" customWidth="1"/>
    <col min="8" max="8" width="17.125" style="40" customWidth="1"/>
    <col min="9" max="9" width="15.875" style="40" customWidth="1"/>
    <col min="10" max="10" width="15.625" style="40" customWidth="1"/>
    <col min="11" max="11" width="15.25390625" style="40" customWidth="1"/>
    <col min="12" max="12" width="13.00390625" style="40" customWidth="1"/>
    <col min="13" max="14" width="9.125" style="40" customWidth="1"/>
    <col min="15" max="15" width="18.875" style="40" customWidth="1"/>
    <col min="16" max="16384" width="9.125" style="40" customWidth="1"/>
  </cols>
  <sheetData>
    <row r="1" spans="1:15" ht="13.5" customHeight="1">
      <c r="A1" s="37"/>
      <c r="B1" s="37"/>
      <c r="C1" s="37"/>
      <c r="D1" s="37"/>
      <c r="E1" s="37"/>
      <c r="F1" s="37"/>
      <c r="G1" s="37"/>
      <c r="H1" s="37"/>
      <c r="I1" s="37"/>
      <c r="J1" s="38"/>
      <c r="K1" s="39"/>
      <c r="L1" s="39"/>
      <c r="M1" s="39"/>
      <c r="N1" s="39"/>
      <c r="O1" s="39"/>
    </row>
    <row r="2" spans="1:10" ht="18.75">
      <c r="A2" s="202" t="s">
        <v>0</v>
      </c>
      <c r="B2" s="202"/>
      <c r="C2" s="202"/>
      <c r="D2" s="202"/>
      <c r="E2" s="202"/>
      <c r="F2" s="202"/>
      <c r="G2" s="202"/>
      <c r="H2" s="202"/>
      <c r="I2" s="202"/>
      <c r="J2" s="202"/>
    </row>
    <row r="3" spans="1:10" ht="16.5" thickBot="1">
      <c r="A3" s="43"/>
      <c r="B3" s="43"/>
      <c r="C3" s="43"/>
      <c r="D3" s="43"/>
      <c r="E3" s="43"/>
      <c r="F3" s="43"/>
      <c r="G3" s="43"/>
      <c r="H3" s="43"/>
      <c r="I3" s="43"/>
      <c r="J3" s="43" t="s">
        <v>52</v>
      </c>
    </row>
    <row r="4" spans="1:10" ht="34.5" customHeight="1" thickBot="1">
      <c r="A4" s="44" t="s">
        <v>53</v>
      </c>
      <c r="B4" s="45" t="s">
        <v>33</v>
      </c>
      <c r="C4" s="46" t="s">
        <v>34</v>
      </c>
      <c r="D4" s="46" t="s">
        <v>36</v>
      </c>
      <c r="E4" s="46" t="s">
        <v>39</v>
      </c>
      <c r="F4" s="46" t="s">
        <v>32</v>
      </c>
      <c r="G4" s="46" t="s">
        <v>30</v>
      </c>
      <c r="H4" s="46" t="s">
        <v>35</v>
      </c>
      <c r="I4" s="46" t="s">
        <v>38</v>
      </c>
      <c r="J4" s="47" t="s">
        <v>54</v>
      </c>
    </row>
    <row r="5" spans="1:10" ht="9" customHeight="1">
      <c r="A5" s="48"/>
      <c r="B5" s="49"/>
      <c r="C5" s="50"/>
      <c r="D5" s="51"/>
      <c r="E5" s="51"/>
      <c r="F5" s="51"/>
      <c r="G5" s="51"/>
      <c r="H5" s="51"/>
      <c r="I5" s="51"/>
      <c r="J5" s="52"/>
    </row>
    <row r="6" spans="1:13" s="56" customFormat="1" ht="20.25" customHeight="1">
      <c r="A6" s="53" t="s">
        <v>88</v>
      </c>
      <c r="B6" s="54">
        <v>302769499</v>
      </c>
      <c r="C6" s="54">
        <v>29640508</v>
      </c>
      <c r="D6" s="55">
        <v>222537280</v>
      </c>
      <c r="E6" s="55">
        <f>E7+E8</f>
        <v>193426176</v>
      </c>
      <c r="F6" s="55">
        <v>83991661</v>
      </c>
      <c r="G6" s="55">
        <v>113220499</v>
      </c>
      <c r="H6" s="55">
        <v>60653445</v>
      </c>
      <c r="I6" s="55">
        <v>37295770</v>
      </c>
      <c r="J6" s="55">
        <f>SUM(B6:I6)</f>
        <v>1043534838</v>
      </c>
      <c r="M6" s="57"/>
    </row>
    <row r="7" spans="1:13" s="56" customFormat="1" ht="20.25" customHeight="1">
      <c r="A7" s="64" t="s">
        <v>89</v>
      </c>
      <c r="B7" s="70">
        <v>45158372</v>
      </c>
      <c r="C7" s="70">
        <v>8689922</v>
      </c>
      <c r="D7" s="71">
        <v>25872610</v>
      </c>
      <c r="E7" s="71">
        <v>19967871</v>
      </c>
      <c r="F7" s="71">
        <v>8920078</v>
      </c>
      <c r="G7" s="71">
        <v>16668891</v>
      </c>
      <c r="H7" s="71">
        <v>11792344</v>
      </c>
      <c r="I7" s="71">
        <v>7988016</v>
      </c>
      <c r="J7" s="71">
        <f>SUM(B7:I7)</f>
        <v>145058104</v>
      </c>
      <c r="M7" s="57"/>
    </row>
    <row r="8" spans="1:10" ht="27" customHeight="1">
      <c r="A8" s="58" t="s">
        <v>90</v>
      </c>
      <c r="B8" s="54">
        <f aca="true" t="shared" si="0" ref="B8:J8">B6-B7</f>
        <v>257611127</v>
      </c>
      <c r="C8" s="54">
        <f t="shared" si="0"/>
        <v>20950586</v>
      </c>
      <c r="D8" s="54">
        <f t="shared" si="0"/>
        <v>196664670</v>
      </c>
      <c r="E8" s="54">
        <f>185695170-12236865</f>
        <v>173458305</v>
      </c>
      <c r="F8" s="54">
        <f t="shared" si="0"/>
        <v>75071583</v>
      </c>
      <c r="G8" s="54">
        <f t="shared" si="0"/>
        <v>96551608</v>
      </c>
      <c r="H8" s="54">
        <f t="shared" si="0"/>
        <v>48861101</v>
      </c>
      <c r="I8" s="54">
        <f t="shared" si="0"/>
        <v>29307754</v>
      </c>
      <c r="J8" s="54">
        <f t="shared" si="0"/>
        <v>898476734</v>
      </c>
    </row>
    <row r="9" spans="1:10" s="56" customFormat="1" ht="15.75">
      <c r="A9" s="53" t="s">
        <v>91</v>
      </c>
      <c r="B9" s="54">
        <v>26528721</v>
      </c>
      <c r="C9" s="54">
        <v>2412125</v>
      </c>
      <c r="D9" s="55">
        <v>22616827</v>
      </c>
      <c r="E9" s="55">
        <v>4253109</v>
      </c>
      <c r="F9" s="55">
        <v>21800913</v>
      </c>
      <c r="G9" s="55">
        <v>57758866</v>
      </c>
      <c r="H9" s="55">
        <v>44153466</v>
      </c>
      <c r="I9" s="55">
        <v>22666826</v>
      </c>
      <c r="J9" s="55">
        <f>SUM(B9:I9)</f>
        <v>202190853</v>
      </c>
    </row>
    <row r="10" spans="1:10" s="56" customFormat="1" ht="15.75">
      <c r="A10" s="59"/>
      <c r="B10" s="54"/>
      <c r="C10" s="54"/>
      <c r="D10" s="55"/>
      <c r="E10" s="55"/>
      <c r="F10" s="55"/>
      <c r="G10" s="55"/>
      <c r="H10" s="55"/>
      <c r="I10" s="55"/>
      <c r="J10" s="55"/>
    </row>
    <row r="11" spans="1:10" ht="20.25" customHeight="1">
      <c r="A11" s="72" t="s">
        <v>92</v>
      </c>
      <c r="B11" s="54">
        <v>329298220</v>
      </c>
      <c r="C11" s="54">
        <v>32052633</v>
      </c>
      <c r="D11" s="54">
        <v>245154107</v>
      </c>
      <c r="E11" s="54">
        <v>209916150</v>
      </c>
      <c r="F11" s="54">
        <v>105792574</v>
      </c>
      <c r="G11" s="54">
        <v>170979365</v>
      </c>
      <c r="H11" s="54">
        <v>104806911</v>
      </c>
      <c r="I11" s="54">
        <v>59962596</v>
      </c>
      <c r="J11" s="54">
        <f>SUM(B11:I11)</f>
        <v>1257962556</v>
      </c>
    </row>
    <row r="12" spans="1:11" s="56" customFormat="1" ht="20.25" customHeight="1">
      <c r="A12" s="73" t="s">
        <v>93</v>
      </c>
      <c r="B12" s="54">
        <f aca="true" t="shared" si="1" ref="B12:I12">B14+B18</f>
        <v>276549580</v>
      </c>
      <c r="C12" s="54">
        <f t="shared" si="1"/>
        <v>23362711</v>
      </c>
      <c r="D12" s="54">
        <f t="shared" si="1"/>
        <v>211159444</v>
      </c>
      <c r="E12" s="54">
        <f t="shared" si="1"/>
        <v>186689716</v>
      </c>
      <c r="F12" s="54">
        <f t="shared" si="1"/>
        <v>94540007</v>
      </c>
      <c r="G12" s="54">
        <f t="shared" si="1"/>
        <v>151266450</v>
      </c>
      <c r="H12" s="54">
        <f t="shared" si="1"/>
        <v>91288982</v>
      </c>
      <c r="I12" s="54">
        <f t="shared" si="1"/>
        <v>50916627</v>
      </c>
      <c r="J12" s="55">
        <f>SUM(B12:I12)</f>
        <v>1085773517</v>
      </c>
      <c r="K12" s="57"/>
    </row>
    <row r="13" spans="1:11" s="80" customFormat="1" ht="15.75">
      <c r="A13" s="74" t="s">
        <v>94</v>
      </c>
      <c r="B13" s="62">
        <f>45158372+128953+2277121+1955004+195959</f>
        <v>49715409</v>
      </c>
      <c r="C13" s="62">
        <f>8689922+38368+865863+317126+647363</f>
        <v>10558642</v>
      </c>
      <c r="D13" s="63">
        <f>25872610+606479+2311016+1145522+510052</f>
        <v>30445679</v>
      </c>
      <c r="E13" s="63">
        <f>19967871+791+5556122+1817444+1362018</f>
        <v>28704246</v>
      </c>
      <c r="F13" s="63">
        <f>8920078+451901+2649910+1428712+191988</f>
        <v>13642589</v>
      </c>
      <c r="G13" s="63">
        <f>16668891+678677+2670669+689060+945618</f>
        <v>21652915</v>
      </c>
      <c r="H13" s="63">
        <f>11792344+77713+2034645+622766+482023</f>
        <v>15009491</v>
      </c>
      <c r="I13" s="63">
        <f>7988016+71849+897874+366164+79747</f>
        <v>9403650</v>
      </c>
      <c r="J13" s="55">
        <f>SUM(B13:I13)</f>
        <v>179132621</v>
      </c>
      <c r="K13" s="95"/>
    </row>
    <row r="14" spans="1:10" ht="15.75">
      <c r="A14" s="73" t="s">
        <v>95</v>
      </c>
      <c r="B14" s="62">
        <f aca="true" t="shared" si="2" ref="B14:J14">B16+B17</f>
        <v>252377720</v>
      </c>
      <c r="C14" s="62">
        <f t="shared" si="2"/>
        <v>21267653</v>
      </c>
      <c r="D14" s="62">
        <f t="shared" si="2"/>
        <v>193452770</v>
      </c>
      <c r="E14" s="62">
        <f t="shared" si="2"/>
        <v>169100199</v>
      </c>
      <c r="F14" s="62">
        <f t="shared" si="2"/>
        <v>87032849</v>
      </c>
      <c r="G14" s="62">
        <f t="shared" si="2"/>
        <v>141611289</v>
      </c>
      <c r="H14" s="62">
        <f t="shared" si="2"/>
        <v>86402872</v>
      </c>
      <c r="I14" s="62">
        <f t="shared" si="2"/>
        <v>48044811</v>
      </c>
      <c r="J14" s="54">
        <f t="shared" si="2"/>
        <v>999290163</v>
      </c>
    </row>
    <row r="15" spans="1:10" ht="15.75" hidden="1">
      <c r="A15" s="73" t="s">
        <v>96</v>
      </c>
      <c r="B15" s="62">
        <v>0.9149</v>
      </c>
      <c r="C15" s="62">
        <v>0.9103</v>
      </c>
      <c r="D15" s="63">
        <v>0.9136</v>
      </c>
      <c r="E15" s="63">
        <v>0.9022</v>
      </c>
      <c r="F15" s="63">
        <v>0.9225</v>
      </c>
      <c r="G15" s="63">
        <v>0.9374</v>
      </c>
      <c r="H15" s="63">
        <v>0.9475</v>
      </c>
      <c r="I15" s="63">
        <v>0.9436</v>
      </c>
      <c r="J15" s="55">
        <f>SUM(B15:I15)</f>
        <v>7.392</v>
      </c>
    </row>
    <row r="16" spans="1:10" ht="60">
      <c r="A16" s="75" t="s">
        <v>97</v>
      </c>
      <c r="B16" s="62">
        <f>242928598-7590268</f>
        <v>235338330</v>
      </c>
      <c r="C16" s="62">
        <v>19038461</v>
      </c>
      <c r="D16" s="63">
        <f>189770037-8122053</f>
        <v>181647984</v>
      </c>
      <c r="E16" s="63">
        <f>161282331-3258563</f>
        <v>158023768</v>
      </c>
      <c r="F16" s="63">
        <f>84657042-2332489</f>
        <v>82324553</v>
      </c>
      <c r="G16" s="63">
        <f>133807845-3044024</f>
        <v>130763821</v>
      </c>
      <c r="H16" s="63">
        <f>82051311-1725585</f>
        <v>80325726</v>
      </c>
      <c r="I16" s="63">
        <f>46793532-1057953</f>
        <v>45735579</v>
      </c>
      <c r="J16" s="55">
        <f>SUM(B16:I16)</f>
        <v>933198222</v>
      </c>
    </row>
    <row r="17" spans="1:10" ht="15.75">
      <c r="A17" s="73" t="s">
        <v>98</v>
      </c>
      <c r="B17" s="62">
        <v>17039390</v>
      </c>
      <c r="C17" s="62">
        <v>2229192</v>
      </c>
      <c r="D17" s="63">
        <f>10569717+1235069</f>
        <v>11804786</v>
      </c>
      <c r="E17" s="63">
        <f>10096431+980000</f>
        <v>11076431</v>
      </c>
      <c r="F17" s="63">
        <v>4708296</v>
      </c>
      <c r="G17" s="63">
        <v>10847468</v>
      </c>
      <c r="H17" s="63">
        <v>6077146</v>
      </c>
      <c r="I17" s="63">
        <f>2250272+20560+38400</f>
        <v>2309232</v>
      </c>
      <c r="J17" s="55">
        <f>SUM(B17:I17)</f>
        <v>66091941</v>
      </c>
    </row>
    <row r="18" spans="1:10" ht="17.25" customHeight="1">
      <c r="A18" s="73" t="s">
        <v>99</v>
      </c>
      <c r="B18" s="62">
        <v>24171860</v>
      </c>
      <c r="C18" s="62">
        <v>2095058</v>
      </c>
      <c r="D18" s="63">
        <f>18941743-1235069</f>
        <v>17706674</v>
      </c>
      <c r="E18" s="63">
        <f>18569517-980000</f>
        <v>17589517</v>
      </c>
      <c r="F18" s="63">
        <v>7507158</v>
      </c>
      <c r="G18" s="63">
        <v>9655161</v>
      </c>
      <c r="H18" s="63">
        <v>4886110</v>
      </c>
      <c r="I18" s="63">
        <f>2930776-20560-38400</f>
        <v>2871816</v>
      </c>
      <c r="J18" s="55">
        <f>SUM(B18:I18)</f>
        <v>86483354</v>
      </c>
    </row>
    <row r="19" spans="1:10" ht="17.25" customHeight="1">
      <c r="A19" s="76"/>
      <c r="B19" s="62"/>
      <c r="C19" s="62"/>
      <c r="D19" s="63"/>
      <c r="E19" s="63"/>
      <c r="F19" s="63"/>
      <c r="G19" s="63"/>
      <c r="H19" s="63"/>
      <c r="I19" s="63"/>
      <c r="J19" s="55"/>
    </row>
    <row r="20" spans="1:10" s="79" customFormat="1" ht="17.25" customHeight="1">
      <c r="A20" s="78" t="s">
        <v>100</v>
      </c>
      <c r="B20" s="54"/>
      <c r="C20" s="54"/>
      <c r="D20" s="54"/>
      <c r="E20" s="54"/>
      <c r="F20" s="54"/>
      <c r="G20" s="54"/>
      <c r="H20" s="54"/>
      <c r="I20" s="54"/>
      <c r="J20" s="54"/>
    </row>
    <row r="21" spans="1:10" ht="15.75">
      <c r="A21" s="61" t="s">
        <v>81</v>
      </c>
      <c r="B21" s="62">
        <f aca="true" t="shared" si="3" ref="B21:J21">SUM(B22:B24)</f>
        <v>128953</v>
      </c>
      <c r="C21" s="62">
        <f t="shared" si="3"/>
        <v>38368</v>
      </c>
      <c r="D21" s="62">
        <f t="shared" si="3"/>
        <v>606479</v>
      </c>
      <c r="E21" s="62">
        <f t="shared" si="3"/>
        <v>791</v>
      </c>
      <c r="F21" s="62">
        <f t="shared" si="3"/>
        <v>451901</v>
      </c>
      <c r="G21" s="62">
        <f t="shared" si="3"/>
        <v>678677</v>
      </c>
      <c r="H21" s="62">
        <f t="shared" si="3"/>
        <v>77713</v>
      </c>
      <c r="I21" s="62">
        <f t="shared" si="3"/>
        <v>71849</v>
      </c>
      <c r="J21" s="69">
        <f t="shared" si="3"/>
        <v>2054731</v>
      </c>
    </row>
    <row r="22" spans="1:10" ht="31.5">
      <c r="A22" s="61" t="s">
        <v>61</v>
      </c>
      <c r="B22" s="62">
        <v>0</v>
      </c>
      <c r="C22" s="62">
        <v>0</v>
      </c>
      <c r="D22" s="63">
        <v>0</v>
      </c>
      <c r="E22" s="63">
        <v>791</v>
      </c>
      <c r="F22" s="63"/>
      <c r="G22" s="63">
        <v>672694</v>
      </c>
      <c r="H22" s="63">
        <v>70531</v>
      </c>
      <c r="I22" s="63">
        <v>328</v>
      </c>
      <c r="J22" s="63">
        <f>SUM(B22:I22)</f>
        <v>744344</v>
      </c>
    </row>
    <row r="23" spans="1:10" ht="31.5">
      <c r="A23" s="61" t="s">
        <v>62</v>
      </c>
      <c r="B23" s="62">
        <v>156</v>
      </c>
      <c r="C23" s="62">
        <v>20390</v>
      </c>
      <c r="D23" s="63">
        <v>163664</v>
      </c>
      <c r="E23" s="63">
        <v>0</v>
      </c>
      <c r="F23" s="63">
        <v>425169</v>
      </c>
      <c r="G23" s="63">
        <v>5970</v>
      </c>
      <c r="H23" s="63">
        <f>7182</f>
        <v>7182</v>
      </c>
      <c r="I23" s="63"/>
      <c r="J23" s="63">
        <f>SUM(B23:I23)</f>
        <v>622531</v>
      </c>
    </row>
    <row r="24" spans="1:10" ht="15.75">
      <c r="A24" s="61" t="s">
        <v>64</v>
      </c>
      <c r="B24" s="62">
        <v>128797</v>
      </c>
      <c r="C24" s="62">
        <v>17978</v>
      </c>
      <c r="D24" s="63">
        <v>442815</v>
      </c>
      <c r="E24" s="63"/>
      <c r="F24" s="63">
        <v>26732</v>
      </c>
      <c r="G24" s="63">
        <v>13</v>
      </c>
      <c r="H24" s="63">
        <v>0</v>
      </c>
      <c r="I24" s="63">
        <v>71521</v>
      </c>
      <c r="J24" s="63">
        <f>SUM(B24:I24)</f>
        <v>687856</v>
      </c>
    </row>
    <row r="25" spans="1:10" ht="9" customHeight="1">
      <c r="A25" s="58"/>
      <c r="B25" s="54"/>
      <c r="C25" s="54"/>
      <c r="D25" s="55"/>
      <c r="E25" s="55"/>
      <c r="F25" s="55"/>
      <c r="G25" s="55"/>
      <c r="H25" s="55"/>
      <c r="I25" s="55"/>
      <c r="J25" s="55"/>
    </row>
    <row r="26" spans="1:10" ht="21" customHeight="1">
      <c r="A26" s="58" t="s">
        <v>86</v>
      </c>
      <c r="B26" s="54"/>
      <c r="C26" s="54"/>
      <c r="D26" s="55"/>
      <c r="E26" s="55"/>
      <c r="F26" s="55"/>
      <c r="G26" s="55"/>
      <c r="H26" s="55"/>
      <c r="I26" s="55"/>
      <c r="J26" s="55"/>
    </row>
    <row r="27" spans="1:10" s="56" customFormat="1" ht="15.75">
      <c r="A27" s="53" t="s">
        <v>67</v>
      </c>
      <c r="B27" s="54">
        <f aca="true" t="shared" si="4" ref="B27:J27">B28+B29</f>
        <v>4311978</v>
      </c>
      <c r="C27" s="54">
        <f t="shared" si="4"/>
        <v>915972</v>
      </c>
      <c r="D27" s="54">
        <f t="shared" si="4"/>
        <v>2411256</v>
      </c>
      <c r="E27" s="54">
        <f t="shared" si="4"/>
        <v>18787533</v>
      </c>
      <c r="F27" s="54">
        <f t="shared" si="4"/>
        <v>2882720</v>
      </c>
      <c r="G27" s="54">
        <f t="shared" si="4"/>
        <v>3663740</v>
      </c>
      <c r="H27" s="54">
        <f t="shared" si="4"/>
        <v>2236230</v>
      </c>
      <c r="I27" s="54">
        <f t="shared" si="4"/>
        <v>1229950</v>
      </c>
      <c r="J27" s="54">
        <f t="shared" si="4"/>
        <v>36439379</v>
      </c>
    </row>
    <row r="28" spans="1:10" ht="15.75" customHeight="1">
      <c r="A28" s="58" t="s">
        <v>82</v>
      </c>
      <c r="B28" s="7">
        <v>2034857</v>
      </c>
      <c r="C28" s="7">
        <v>50109</v>
      </c>
      <c r="D28" s="7">
        <v>100240</v>
      </c>
      <c r="E28" s="55">
        <v>13231411</v>
      </c>
      <c r="F28" s="55">
        <v>232810</v>
      </c>
      <c r="G28" s="55">
        <v>993071</v>
      </c>
      <c r="H28" s="55">
        <v>201585</v>
      </c>
      <c r="I28" s="55">
        <v>332076</v>
      </c>
      <c r="J28" s="55">
        <f>SUM(B28:I28)</f>
        <v>17176159</v>
      </c>
    </row>
    <row r="29" spans="1:10" ht="15.75">
      <c r="A29" s="58" t="s">
        <v>84</v>
      </c>
      <c r="B29" s="62">
        <f>SUM(B30:B39)</f>
        <v>2277121</v>
      </c>
      <c r="C29" s="62">
        <f>SUM(C30:C39)</f>
        <v>865863</v>
      </c>
      <c r="D29" s="62">
        <f aca="true" t="shared" si="5" ref="D29:J29">SUM(D30:D40)</f>
        <v>2311016</v>
      </c>
      <c r="E29" s="62">
        <f t="shared" si="5"/>
        <v>5556122</v>
      </c>
      <c r="F29" s="62">
        <f t="shared" si="5"/>
        <v>2649910</v>
      </c>
      <c r="G29" s="62">
        <f t="shared" si="5"/>
        <v>2670669</v>
      </c>
      <c r="H29" s="62">
        <f t="shared" si="5"/>
        <v>2034645</v>
      </c>
      <c r="I29" s="62">
        <f t="shared" si="5"/>
        <v>897874</v>
      </c>
      <c r="J29" s="62">
        <f t="shared" si="5"/>
        <v>19263220</v>
      </c>
    </row>
    <row r="30" spans="1:10" ht="15.75">
      <c r="A30" s="61" t="s">
        <v>5</v>
      </c>
      <c r="B30" s="62"/>
      <c r="C30" s="62"/>
      <c r="D30" s="63"/>
      <c r="E30" s="63"/>
      <c r="F30" s="63"/>
      <c r="G30" s="63"/>
      <c r="H30" s="63"/>
      <c r="I30" s="63"/>
      <c r="J30" s="63"/>
    </row>
    <row r="31" spans="1:10" s="56" customFormat="1" ht="15">
      <c r="A31" s="64" t="s">
        <v>70</v>
      </c>
      <c r="B31" s="65">
        <v>8929</v>
      </c>
      <c r="C31" s="65"/>
      <c r="D31" s="66"/>
      <c r="E31" s="66">
        <v>380224</v>
      </c>
      <c r="F31" s="66">
        <v>280809</v>
      </c>
      <c r="G31" s="66">
        <v>625459</v>
      </c>
      <c r="H31" s="66">
        <v>194956</v>
      </c>
      <c r="I31" s="66">
        <v>452263</v>
      </c>
      <c r="J31" s="66">
        <f aca="true" t="shared" si="6" ref="J31:J42">SUM(B31:I31)</f>
        <v>1942640</v>
      </c>
    </row>
    <row r="32" spans="1:10" s="56" customFormat="1" ht="30">
      <c r="A32" s="64" t="s">
        <v>71</v>
      </c>
      <c r="B32" s="65">
        <v>13045</v>
      </c>
      <c r="C32" s="65"/>
      <c r="D32" s="66">
        <v>1</v>
      </c>
      <c r="E32" s="66">
        <v>799383</v>
      </c>
      <c r="F32" s="66">
        <v>72072</v>
      </c>
      <c r="G32" s="66">
        <v>40404</v>
      </c>
      <c r="H32" s="66">
        <v>240868</v>
      </c>
      <c r="I32" s="66">
        <v>151851</v>
      </c>
      <c r="J32" s="66">
        <f t="shared" si="6"/>
        <v>1317624</v>
      </c>
    </row>
    <row r="33" spans="1:10" s="56" customFormat="1" ht="30" customHeight="1">
      <c r="A33" s="64" t="s">
        <v>72</v>
      </c>
      <c r="B33" s="65">
        <v>1573893</v>
      </c>
      <c r="C33" s="65">
        <v>751479</v>
      </c>
      <c r="D33" s="66">
        <v>2171212</v>
      </c>
      <c r="E33" s="66">
        <v>3380450</v>
      </c>
      <c r="F33" s="66">
        <v>686261</v>
      </c>
      <c r="G33" s="66">
        <v>653213</v>
      </c>
      <c r="H33" s="66">
        <v>102978</v>
      </c>
      <c r="I33" s="66">
        <v>73959</v>
      </c>
      <c r="J33" s="66">
        <f t="shared" si="6"/>
        <v>9393445</v>
      </c>
    </row>
    <row r="34" spans="1:15" s="56" customFormat="1" ht="16.5">
      <c r="A34" s="64" t="s">
        <v>16</v>
      </c>
      <c r="B34" s="65"/>
      <c r="C34" s="65"/>
      <c r="D34" s="66">
        <v>2748</v>
      </c>
      <c r="E34" s="66"/>
      <c r="F34" s="66">
        <v>8031</v>
      </c>
      <c r="G34" s="66">
        <v>10770</v>
      </c>
      <c r="H34" s="66">
        <v>4406</v>
      </c>
      <c r="I34" s="66">
        <v>23538</v>
      </c>
      <c r="J34" s="66">
        <f t="shared" si="6"/>
        <v>49493</v>
      </c>
      <c r="N34" s="90"/>
      <c r="O34" s="91"/>
    </row>
    <row r="35" spans="1:15" s="56" customFormat="1" ht="16.5">
      <c r="A35" s="64" t="s">
        <v>73</v>
      </c>
      <c r="B35" s="65">
        <v>573130</v>
      </c>
      <c r="C35" s="65">
        <v>114384</v>
      </c>
      <c r="D35" s="66"/>
      <c r="E35" s="66"/>
      <c r="F35" s="66">
        <v>1507713</v>
      </c>
      <c r="G35" s="66"/>
      <c r="H35" s="66"/>
      <c r="I35" s="66"/>
      <c r="J35" s="66">
        <f t="shared" si="6"/>
        <v>2195227</v>
      </c>
      <c r="N35" s="90"/>
      <c r="O35" s="91"/>
    </row>
    <row r="36" spans="1:15" s="56" customFormat="1" ht="32.25" customHeight="1">
      <c r="A36" s="64" t="s">
        <v>74</v>
      </c>
      <c r="B36" s="65">
        <v>34999</v>
      </c>
      <c r="C36" s="65"/>
      <c r="D36" s="66"/>
      <c r="E36" s="66">
        <v>541915</v>
      </c>
      <c r="F36" s="66"/>
      <c r="G36" s="66">
        <v>1010582</v>
      </c>
      <c r="H36" s="66">
        <v>1432846</v>
      </c>
      <c r="I36" s="66">
        <v>24975</v>
      </c>
      <c r="J36" s="66">
        <f t="shared" si="6"/>
        <v>3045317</v>
      </c>
      <c r="N36" s="90"/>
      <c r="O36" s="91"/>
    </row>
    <row r="37" spans="1:15" s="56" customFormat="1" ht="45">
      <c r="A37" s="64" t="s">
        <v>75</v>
      </c>
      <c r="B37" s="65"/>
      <c r="C37" s="65"/>
      <c r="D37" s="66"/>
      <c r="E37" s="66">
        <v>382980</v>
      </c>
      <c r="F37" s="66"/>
      <c r="G37" s="66">
        <v>226136</v>
      </c>
      <c r="H37" s="66">
        <v>44509</v>
      </c>
      <c r="I37" s="66">
        <v>28583</v>
      </c>
      <c r="J37" s="66">
        <f t="shared" si="6"/>
        <v>682208</v>
      </c>
      <c r="N37" s="90"/>
      <c r="O37" s="91"/>
    </row>
    <row r="38" spans="1:15" s="56" customFormat="1" ht="45">
      <c r="A38" s="64" t="s">
        <v>76</v>
      </c>
      <c r="B38" s="65">
        <v>73125</v>
      </c>
      <c r="C38" s="65"/>
      <c r="D38" s="66">
        <v>137054</v>
      </c>
      <c r="E38" s="66">
        <v>70735</v>
      </c>
      <c r="F38" s="66">
        <v>95024</v>
      </c>
      <c r="G38" s="66">
        <v>104105</v>
      </c>
      <c r="H38" s="66">
        <v>14082</v>
      </c>
      <c r="I38" s="66">
        <v>142705</v>
      </c>
      <c r="J38" s="66">
        <f t="shared" si="6"/>
        <v>636830</v>
      </c>
      <c r="N38" s="90"/>
      <c r="O38" s="91"/>
    </row>
    <row r="39" spans="1:15" s="56" customFormat="1" ht="60">
      <c r="A39" s="64" t="s">
        <v>85</v>
      </c>
      <c r="B39" s="65"/>
      <c r="C39" s="65"/>
      <c r="D39" s="66"/>
      <c r="E39" s="66">
        <v>435</v>
      </c>
      <c r="F39" s="66"/>
      <c r="G39" s="66"/>
      <c r="H39" s="66"/>
      <c r="I39" s="66"/>
      <c r="J39" s="66">
        <f t="shared" si="6"/>
        <v>435</v>
      </c>
      <c r="N39" s="90"/>
      <c r="O39" s="91"/>
    </row>
    <row r="40" spans="1:15" s="56" customFormat="1" ht="16.5">
      <c r="A40" s="64" t="s">
        <v>87</v>
      </c>
      <c r="B40" s="65"/>
      <c r="C40" s="65"/>
      <c r="D40" s="66">
        <v>1</v>
      </c>
      <c r="E40" s="66"/>
      <c r="F40" s="66"/>
      <c r="G40" s="66"/>
      <c r="H40" s="66"/>
      <c r="I40" s="66"/>
      <c r="J40" s="66">
        <f t="shared" si="6"/>
        <v>1</v>
      </c>
      <c r="N40" s="90"/>
      <c r="O40" s="91"/>
    </row>
    <row r="41" spans="1:15" s="56" customFormat="1" ht="15" customHeight="1">
      <c r="A41" s="53" t="s">
        <v>77</v>
      </c>
      <c r="B41" s="55">
        <v>1955004</v>
      </c>
      <c r="C41" s="55">
        <v>317126</v>
      </c>
      <c r="D41" s="55">
        <v>1145522</v>
      </c>
      <c r="E41" s="55">
        <v>1817444</v>
      </c>
      <c r="F41" s="55">
        <v>1428712</v>
      </c>
      <c r="G41" s="55">
        <v>689060</v>
      </c>
      <c r="H41" s="55">
        <v>622766</v>
      </c>
      <c r="I41" s="55">
        <v>366164</v>
      </c>
      <c r="J41" s="55">
        <f t="shared" si="6"/>
        <v>8341798</v>
      </c>
      <c r="N41" s="90"/>
      <c r="O41" s="91"/>
    </row>
    <row r="42" spans="1:15" s="56" customFormat="1" ht="15" customHeight="1">
      <c r="A42" s="53" t="s">
        <v>78</v>
      </c>
      <c r="B42" s="55">
        <v>195959</v>
      </c>
      <c r="C42" s="55">
        <v>647363</v>
      </c>
      <c r="D42" s="55">
        <v>510052</v>
      </c>
      <c r="E42" s="55">
        <v>1362018</v>
      </c>
      <c r="F42" s="55">
        <v>191988</v>
      </c>
      <c r="G42" s="55">
        <v>945618</v>
      </c>
      <c r="H42" s="55">
        <v>482023</v>
      </c>
      <c r="I42" s="55">
        <v>79747</v>
      </c>
      <c r="J42" s="55">
        <f t="shared" si="6"/>
        <v>4414768</v>
      </c>
      <c r="N42" s="92"/>
      <c r="O42" s="93"/>
    </row>
    <row r="43" spans="1:15" ht="22.5" customHeight="1">
      <c r="A43" s="58"/>
      <c r="B43" s="54">
        <f aca="true" t="shared" si="7" ref="B43:J43">B8-B12+B28</f>
        <v>-16903596</v>
      </c>
      <c r="C43" s="54">
        <f t="shared" si="7"/>
        <v>-2362016</v>
      </c>
      <c r="D43" s="54">
        <f t="shared" si="7"/>
        <v>-14394534</v>
      </c>
      <c r="E43" s="54">
        <f t="shared" si="7"/>
        <v>0</v>
      </c>
      <c r="F43" s="54">
        <f t="shared" si="7"/>
        <v>-19235614</v>
      </c>
      <c r="G43" s="54">
        <f>G8-G12+G28</f>
        <v>-53721771</v>
      </c>
      <c r="H43" s="54">
        <f t="shared" si="7"/>
        <v>-42226296</v>
      </c>
      <c r="I43" s="54">
        <f t="shared" si="7"/>
        <v>-21276797</v>
      </c>
      <c r="J43" s="54">
        <f t="shared" si="7"/>
        <v>-170120624</v>
      </c>
      <c r="N43" s="94"/>
      <c r="O43" s="94"/>
    </row>
    <row r="44" spans="1:11" s="56" customFormat="1" ht="21" customHeight="1">
      <c r="A44" s="53" t="s">
        <v>79</v>
      </c>
      <c r="B44" s="54">
        <f aca="true" t="shared" si="8" ref="B44:J44">B11-B6-B21-B29-B41-B42-B28</f>
        <v>19936827</v>
      </c>
      <c r="C44" s="54">
        <f t="shared" si="8"/>
        <v>493296</v>
      </c>
      <c r="D44" s="54">
        <f t="shared" si="8"/>
        <v>17943518</v>
      </c>
      <c r="E44" s="54">
        <f t="shared" si="8"/>
        <v>-5477812</v>
      </c>
      <c r="F44" s="54">
        <f t="shared" si="8"/>
        <v>16845592</v>
      </c>
      <c r="G44" s="54">
        <f t="shared" si="8"/>
        <v>51781771</v>
      </c>
      <c r="H44" s="54">
        <f t="shared" si="8"/>
        <v>40734734</v>
      </c>
      <c r="I44" s="54">
        <f t="shared" si="8"/>
        <v>20919116</v>
      </c>
      <c r="J44" s="54">
        <f t="shared" si="8"/>
        <v>163177042</v>
      </c>
      <c r="K44" s="54">
        <f>K6-K11</f>
        <v>0</v>
      </c>
    </row>
    <row r="45" spans="1:11" ht="15.75" customHeight="1">
      <c r="A45" s="58" t="s">
        <v>101</v>
      </c>
      <c r="B45" s="54">
        <f aca="true" t="shared" si="9" ref="B45:I45">B46+B47</f>
        <v>19936827</v>
      </c>
      <c r="C45" s="54">
        <f t="shared" si="9"/>
        <v>493296</v>
      </c>
      <c r="D45" s="54">
        <f t="shared" si="9"/>
        <v>17943518</v>
      </c>
      <c r="E45" s="54">
        <f t="shared" si="9"/>
        <v>-5477812</v>
      </c>
      <c r="F45" s="54">
        <f t="shared" si="9"/>
        <v>16845592</v>
      </c>
      <c r="G45" s="54">
        <f t="shared" si="9"/>
        <v>51781771</v>
      </c>
      <c r="H45" s="54">
        <f t="shared" si="9"/>
        <v>40734734</v>
      </c>
      <c r="I45" s="54">
        <f t="shared" si="9"/>
        <v>20919116</v>
      </c>
      <c r="J45" s="54">
        <f>202190853+J50-J51</f>
        <v>157883759</v>
      </c>
      <c r="K45" s="68">
        <f>SUM(B45:I45)</f>
        <v>163177042</v>
      </c>
    </row>
    <row r="46" spans="1:10" ht="15.75" customHeight="1">
      <c r="A46" s="83" t="s">
        <v>102</v>
      </c>
      <c r="B46" s="54"/>
      <c r="C46" s="54">
        <v>317066</v>
      </c>
      <c r="D46" s="55">
        <f>1990000</f>
        <v>1990000</v>
      </c>
      <c r="E46" s="55"/>
      <c r="F46" s="55">
        <f>14293755-2565299</f>
        <v>11728456</v>
      </c>
      <c r="G46" s="55">
        <f>48103705-4037095</f>
        <v>44066610</v>
      </c>
      <c r="H46" s="55">
        <f>39267356-1927170</f>
        <v>37340186</v>
      </c>
      <c r="I46" s="89">
        <f>19736051-1390029</f>
        <v>18346022</v>
      </c>
      <c r="J46" s="55">
        <f>SUM(B46:I46)</f>
        <v>113788340</v>
      </c>
    </row>
    <row r="47" spans="1:10" ht="15.75" customHeight="1">
      <c r="A47" s="83" t="s">
        <v>103</v>
      </c>
      <c r="B47" s="54">
        <f aca="true" t="shared" si="10" ref="B47:I47">B44-B46</f>
        <v>19936827</v>
      </c>
      <c r="C47" s="54">
        <f t="shared" si="10"/>
        <v>176230</v>
      </c>
      <c r="D47" s="54">
        <f t="shared" si="10"/>
        <v>15953518</v>
      </c>
      <c r="E47" s="54">
        <f t="shared" si="10"/>
        <v>-5477812</v>
      </c>
      <c r="F47" s="54">
        <f t="shared" si="10"/>
        <v>5117136</v>
      </c>
      <c r="G47" s="54">
        <f t="shared" si="10"/>
        <v>7715161</v>
      </c>
      <c r="H47" s="54">
        <f t="shared" si="10"/>
        <v>3394548</v>
      </c>
      <c r="I47" s="54">
        <f t="shared" si="10"/>
        <v>2573094</v>
      </c>
      <c r="J47" s="55">
        <f>SUM(B47:I47)</f>
        <v>49388702</v>
      </c>
    </row>
    <row r="48" spans="1:10" ht="15.75" customHeight="1">
      <c r="A48" s="83"/>
      <c r="B48" s="54"/>
      <c r="C48" s="54"/>
      <c r="D48" s="85"/>
      <c r="E48" s="55"/>
      <c r="F48" s="55"/>
      <c r="G48" s="55"/>
      <c r="H48" s="55"/>
      <c r="I48" s="55"/>
      <c r="J48" s="55"/>
    </row>
    <row r="49" spans="1:10" s="56" customFormat="1" ht="21.75" customHeight="1" thickBot="1">
      <c r="A49" s="67" t="s">
        <v>80</v>
      </c>
      <c r="B49" s="55">
        <f>B11+B52+B54+B53</f>
        <v>366430994</v>
      </c>
      <c r="C49" s="55">
        <f aca="true" t="shared" si="11" ref="C49:I49">C11+C52+C54+C53</f>
        <v>33300292</v>
      </c>
      <c r="D49" s="55">
        <f t="shared" si="11"/>
        <v>264962733</v>
      </c>
      <c r="E49" s="55">
        <f t="shared" si="11"/>
        <v>241406086</v>
      </c>
      <c r="F49" s="55">
        <f t="shared" si="11"/>
        <v>130220269</v>
      </c>
      <c r="G49" s="55">
        <f t="shared" si="11"/>
        <v>205264427</v>
      </c>
      <c r="H49" s="55">
        <f t="shared" si="11"/>
        <v>123786261</v>
      </c>
      <c r="I49" s="55">
        <f t="shared" si="11"/>
        <v>78103531</v>
      </c>
      <c r="J49" s="55">
        <f>SUM(B49:I49)</f>
        <v>1443474593</v>
      </c>
    </row>
    <row r="50" spans="2:11" ht="12.75">
      <c r="B50" s="98">
        <v>-7590268</v>
      </c>
      <c r="C50" s="98"/>
      <c r="D50" s="98">
        <v>-8122053</v>
      </c>
      <c r="E50" s="98">
        <v>-3258563</v>
      </c>
      <c r="F50" s="98">
        <v>-2332489</v>
      </c>
      <c r="G50" s="98">
        <v>-3044024</v>
      </c>
      <c r="H50" s="98">
        <v>-1725585</v>
      </c>
      <c r="I50" s="98">
        <v>-1057953</v>
      </c>
      <c r="J50" s="68">
        <v>-27130935</v>
      </c>
      <c r="K50" s="68">
        <f>SUM(B50:I50)</f>
        <v>-27130935</v>
      </c>
    </row>
    <row r="51" spans="2:11" ht="12.75">
      <c r="B51" s="98"/>
      <c r="C51" s="98"/>
      <c r="D51" s="98"/>
      <c r="E51" s="98"/>
      <c r="F51" s="98"/>
      <c r="G51" s="98"/>
      <c r="H51" s="98"/>
      <c r="I51" s="98"/>
      <c r="J51" s="68">
        <v>17176159</v>
      </c>
      <c r="K51" s="68"/>
    </row>
    <row r="52" spans="1:11" ht="12.75">
      <c r="A52" s="40" t="s">
        <v>114</v>
      </c>
      <c r="B52" s="98">
        <f>36504234+499587</f>
        <v>37003821</v>
      </c>
      <c r="C52" s="98">
        <v>1209291</v>
      </c>
      <c r="D52" s="98">
        <v>19202147</v>
      </c>
      <c r="E52" s="98">
        <v>31489145</v>
      </c>
      <c r="F52" s="98">
        <v>23968158</v>
      </c>
      <c r="G52" s="98">
        <v>33606385</v>
      </c>
      <c r="H52" s="98">
        <v>18884782</v>
      </c>
      <c r="I52" s="98">
        <v>18053853</v>
      </c>
      <c r="J52" s="68">
        <f>SUM(B52:I52)</f>
        <v>183417582</v>
      </c>
      <c r="K52" s="68"/>
    </row>
    <row r="53" spans="1:11" ht="12.75">
      <c r="A53" s="40" t="s">
        <v>115</v>
      </c>
      <c r="B53" s="98"/>
      <c r="C53" s="98"/>
      <c r="D53" s="98"/>
      <c r="E53" s="98"/>
      <c r="F53" s="98">
        <v>7636</v>
      </c>
      <c r="G53" s="98"/>
      <c r="H53" s="98">
        <v>15130</v>
      </c>
      <c r="I53" s="98">
        <v>15233</v>
      </c>
      <c r="J53" s="68">
        <f>SUM(B53:I53)</f>
        <v>37999</v>
      </c>
      <c r="K53" s="68"/>
    </row>
    <row r="54" spans="1:11" ht="12.75">
      <c r="A54" t="s">
        <v>140</v>
      </c>
      <c r="B54" s="98">
        <v>128953</v>
      </c>
      <c r="C54" s="98">
        <v>38368</v>
      </c>
      <c r="D54" s="98">
        <v>606479</v>
      </c>
      <c r="E54" s="98">
        <v>791</v>
      </c>
      <c r="F54" s="98">
        <v>451901</v>
      </c>
      <c r="G54" s="98">
        <v>678677</v>
      </c>
      <c r="H54" s="98">
        <v>79438</v>
      </c>
      <c r="I54" s="98">
        <v>71849</v>
      </c>
      <c r="J54" s="68">
        <f>SUM(B54:I54)</f>
        <v>2056456</v>
      </c>
      <c r="K54" s="68"/>
    </row>
    <row r="55" spans="1:10" ht="18" customHeight="1">
      <c r="A55" s="19" t="s">
        <v>113</v>
      </c>
      <c r="B55" s="81">
        <f>B11+499587+36504234+B54</f>
        <v>366430994</v>
      </c>
      <c r="C55" s="81">
        <f aca="true" t="shared" si="12" ref="C55:I55">C11+499587+36504234+C54</f>
        <v>69094822</v>
      </c>
      <c r="D55" s="81">
        <f t="shared" si="12"/>
        <v>282764407</v>
      </c>
      <c r="E55" s="81">
        <f t="shared" si="12"/>
        <v>246920762</v>
      </c>
      <c r="F55" s="81">
        <f t="shared" si="12"/>
        <v>143248296</v>
      </c>
      <c r="G55" s="81">
        <f t="shared" si="12"/>
        <v>208661863</v>
      </c>
      <c r="H55" s="81">
        <f t="shared" si="12"/>
        <v>141890170</v>
      </c>
      <c r="I55" s="81">
        <f t="shared" si="12"/>
        <v>97038266</v>
      </c>
      <c r="J55" s="68">
        <f>SUM(B55:I55)</f>
        <v>1556049580</v>
      </c>
    </row>
    <row r="56" spans="2:12" ht="12.75">
      <c r="B56" s="97"/>
      <c r="C56" s="3"/>
      <c r="E56" s="82"/>
      <c r="F56" s="82"/>
      <c r="G56" s="82"/>
      <c r="H56" s="82"/>
      <c r="I56" s="82"/>
      <c r="J56" s="82"/>
      <c r="K56" s="82"/>
      <c r="L56" s="82"/>
    </row>
    <row r="57" spans="2:12" ht="12.75">
      <c r="B57" s="97"/>
      <c r="C57" s="97"/>
      <c r="D57" s="97"/>
      <c r="E57" s="97"/>
      <c r="F57" s="97"/>
      <c r="G57" s="97"/>
      <c r="H57" s="97"/>
      <c r="I57" s="97"/>
      <c r="J57" s="82"/>
      <c r="K57" s="82"/>
      <c r="L57" s="82"/>
    </row>
    <row r="58" spans="2:10" ht="12.75">
      <c r="B58" s="68"/>
      <c r="C58" s="68"/>
      <c r="D58" s="68"/>
      <c r="E58" s="68"/>
      <c r="F58" s="68"/>
      <c r="G58" s="68"/>
      <c r="H58" s="68"/>
      <c r="I58" s="68"/>
      <c r="J58" s="68"/>
    </row>
    <row r="59" ht="12.75">
      <c r="B59" s="68">
        <f>B6-B11+B7-B13+B45</f>
        <v>-11148931</v>
      </c>
    </row>
    <row r="61" spans="2:10" ht="12.75">
      <c r="B61" s="68">
        <f>B8-B12+B28</f>
        <v>-16903596</v>
      </c>
      <c r="C61" s="99">
        <f>C8+C28-C12</f>
        <v>-2362016</v>
      </c>
      <c r="D61" s="99">
        <f aca="true" t="shared" si="13" ref="D61:J61">D8+D28-D12</f>
        <v>-14394534</v>
      </c>
      <c r="E61" s="99">
        <f t="shared" si="13"/>
        <v>0</v>
      </c>
      <c r="F61" s="99">
        <f t="shared" si="13"/>
        <v>-19235614</v>
      </c>
      <c r="G61" s="99">
        <f t="shared" si="13"/>
        <v>-53721771</v>
      </c>
      <c r="H61" s="99">
        <f t="shared" si="13"/>
        <v>-42226296</v>
      </c>
      <c r="I61" s="99">
        <f t="shared" si="13"/>
        <v>-21276797</v>
      </c>
      <c r="J61" s="99">
        <f t="shared" si="13"/>
        <v>-170120624</v>
      </c>
    </row>
    <row r="62" ht="12.75">
      <c r="B62" s="68"/>
    </row>
  </sheetData>
  <sheetProtection/>
  <mergeCells count="1">
    <mergeCell ref="A2:J2"/>
  </mergeCells>
  <printOptions/>
  <pageMargins left="0.75" right="0.75" top="1" bottom="0.2" header="0.5" footer="0.2"/>
  <pageSetup horizontalDpi="600" verticalDpi="600" orientation="landscape" paperSize="9" scale="68" r:id="rId1"/>
</worksheet>
</file>

<file path=xl/worksheets/sheet8.xml><?xml version="1.0" encoding="utf-8"?>
<worksheet xmlns="http://schemas.openxmlformats.org/spreadsheetml/2006/main" xmlns:r="http://schemas.openxmlformats.org/officeDocument/2006/relationships">
  <dimension ref="A1:O55"/>
  <sheetViews>
    <sheetView zoomScalePageLayoutView="0" workbookViewId="0" topLeftCell="A7">
      <selection activeCell="A50" sqref="A50"/>
    </sheetView>
  </sheetViews>
  <sheetFormatPr defaultColWidth="9.00390625" defaultRowHeight="12.75"/>
  <cols>
    <col min="1" max="1" width="58.00390625" style="40" customWidth="1"/>
    <col min="2" max="2" width="12.875" style="40" customWidth="1"/>
    <col min="3" max="3" width="13.375" style="40" customWidth="1"/>
    <col min="4" max="4" width="12.75390625" style="40" customWidth="1"/>
    <col min="5" max="5" width="12.25390625" style="40" customWidth="1"/>
    <col min="6" max="6" width="12.625" style="40" customWidth="1"/>
    <col min="7" max="7" width="12.375" style="40" customWidth="1"/>
    <col min="8" max="8" width="15.00390625" style="40" customWidth="1"/>
    <col min="9" max="9" width="12.125" style="40" customWidth="1"/>
    <col min="10" max="10" width="14.375" style="40" customWidth="1"/>
    <col min="11" max="11" width="9.125" style="40" customWidth="1"/>
    <col min="12" max="12" width="13.00390625" style="40" customWidth="1"/>
    <col min="13" max="16384" width="9.125" style="40" customWidth="1"/>
  </cols>
  <sheetData>
    <row r="1" spans="1:15" ht="13.5" customHeight="1">
      <c r="A1" s="37"/>
      <c r="B1" s="37"/>
      <c r="C1" s="37"/>
      <c r="D1" s="37"/>
      <c r="E1" s="37"/>
      <c r="F1" s="37"/>
      <c r="G1" s="37"/>
      <c r="H1" s="37"/>
      <c r="I1" s="37"/>
      <c r="J1" s="38"/>
      <c r="K1" s="39"/>
      <c r="L1" s="39"/>
      <c r="M1" s="39"/>
      <c r="N1" s="39"/>
      <c r="O1" s="39"/>
    </row>
    <row r="2" spans="1:15" ht="13.5" customHeight="1">
      <c r="A2" s="37"/>
      <c r="B2" s="37"/>
      <c r="C2" s="37"/>
      <c r="D2" s="37"/>
      <c r="E2" s="37"/>
      <c r="F2" s="37"/>
      <c r="G2" s="37"/>
      <c r="H2" s="37"/>
      <c r="I2" s="37"/>
      <c r="J2" s="38"/>
      <c r="K2" s="39"/>
      <c r="L2" s="39"/>
      <c r="M2" s="39"/>
      <c r="N2" s="39"/>
      <c r="O2" s="39"/>
    </row>
    <row r="3" spans="1:15" ht="13.5" customHeight="1">
      <c r="A3" s="37"/>
      <c r="B3" s="37"/>
      <c r="C3" s="37"/>
      <c r="D3" s="37"/>
      <c r="E3" s="37"/>
      <c r="F3" s="37"/>
      <c r="G3" s="37"/>
      <c r="H3" s="37"/>
      <c r="I3" s="37"/>
      <c r="J3" s="38"/>
      <c r="K3" s="39"/>
      <c r="L3" s="39"/>
      <c r="M3" s="39"/>
      <c r="N3" s="39"/>
      <c r="O3" s="39"/>
    </row>
    <row r="4" spans="1:15" ht="13.5" customHeight="1">
      <c r="A4" s="37"/>
      <c r="B4" s="37"/>
      <c r="C4" s="37"/>
      <c r="D4" s="37"/>
      <c r="E4" s="37"/>
      <c r="F4" s="37"/>
      <c r="G4" s="37"/>
      <c r="H4" s="37"/>
      <c r="I4" s="37"/>
      <c r="J4" s="38"/>
      <c r="K4" s="39"/>
      <c r="L4" s="39"/>
      <c r="M4" s="39"/>
      <c r="N4" s="39"/>
      <c r="O4" s="39"/>
    </row>
    <row r="5" spans="1:15" ht="13.5" customHeight="1">
      <c r="A5" s="37"/>
      <c r="B5" s="37"/>
      <c r="C5" s="37"/>
      <c r="D5" s="37"/>
      <c r="E5" s="37"/>
      <c r="F5" s="37"/>
      <c r="G5" s="37"/>
      <c r="H5" s="37"/>
      <c r="I5" s="37"/>
      <c r="J5" s="38"/>
      <c r="K5" s="39"/>
      <c r="L5" s="39"/>
      <c r="M5" s="39"/>
      <c r="N5" s="39"/>
      <c r="O5" s="39"/>
    </row>
    <row r="6" spans="1:15" ht="13.5" customHeight="1">
      <c r="A6" s="37"/>
      <c r="B6" s="37"/>
      <c r="C6" s="37"/>
      <c r="D6" s="37"/>
      <c r="E6" s="37"/>
      <c r="F6" s="37"/>
      <c r="G6" s="37"/>
      <c r="H6" s="37"/>
      <c r="I6" s="37"/>
      <c r="J6" s="38"/>
      <c r="K6" s="39"/>
      <c r="L6" s="39"/>
      <c r="M6" s="39"/>
      <c r="N6" s="39"/>
      <c r="O6" s="39"/>
    </row>
    <row r="7" spans="1:15" ht="13.5" customHeight="1">
      <c r="A7" s="37"/>
      <c r="B7" s="37"/>
      <c r="C7" s="37"/>
      <c r="D7" s="37"/>
      <c r="E7" s="37"/>
      <c r="F7" s="37"/>
      <c r="G7" s="37"/>
      <c r="H7" s="37"/>
      <c r="I7" s="37"/>
      <c r="J7" s="38" t="s">
        <v>48</v>
      </c>
      <c r="K7" s="41"/>
      <c r="L7" s="41"/>
      <c r="M7" s="41"/>
      <c r="N7" s="41"/>
      <c r="O7" s="41"/>
    </row>
    <row r="8" spans="1:15" ht="13.5" customHeight="1">
      <c r="A8" s="37"/>
      <c r="B8" s="37"/>
      <c r="C8" s="37"/>
      <c r="D8" s="37"/>
      <c r="E8" s="37"/>
      <c r="F8" s="37"/>
      <c r="G8" s="37"/>
      <c r="H8" s="37"/>
      <c r="I8" s="37"/>
      <c r="J8" s="38" t="s">
        <v>49</v>
      </c>
      <c r="K8" s="41"/>
      <c r="L8" s="39"/>
      <c r="M8" s="39"/>
      <c r="N8" s="39"/>
      <c r="O8" s="39"/>
    </row>
    <row r="9" spans="1:15" ht="13.5" customHeight="1">
      <c r="A9" s="42"/>
      <c r="B9" s="37"/>
      <c r="C9" s="37"/>
      <c r="D9" s="37"/>
      <c r="E9" s="37"/>
      <c r="F9" s="37"/>
      <c r="G9" s="37"/>
      <c r="H9" s="37"/>
      <c r="I9" s="37"/>
      <c r="J9" s="38" t="s">
        <v>50</v>
      </c>
      <c r="K9" s="39"/>
      <c r="L9" s="39"/>
      <c r="M9" s="39"/>
      <c r="N9" s="39"/>
      <c r="O9" s="39"/>
    </row>
    <row r="10" spans="1:15" ht="13.5" customHeight="1">
      <c r="A10" s="37"/>
      <c r="B10" s="37"/>
      <c r="C10" s="37"/>
      <c r="D10" s="37"/>
      <c r="E10" s="37"/>
      <c r="F10" s="37"/>
      <c r="G10" s="37"/>
      <c r="H10" s="37"/>
      <c r="I10" s="37"/>
      <c r="J10" s="38"/>
      <c r="K10" s="39"/>
      <c r="L10" s="39"/>
      <c r="M10" s="39"/>
      <c r="N10" s="39"/>
      <c r="O10" s="39"/>
    </row>
    <row r="11" spans="1:10" ht="18.75">
      <c r="A11" s="202" t="s">
        <v>51</v>
      </c>
      <c r="B11" s="202"/>
      <c r="C11" s="202"/>
      <c r="D11" s="202"/>
      <c r="E11" s="202"/>
      <c r="F11" s="202"/>
      <c r="G11" s="202"/>
      <c r="H11" s="202"/>
      <c r="I11" s="202"/>
      <c r="J11" s="202"/>
    </row>
    <row r="12" spans="1:10" ht="16.5" thickBot="1">
      <c r="A12" s="43"/>
      <c r="B12" s="43"/>
      <c r="C12" s="43"/>
      <c r="D12" s="43"/>
      <c r="E12" s="43"/>
      <c r="F12" s="43"/>
      <c r="G12" s="43"/>
      <c r="H12" s="43"/>
      <c r="I12" s="43"/>
      <c r="J12" s="43" t="s">
        <v>52</v>
      </c>
    </row>
    <row r="13" spans="1:10" ht="34.5" customHeight="1" thickBot="1">
      <c r="A13" s="44" t="s">
        <v>53</v>
      </c>
      <c r="B13" s="45" t="s">
        <v>33</v>
      </c>
      <c r="C13" s="46" t="s">
        <v>34</v>
      </c>
      <c r="D13" s="46" t="s">
        <v>36</v>
      </c>
      <c r="E13" s="46" t="s">
        <v>39</v>
      </c>
      <c r="F13" s="46" t="s">
        <v>32</v>
      </c>
      <c r="G13" s="46" t="s">
        <v>30</v>
      </c>
      <c r="H13" s="46" t="s">
        <v>35</v>
      </c>
      <c r="I13" s="46" t="s">
        <v>38</v>
      </c>
      <c r="J13" s="47" t="s">
        <v>54</v>
      </c>
    </row>
    <row r="14" spans="1:10" ht="9" customHeight="1">
      <c r="A14" s="48"/>
      <c r="B14" s="49"/>
      <c r="C14" s="50"/>
      <c r="D14" s="51"/>
      <c r="E14" s="51"/>
      <c r="F14" s="51"/>
      <c r="G14" s="51"/>
      <c r="H14" s="51"/>
      <c r="I14" s="51"/>
      <c r="J14" s="52"/>
    </row>
    <row r="15" spans="1:13" s="56" customFormat="1" ht="20.25" customHeight="1">
      <c r="A15" s="53" t="s">
        <v>55</v>
      </c>
      <c r="B15" s="54">
        <v>248336849</v>
      </c>
      <c r="C15" s="54">
        <v>27105876</v>
      </c>
      <c r="D15" s="55">
        <v>181527407</v>
      </c>
      <c r="E15" s="55">
        <v>147009718</v>
      </c>
      <c r="F15" s="55">
        <v>70296354</v>
      </c>
      <c r="G15" s="55">
        <v>100088733</v>
      </c>
      <c r="H15" s="55">
        <v>50832956</v>
      </c>
      <c r="I15" s="55">
        <v>31939777</v>
      </c>
      <c r="J15" s="55">
        <f>SUM(B15:I15)</f>
        <v>857137670</v>
      </c>
      <c r="M15" s="57"/>
    </row>
    <row r="16" spans="1:10" ht="9" customHeight="1">
      <c r="A16" s="58"/>
      <c r="B16" s="54"/>
      <c r="C16" s="54"/>
      <c r="D16" s="55"/>
      <c r="E16" s="55"/>
      <c r="F16" s="55"/>
      <c r="G16" s="55"/>
      <c r="H16" s="55"/>
      <c r="I16" s="55"/>
      <c r="J16" s="55"/>
    </row>
    <row r="17" spans="1:10" s="56" customFormat="1" ht="28.5">
      <c r="A17" s="53" t="s">
        <v>56</v>
      </c>
      <c r="B17" s="54">
        <f>34177600+B18</f>
        <v>36964822</v>
      </c>
      <c r="C17" s="54">
        <v>0</v>
      </c>
      <c r="D17" s="55">
        <v>22054513</v>
      </c>
      <c r="E17" s="55">
        <f>36922350-1500000</f>
        <v>35422350</v>
      </c>
      <c r="F17" s="55">
        <v>21935176</v>
      </c>
      <c r="G17" s="55">
        <v>53822783</v>
      </c>
      <c r="H17" s="55">
        <f>40108137+1500000</f>
        <v>41608137</v>
      </c>
      <c r="I17" s="55">
        <v>21894221</v>
      </c>
      <c r="J17" s="55">
        <f>SUM(B17:I17)</f>
        <v>233702002</v>
      </c>
    </row>
    <row r="18" spans="1:10" s="56" customFormat="1" ht="15.75">
      <c r="A18" s="59" t="s">
        <v>57</v>
      </c>
      <c r="B18" s="54">
        <v>2787222</v>
      </c>
      <c r="C18" s="54"/>
      <c r="D18" s="55"/>
      <c r="E18" s="55"/>
      <c r="F18" s="55"/>
      <c r="G18" s="55"/>
      <c r="H18" s="55"/>
      <c r="I18" s="55"/>
      <c r="J18" s="55">
        <f>SUM(B18:I18)</f>
        <v>2787222</v>
      </c>
    </row>
    <row r="19" spans="1:10" ht="9" customHeight="1">
      <c r="A19" s="60"/>
      <c r="B19" s="54"/>
      <c r="C19" s="54"/>
      <c r="D19" s="55"/>
      <c r="E19" s="55"/>
      <c r="F19" s="55"/>
      <c r="G19" s="55"/>
      <c r="H19" s="55"/>
      <c r="I19" s="55"/>
      <c r="J19" s="55"/>
    </row>
    <row r="20" spans="1:10" s="56" customFormat="1" ht="20.25" customHeight="1">
      <c r="A20" s="53" t="s">
        <v>58</v>
      </c>
      <c r="B20" s="54">
        <v>21891159</v>
      </c>
      <c r="C20" s="54">
        <v>828564</v>
      </c>
      <c r="D20" s="55">
        <v>14695751</v>
      </c>
      <c r="E20" s="55">
        <v>18955530</v>
      </c>
      <c r="F20" s="55">
        <v>13538023</v>
      </c>
      <c r="G20" s="55">
        <v>20488028</v>
      </c>
      <c r="H20" s="55">
        <v>12046242</v>
      </c>
      <c r="I20" s="55">
        <v>11096025</v>
      </c>
      <c r="J20" s="55">
        <f>SUM(B20:I20)</f>
        <v>113539322</v>
      </c>
    </row>
    <row r="21" spans="1:10" ht="15.75">
      <c r="A21" s="61" t="s">
        <v>59</v>
      </c>
      <c r="B21" s="62"/>
      <c r="C21" s="62"/>
      <c r="D21" s="63"/>
      <c r="E21" s="63"/>
      <c r="F21" s="63"/>
      <c r="G21" s="63"/>
      <c r="H21" s="63"/>
      <c r="I21" s="63"/>
      <c r="J21" s="63"/>
    </row>
    <row r="22" spans="1:10" ht="15.75">
      <c r="A22" s="61" t="s">
        <v>60</v>
      </c>
      <c r="B22" s="62">
        <v>21528122</v>
      </c>
      <c r="C22" s="62">
        <v>760354</v>
      </c>
      <c r="D22" s="63">
        <v>13927027</v>
      </c>
      <c r="E22" s="63">
        <v>18943141</v>
      </c>
      <c r="F22" s="63">
        <v>13241679</v>
      </c>
      <c r="G22" s="63">
        <v>20401026</v>
      </c>
      <c r="H22" s="63">
        <v>12046231</v>
      </c>
      <c r="I22" s="63">
        <v>10446235</v>
      </c>
      <c r="J22" s="63">
        <f aca="true" t="shared" si="0" ref="J22:J30">SUM(B22:I22)</f>
        <v>111293815</v>
      </c>
    </row>
    <row r="23" spans="1:10" ht="31.5">
      <c r="A23" s="61" t="s">
        <v>61</v>
      </c>
      <c r="B23" s="62">
        <v>0</v>
      </c>
      <c r="C23" s="62">
        <v>0</v>
      </c>
      <c r="D23" s="63">
        <v>0</v>
      </c>
      <c r="E23" s="63">
        <v>7528507</v>
      </c>
      <c r="F23" s="63">
        <v>5333403</v>
      </c>
      <c r="G23" s="63">
        <v>9499479</v>
      </c>
      <c r="H23" s="63">
        <v>4386175</v>
      </c>
      <c r="I23" s="63">
        <v>4658622</v>
      </c>
      <c r="J23" s="63">
        <f t="shared" si="0"/>
        <v>31406186</v>
      </c>
    </row>
    <row r="24" spans="1:10" ht="31.5">
      <c r="A24" s="61" t="s">
        <v>62</v>
      </c>
      <c r="B24" s="62">
        <v>19516360</v>
      </c>
      <c r="C24" s="62">
        <v>727667</v>
      </c>
      <c r="D24" s="63">
        <v>12195610</v>
      </c>
      <c r="E24" s="63">
        <v>9033101</v>
      </c>
      <c r="F24" s="63">
        <v>6268379</v>
      </c>
      <c r="G24" s="63">
        <v>8436671</v>
      </c>
      <c r="H24" s="63">
        <v>6119776</v>
      </c>
      <c r="I24" s="63">
        <v>4009783</v>
      </c>
      <c r="J24" s="63">
        <f t="shared" si="0"/>
        <v>66307347</v>
      </c>
    </row>
    <row r="25" spans="1:10" ht="78.75">
      <c r="A25" s="61" t="s">
        <v>63</v>
      </c>
      <c r="B25" s="62">
        <v>1250144</v>
      </c>
      <c r="C25" s="62">
        <v>0</v>
      </c>
      <c r="D25" s="63">
        <v>1249005</v>
      </c>
      <c r="E25" s="63">
        <v>1899665</v>
      </c>
      <c r="F25" s="63">
        <v>1438324</v>
      </c>
      <c r="G25" s="63">
        <v>2003983</v>
      </c>
      <c r="H25" s="63">
        <v>1351782</v>
      </c>
      <c r="I25" s="63">
        <v>1663424</v>
      </c>
      <c r="J25" s="63">
        <f t="shared" si="0"/>
        <v>10856327</v>
      </c>
    </row>
    <row r="26" spans="1:10" ht="17.25" customHeight="1">
      <c r="A26" s="61" t="s">
        <v>64</v>
      </c>
      <c r="B26" s="62">
        <v>761618</v>
      </c>
      <c r="C26" s="62">
        <v>32687</v>
      </c>
      <c r="D26" s="63">
        <v>482412</v>
      </c>
      <c r="E26" s="63">
        <v>481868</v>
      </c>
      <c r="F26" s="63">
        <v>201573</v>
      </c>
      <c r="G26" s="63">
        <v>460893</v>
      </c>
      <c r="H26" s="63">
        <v>188498</v>
      </c>
      <c r="I26" s="63">
        <v>114406</v>
      </c>
      <c r="J26" s="63">
        <f t="shared" si="0"/>
        <v>2723955</v>
      </c>
    </row>
    <row r="27" spans="1:10" ht="15.75">
      <c r="A27" s="61" t="s">
        <v>65</v>
      </c>
      <c r="B27" s="62">
        <v>363037</v>
      </c>
      <c r="C27" s="62">
        <v>68210</v>
      </c>
      <c r="D27" s="63">
        <v>768724</v>
      </c>
      <c r="E27" s="63">
        <v>12389</v>
      </c>
      <c r="F27" s="63">
        <v>296344</v>
      </c>
      <c r="G27" s="63">
        <v>87002</v>
      </c>
      <c r="H27" s="63">
        <v>11</v>
      </c>
      <c r="I27" s="63">
        <v>649790</v>
      </c>
      <c r="J27" s="63">
        <f t="shared" si="0"/>
        <v>2245507</v>
      </c>
    </row>
    <row r="28" spans="1:10" ht="31.5">
      <c r="A28" s="61" t="s">
        <v>61</v>
      </c>
      <c r="B28" s="62">
        <v>0</v>
      </c>
      <c r="C28" s="62">
        <v>0</v>
      </c>
      <c r="D28" s="63">
        <v>0</v>
      </c>
      <c r="E28" s="63">
        <v>0</v>
      </c>
      <c r="F28" s="63">
        <v>369</v>
      </c>
      <c r="G28" s="63">
        <v>66484</v>
      </c>
      <c r="H28" s="63">
        <v>6</v>
      </c>
      <c r="I28" s="63">
        <v>116427</v>
      </c>
      <c r="J28" s="63">
        <f t="shared" si="0"/>
        <v>183286</v>
      </c>
    </row>
    <row r="29" spans="1:10" ht="31.5">
      <c r="A29" s="61" t="s">
        <v>62</v>
      </c>
      <c r="B29" s="62">
        <v>77368</v>
      </c>
      <c r="C29" s="62">
        <v>65000</v>
      </c>
      <c r="D29" s="63">
        <v>200009</v>
      </c>
      <c r="E29" s="63">
        <v>0</v>
      </c>
      <c r="F29" s="63">
        <v>295975</v>
      </c>
      <c r="G29" s="63">
        <v>20518</v>
      </c>
      <c r="H29" s="63">
        <v>5</v>
      </c>
      <c r="I29" s="63">
        <v>386992</v>
      </c>
      <c r="J29" s="63">
        <f t="shared" si="0"/>
        <v>1045867</v>
      </c>
    </row>
    <row r="30" spans="1:10" ht="15.75">
      <c r="A30" s="61" t="s">
        <v>64</v>
      </c>
      <c r="B30" s="62">
        <v>285669</v>
      </c>
      <c r="C30" s="62">
        <v>3210</v>
      </c>
      <c r="D30" s="63">
        <v>568715</v>
      </c>
      <c r="E30" s="63">
        <v>12389</v>
      </c>
      <c r="F30" s="63">
        <v>0</v>
      </c>
      <c r="G30" s="63">
        <v>0</v>
      </c>
      <c r="H30" s="63">
        <v>0</v>
      </c>
      <c r="I30" s="63">
        <v>146371</v>
      </c>
      <c r="J30" s="63">
        <f t="shared" si="0"/>
        <v>1016354</v>
      </c>
    </row>
    <row r="31" spans="1:10" ht="9" customHeight="1">
      <c r="A31" s="58"/>
      <c r="B31" s="54"/>
      <c r="C31" s="54"/>
      <c r="D31" s="55"/>
      <c r="E31" s="55"/>
      <c r="F31" s="55"/>
      <c r="G31" s="55"/>
      <c r="H31" s="55"/>
      <c r="I31" s="55"/>
      <c r="J31" s="55"/>
    </row>
    <row r="32" spans="1:10" ht="21" customHeight="1">
      <c r="A32" s="58" t="s">
        <v>66</v>
      </c>
      <c r="B32" s="54"/>
      <c r="C32" s="54"/>
      <c r="D32" s="55"/>
      <c r="E32" s="55"/>
      <c r="F32" s="55"/>
      <c r="G32" s="55"/>
      <c r="H32" s="55"/>
      <c r="I32" s="55"/>
      <c r="J32" s="55"/>
    </row>
    <row r="33" spans="1:10" s="56" customFormat="1" ht="15.75">
      <c r="A33" s="53" t="s">
        <v>67</v>
      </c>
      <c r="B33" s="54">
        <v>1974289</v>
      </c>
      <c r="C33" s="54">
        <v>685993</v>
      </c>
      <c r="D33" s="55">
        <v>1193992</v>
      </c>
      <c r="E33" s="55">
        <v>6914409</v>
      </c>
      <c r="F33" s="55">
        <v>999870</v>
      </c>
      <c r="G33" s="55">
        <v>3059806.94</v>
      </c>
      <c r="H33" s="55">
        <v>2565566</v>
      </c>
      <c r="I33" s="55">
        <v>1427533</v>
      </c>
      <c r="J33" s="55">
        <f>SUM(B33:I33)</f>
        <v>18821458.939999998</v>
      </c>
    </row>
    <row r="34" spans="1:10" ht="15.75" customHeight="1">
      <c r="A34" s="58" t="s">
        <v>68</v>
      </c>
      <c r="B34" s="63">
        <v>79382</v>
      </c>
      <c r="C34" s="63">
        <v>513609</v>
      </c>
      <c r="D34" s="63">
        <v>82272</v>
      </c>
      <c r="E34" s="63">
        <v>4013896</v>
      </c>
      <c r="F34" s="63">
        <v>84399</v>
      </c>
      <c r="G34" s="63">
        <v>385042</v>
      </c>
      <c r="H34" s="63">
        <v>73356</v>
      </c>
      <c r="I34" s="63">
        <v>93701</v>
      </c>
      <c r="J34" s="63">
        <f>SUM(B34:I34)</f>
        <v>5325657</v>
      </c>
    </row>
    <row r="35" spans="1:10" ht="15.75">
      <c r="A35" s="58" t="s">
        <v>69</v>
      </c>
      <c r="B35" s="62">
        <v>1894907</v>
      </c>
      <c r="C35" s="62">
        <v>172384</v>
      </c>
      <c r="D35" s="63">
        <v>1111720</v>
      </c>
      <c r="E35" s="63">
        <v>2900513</v>
      </c>
      <c r="F35" s="63">
        <v>915471</v>
      </c>
      <c r="G35" s="63">
        <v>2674764.94</v>
      </c>
      <c r="H35" s="63">
        <v>2492210</v>
      </c>
      <c r="I35" s="63">
        <v>1333832</v>
      </c>
      <c r="J35" s="63">
        <f>SUM(B35:I35)</f>
        <v>13495801.94</v>
      </c>
    </row>
    <row r="36" spans="1:10" ht="15.75">
      <c r="A36" s="61" t="s">
        <v>5</v>
      </c>
      <c r="B36" s="62"/>
      <c r="C36" s="62"/>
      <c r="D36" s="63"/>
      <c r="E36" s="63"/>
      <c r="F36" s="63"/>
      <c r="G36" s="63"/>
      <c r="H36" s="63"/>
      <c r="I36" s="63"/>
      <c r="J36" s="63"/>
    </row>
    <row r="37" spans="1:10" s="56" customFormat="1" ht="15">
      <c r="A37" s="64" t="s">
        <v>70</v>
      </c>
      <c r="B37" s="65">
        <v>9829</v>
      </c>
      <c r="C37" s="65"/>
      <c r="D37" s="66"/>
      <c r="E37" s="66">
        <v>339935</v>
      </c>
      <c r="F37" s="66">
        <v>278028</v>
      </c>
      <c r="G37" s="66">
        <v>580439</v>
      </c>
      <c r="H37" s="66">
        <v>275108</v>
      </c>
      <c r="I37" s="66">
        <v>554577</v>
      </c>
      <c r="J37" s="66">
        <f aca="true" t="shared" si="1" ref="J37:J46">SUM(B37:I37)</f>
        <v>2037916</v>
      </c>
    </row>
    <row r="38" spans="1:10" s="56" customFormat="1" ht="30">
      <c r="A38" s="64" t="s">
        <v>71</v>
      </c>
      <c r="B38" s="65">
        <v>114269</v>
      </c>
      <c r="C38" s="65"/>
      <c r="D38" s="66">
        <v>33779</v>
      </c>
      <c r="E38" s="66">
        <v>529056</v>
      </c>
      <c r="F38" s="66">
        <v>248396</v>
      </c>
      <c r="G38" s="66">
        <v>141582</v>
      </c>
      <c r="H38" s="66">
        <v>307771</v>
      </c>
      <c r="I38" s="66">
        <v>172079</v>
      </c>
      <c r="J38" s="66">
        <f t="shared" si="1"/>
        <v>1546932</v>
      </c>
    </row>
    <row r="39" spans="1:10" s="56" customFormat="1" ht="30" customHeight="1">
      <c r="A39" s="64" t="s">
        <v>72</v>
      </c>
      <c r="B39" s="65">
        <v>1384511</v>
      </c>
      <c r="C39" s="65"/>
      <c r="D39" s="66">
        <v>889590</v>
      </c>
      <c r="E39" s="66">
        <v>1460680</v>
      </c>
      <c r="F39" s="66">
        <v>310274</v>
      </c>
      <c r="G39" s="66">
        <v>359832</v>
      </c>
      <c r="H39" s="66">
        <v>30375</v>
      </c>
      <c r="I39" s="66">
        <v>92875</v>
      </c>
      <c r="J39" s="66">
        <f t="shared" si="1"/>
        <v>4528137</v>
      </c>
    </row>
    <row r="40" spans="1:10" s="56" customFormat="1" ht="15">
      <c r="A40" s="64" t="s">
        <v>16</v>
      </c>
      <c r="B40" s="65"/>
      <c r="C40" s="65"/>
      <c r="D40" s="66">
        <v>3263</v>
      </c>
      <c r="E40" s="66"/>
      <c r="F40" s="66">
        <v>2343</v>
      </c>
      <c r="G40" s="66">
        <v>4296</v>
      </c>
      <c r="H40" s="66">
        <v>2758</v>
      </c>
      <c r="I40" s="66">
        <v>29600</v>
      </c>
      <c r="J40" s="66">
        <f t="shared" si="1"/>
        <v>42260</v>
      </c>
    </row>
    <row r="41" spans="1:10" s="56" customFormat="1" ht="15">
      <c r="A41" s="64" t="s">
        <v>73</v>
      </c>
      <c r="B41" s="65">
        <v>210925</v>
      </c>
      <c r="C41" s="65">
        <v>172384</v>
      </c>
      <c r="D41" s="66"/>
      <c r="E41" s="66"/>
      <c r="F41" s="66"/>
      <c r="G41" s="66"/>
      <c r="H41" s="66"/>
      <c r="I41" s="66"/>
      <c r="J41" s="66">
        <f t="shared" si="1"/>
        <v>383309</v>
      </c>
    </row>
    <row r="42" spans="1:10" s="56" customFormat="1" ht="32.25" customHeight="1">
      <c r="A42" s="64" t="s">
        <v>74</v>
      </c>
      <c r="B42" s="65">
        <v>34999</v>
      </c>
      <c r="C42" s="65"/>
      <c r="D42" s="66"/>
      <c r="E42" s="66">
        <v>70249</v>
      </c>
      <c r="F42" s="66"/>
      <c r="G42" s="66">
        <v>1034230</v>
      </c>
      <c r="H42" s="66">
        <v>1600697</v>
      </c>
      <c r="I42" s="66">
        <v>363028</v>
      </c>
      <c r="J42" s="66">
        <f t="shared" si="1"/>
        <v>3103203</v>
      </c>
    </row>
    <row r="43" spans="1:10" s="56" customFormat="1" ht="45">
      <c r="A43" s="64" t="s">
        <v>75</v>
      </c>
      <c r="B43" s="65"/>
      <c r="C43" s="65"/>
      <c r="D43" s="66"/>
      <c r="E43" s="66">
        <v>348740</v>
      </c>
      <c r="F43" s="66"/>
      <c r="G43" s="66">
        <v>424578</v>
      </c>
      <c r="H43" s="66">
        <v>117995</v>
      </c>
      <c r="I43" s="66">
        <v>55813</v>
      </c>
      <c r="J43" s="66">
        <f t="shared" si="1"/>
        <v>947126</v>
      </c>
    </row>
    <row r="44" spans="1:10" s="56" customFormat="1" ht="45">
      <c r="A44" s="64" t="s">
        <v>76</v>
      </c>
      <c r="B44" s="65">
        <v>140374</v>
      </c>
      <c r="C44" s="65"/>
      <c r="D44" s="66">
        <v>185088</v>
      </c>
      <c r="E44" s="66">
        <v>151853</v>
      </c>
      <c r="F44" s="66">
        <v>76430</v>
      </c>
      <c r="G44" s="66">
        <v>129807.94</v>
      </c>
      <c r="H44" s="66">
        <v>157506</v>
      </c>
      <c r="I44" s="66">
        <v>65860</v>
      </c>
      <c r="J44" s="66">
        <f t="shared" si="1"/>
        <v>906918.94</v>
      </c>
    </row>
    <row r="45" spans="1:10" s="56" customFormat="1" ht="15" customHeight="1">
      <c r="A45" s="53" t="s">
        <v>77</v>
      </c>
      <c r="B45" s="55">
        <v>2307248</v>
      </c>
      <c r="C45" s="55">
        <v>562934</v>
      </c>
      <c r="D45" s="55">
        <v>1281162</v>
      </c>
      <c r="E45" s="55">
        <v>749746</v>
      </c>
      <c r="F45" s="55">
        <v>1205471</v>
      </c>
      <c r="G45" s="55">
        <v>707460</v>
      </c>
      <c r="H45" s="55">
        <v>336409</v>
      </c>
      <c r="I45" s="55">
        <v>808959</v>
      </c>
      <c r="J45" s="55">
        <f t="shared" si="1"/>
        <v>7959389</v>
      </c>
    </row>
    <row r="46" spans="1:10" s="56" customFormat="1" ht="15" customHeight="1">
      <c r="A46" s="53" t="s">
        <v>78</v>
      </c>
      <c r="B46" s="55">
        <v>46457</v>
      </c>
      <c r="C46" s="55">
        <v>101</v>
      </c>
      <c r="D46" s="55">
        <v>89596</v>
      </c>
      <c r="E46" s="55">
        <v>350864</v>
      </c>
      <c r="F46" s="55">
        <v>41160</v>
      </c>
      <c r="G46" s="55">
        <v>129367</v>
      </c>
      <c r="H46" s="55">
        <v>100350</v>
      </c>
      <c r="I46" s="55">
        <v>43868</v>
      </c>
      <c r="J46" s="55">
        <f t="shared" si="1"/>
        <v>801763</v>
      </c>
    </row>
    <row r="47" spans="1:10" ht="9" customHeight="1">
      <c r="A47" s="58"/>
      <c r="B47" s="54"/>
      <c r="C47" s="54"/>
      <c r="D47" s="55"/>
      <c r="E47" s="55"/>
      <c r="F47" s="55"/>
      <c r="G47" s="55"/>
      <c r="H47" s="55"/>
      <c r="I47" s="55"/>
      <c r="J47" s="55"/>
    </row>
    <row r="48" spans="1:10" s="56" customFormat="1" ht="21" customHeight="1">
      <c r="A48" s="53" t="s">
        <v>79</v>
      </c>
      <c r="B48" s="54">
        <v>34640456</v>
      </c>
      <c r="C48" s="54">
        <v>4021333</v>
      </c>
      <c r="D48" s="55">
        <v>26937453</v>
      </c>
      <c r="E48" s="55">
        <v>17713114</v>
      </c>
      <c r="F48" s="55">
        <v>10337913</v>
      </c>
      <c r="G48" s="55">
        <v>14156988</v>
      </c>
      <c r="H48" s="55">
        <v>7530136</v>
      </c>
      <c r="I48" s="55">
        <v>4607586</v>
      </c>
      <c r="J48" s="55">
        <f>SUM(B48:I48)</f>
        <v>119944979</v>
      </c>
    </row>
    <row r="49" spans="1:10" ht="9" customHeight="1">
      <c r="A49" s="58"/>
      <c r="B49" s="54"/>
      <c r="C49" s="54"/>
      <c r="D49" s="55"/>
      <c r="E49" s="55"/>
      <c r="F49" s="55"/>
      <c r="G49" s="55"/>
      <c r="H49" s="55"/>
      <c r="I49" s="55"/>
      <c r="J49" s="55"/>
    </row>
    <row r="50" spans="1:10" s="56" customFormat="1" ht="21.75" customHeight="1" thickBot="1">
      <c r="A50" s="67" t="s">
        <v>80</v>
      </c>
      <c r="B50" s="55">
        <v>335418620</v>
      </c>
      <c r="C50" s="55">
        <v>35478414</v>
      </c>
      <c r="D50" s="55">
        <v>247697602</v>
      </c>
      <c r="E50" s="55">
        <v>224601835</v>
      </c>
      <c r="F50" s="55">
        <v>118269568</v>
      </c>
      <c r="G50" s="55">
        <v>190058797</v>
      </c>
      <c r="H50" s="55">
        <v>113446440</v>
      </c>
      <c r="I50" s="55">
        <v>71724268</v>
      </c>
      <c r="J50" s="55">
        <f>SUM(B50:I50)</f>
        <v>1336695544</v>
      </c>
    </row>
    <row r="52" spans="6:10" ht="12.75">
      <c r="F52" s="68"/>
      <c r="J52" s="68"/>
    </row>
    <row r="53" ht="12.75">
      <c r="B53" s="68"/>
    </row>
    <row r="55" spans="2:10" ht="12.75">
      <c r="B55" s="68"/>
      <c r="C55" s="68"/>
      <c r="D55" s="68"/>
      <c r="E55" s="68"/>
      <c r="F55" s="68"/>
      <c r="G55" s="68"/>
      <c r="H55" s="68"/>
      <c r="I55" s="68"/>
      <c r="J55" s="68"/>
    </row>
  </sheetData>
  <sheetProtection/>
  <mergeCells count="1">
    <mergeCell ref="A11:J11"/>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AD70"/>
  <sheetViews>
    <sheetView zoomScalePageLayoutView="0" workbookViewId="0" topLeftCell="A1">
      <pane xSplit="1" ySplit="14" topLeftCell="J54" activePane="bottomRight" state="frozen"/>
      <selection pane="topLeft" activeCell="A1" sqref="A1"/>
      <selection pane="topRight" activeCell="B1" sqref="B1"/>
      <selection pane="bottomLeft" activeCell="A14" sqref="A14"/>
      <selection pane="bottomRight" activeCell="K38" sqref="K38:S38"/>
    </sheetView>
  </sheetViews>
  <sheetFormatPr defaultColWidth="9.00390625" defaultRowHeight="12.75"/>
  <cols>
    <col min="1" max="1" width="58.00390625" style="77" customWidth="1"/>
    <col min="2" max="2" width="17.25390625" style="77" customWidth="1"/>
    <col min="3" max="3" width="16.00390625" style="77" customWidth="1"/>
    <col min="4" max="4" width="16.25390625" style="77" customWidth="1"/>
    <col min="5" max="5" width="15.875" style="77" customWidth="1"/>
    <col min="6" max="6" width="16.25390625" style="77" customWidth="1"/>
    <col min="7" max="7" width="16.375" style="77" customWidth="1"/>
    <col min="8" max="8" width="17.125" style="77" customWidth="1"/>
    <col min="9" max="9" width="15.875" style="77" customWidth="1"/>
    <col min="10" max="10" width="17.75390625" style="77" customWidth="1"/>
    <col min="11" max="11" width="17.25390625" style="77" customWidth="1"/>
    <col min="12" max="12" width="16.00390625" style="77" customWidth="1"/>
    <col min="13" max="13" width="16.25390625" style="77" customWidth="1"/>
    <col min="14" max="14" width="15.875" style="77" customWidth="1"/>
    <col min="15" max="15" width="16.25390625" style="77" customWidth="1"/>
    <col min="16" max="16" width="16.375" style="77" customWidth="1"/>
    <col min="17" max="17" width="17.125" style="77" customWidth="1"/>
    <col min="18" max="18" width="15.875" style="77" customWidth="1"/>
    <col min="19" max="19" width="20.125" style="77" customWidth="1"/>
    <col min="20" max="20" width="17.25390625" style="77" customWidth="1"/>
    <col min="21" max="21" width="16.00390625" style="77" customWidth="1"/>
    <col min="22" max="22" width="16.25390625" style="77" customWidth="1"/>
    <col min="23" max="23" width="15.875" style="77" customWidth="1"/>
    <col min="24" max="24" width="16.25390625" style="77" customWidth="1"/>
    <col min="25" max="25" width="16.375" style="77" customWidth="1"/>
    <col min="26" max="26" width="17.125" style="77" customWidth="1"/>
    <col min="27" max="27" width="15.875" style="77" customWidth="1"/>
    <col min="28" max="28" width="14.375" style="77" customWidth="1"/>
    <col min="29" max="16384" width="9.125" style="77" customWidth="1"/>
  </cols>
  <sheetData>
    <row r="1" spans="6:23" s="41" customFormat="1" ht="15" customHeight="1">
      <c r="F1" s="139" t="s">
        <v>119</v>
      </c>
      <c r="G1" s="139"/>
      <c r="H1" s="139"/>
      <c r="I1" s="139"/>
      <c r="J1" s="139"/>
      <c r="K1" s="139"/>
      <c r="L1" s="127"/>
      <c r="W1" s="127"/>
    </row>
    <row r="2" spans="6:23" s="41" customFormat="1" ht="15" customHeight="1">
      <c r="F2" s="139" t="s">
        <v>120</v>
      </c>
      <c r="G2" s="139"/>
      <c r="H2" s="139"/>
      <c r="I2" s="139"/>
      <c r="J2" s="139"/>
      <c r="K2" s="139"/>
      <c r="L2" s="127"/>
      <c r="W2" s="127"/>
    </row>
    <row r="3" spans="6:23" s="41" customFormat="1" ht="15" customHeight="1">
      <c r="F3" s="139" t="s">
        <v>121</v>
      </c>
      <c r="G3" s="139"/>
      <c r="H3" s="139"/>
      <c r="I3" s="139"/>
      <c r="J3" s="139"/>
      <c r="K3" s="139"/>
      <c r="L3" s="127"/>
      <c r="W3" s="127"/>
    </row>
    <row r="4" spans="6:23" s="41" customFormat="1" ht="15" customHeight="1">
      <c r="F4" s="139" t="s">
        <v>124</v>
      </c>
      <c r="G4" s="139"/>
      <c r="H4" s="139"/>
      <c r="I4" s="139"/>
      <c r="J4" s="139"/>
      <c r="K4" s="139"/>
      <c r="L4" s="127"/>
      <c r="W4" s="127"/>
    </row>
    <row r="5" spans="6:23" s="41" customFormat="1" ht="15" customHeight="1">
      <c r="F5" s="139" t="s">
        <v>122</v>
      </c>
      <c r="G5" s="139"/>
      <c r="H5" s="139"/>
      <c r="I5" s="139"/>
      <c r="J5" s="139"/>
      <c r="K5" s="139"/>
      <c r="L5" s="127"/>
      <c r="W5" s="127"/>
    </row>
    <row r="6" spans="2:11" s="128" customFormat="1" ht="15" customHeight="1">
      <c r="B6" s="41"/>
      <c r="C6" s="129"/>
      <c r="D6" s="129"/>
      <c r="E6" s="129"/>
      <c r="F6" s="129"/>
      <c r="G6" s="129"/>
      <c r="H6" s="129"/>
      <c r="I6" s="129"/>
      <c r="J6" s="129"/>
      <c r="K6" s="129"/>
    </row>
    <row r="7" spans="1:11" s="128" customFormat="1" ht="15" customHeight="1">
      <c r="A7" s="130"/>
      <c r="B7" s="41"/>
      <c r="C7" s="129"/>
      <c r="D7" s="129"/>
      <c r="E7" s="129"/>
      <c r="F7" s="129"/>
      <c r="G7" s="208" t="s">
        <v>48</v>
      </c>
      <c r="H7" s="208"/>
      <c r="I7" s="208"/>
      <c r="J7" s="208"/>
      <c r="K7" s="129"/>
    </row>
    <row r="8" spans="1:11" s="128" customFormat="1" ht="15" customHeight="1">
      <c r="A8" s="130"/>
      <c r="B8" s="41"/>
      <c r="C8" s="129"/>
      <c r="D8" s="129"/>
      <c r="E8" s="129"/>
      <c r="F8" s="129"/>
      <c r="G8" s="208" t="s">
        <v>49</v>
      </c>
      <c r="H8" s="208"/>
      <c r="I8" s="208"/>
      <c r="J8" s="208"/>
      <c r="K8" s="129"/>
    </row>
    <row r="9" spans="1:11" s="128" customFormat="1" ht="15" customHeight="1">
      <c r="A9" s="131"/>
      <c r="B9" s="132"/>
      <c r="C9" s="129"/>
      <c r="D9" s="129"/>
      <c r="F9" s="39"/>
      <c r="G9" s="208" t="s">
        <v>124</v>
      </c>
      <c r="H9" s="208"/>
      <c r="I9" s="208"/>
      <c r="J9" s="208"/>
      <c r="K9" s="129"/>
    </row>
    <row r="10" spans="1:11" s="128" customFormat="1" ht="15" customHeight="1">
      <c r="A10" s="133"/>
      <c r="B10" s="134"/>
      <c r="C10" s="134"/>
      <c r="D10" s="134"/>
      <c r="E10" s="134"/>
      <c r="F10" s="134"/>
      <c r="G10" s="134"/>
      <c r="H10" s="134"/>
      <c r="I10" s="134"/>
      <c r="J10" s="135"/>
      <c r="K10" s="134"/>
    </row>
    <row r="11" spans="2:11" s="128" customFormat="1" ht="18" customHeight="1">
      <c r="B11" s="136" t="s">
        <v>123</v>
      </c>
      <c r="C11" s="136"/>
      <c r="D11" s="136"/>
      <c r="E11" s="136"/>
      <c r="F11" s="136"/>
      <c r="G11" s="136"/>
      <c r="H11" s="136"/>
      <c r="I11" s="136"/>
      <c r="J11" s="137"/>
      <c r="K11" s="137"/>
    </row>
    <row r="12" spans="1:11" s="128" customFormat="1" ht="15.75" customHeight="1" thickBot="1">
      <c r="A12" s="134"/>
      <c r="B12" s="138"/>
      <c r="C12" s="138"/>
      <c r="D12" s="138"/>
      <c r="E12" s="138"/>
      <c r="F12" s="138"/>
      <c r="G12" s="138"/>
      <c r="H12" s="138"/>
      <c r="I12" s="138"/>
      <c r="J12" s="127" t="s">
        <v>52</v>
      </c>
      <c r="K12" s="134"/>
    </row>
    <row r="13" spans="1:28" ht="16.5" thickBot="1">
      <c r="A13" s="206" t="s">
        <v>53</v>
      </c>
      <c r="B13" s="203" t="s">
        <v>116</v>
      </c>
      <c r="C13" s="204"/>
      <c r="D13" s="204"/>
      <c r="E13" s="204"/>
      <c r="F13" s="204"/>
      <c r="G13" s="204"/>
      <c r="H13" s="204"/>
      <c r="I13" s="204"/>
      <c r="J13" s="205"/>
      <c r="K13" s="203" t="s">
        <v>117</v>
      </c>
      <c r="L13" s="204"/>
      <c r="M13" s="204"/>
      <c r="N13" s="204"/>
      <c r="O13" s="204"/>
      <c r="P13" s="204"/>
      <c r="Q13" s="204"/>
      <c r="R13" s="204"/>
      <c r="S13" s="205"/>
      <c r="T13" s="203" t="s">
        <v>118</v>
      </c>
      <c r="U13" s="204"/>
      <c r="V13" s="204"/>
      <c r="W13" s="204"/>
      <c r="X13" s="204"/>
      <c r="Y13" s="204"/>
      <c r="Z13" s="204"/>
      <c r="AA13" s="204"/>
      <c r="AB13" s="205"/>
    </row>
    <row r="14" spans="1:28" ht="34.5" customHeight="1" thickBot="1">
      <c r="A14" s="207"/>
      <c r="B14" s="100" t="s">
        <v>33</v>
      </c>
      <c r="C14" s="46" t="s">
        <v>34</v>
      </c>
      <c r="D14" s="46" t="s">
        <v>36</v>
      </c>
      <c r="E14" s="46" t="s">
        <v>39</v>
      </c>
      <c r="F14" s="46" t="s">
        <v>32</v>
      </c>
      <c r="G14" s="46" t="s">
        <v>30</v>
      </c>
      <c r="H14" s="46" t="s">
        <v>35</v>
      </c>
      <c r="I14" s="46" t="s">
        <v>38</v>
      </c>
      <c r="J14" s="47" t="s">
        <v>54</v>
      </c>
      <c r="K14" s="100" t="s">
        <v>33</v>
      </c>
      <c r="L14" s="46" t="s">
        <v>34</v>
      </c>
      <c r="M14" s="46" t="s">
        <v>36</v>
      </c>
      <c r="N14" s="46" t="s">
        <v>39</v>
      </c>
      <c r="O14" s="46" t="s">
        <v>32</v>
      </c>
      <c r="P14" s="46" t="s">
        <v>30</v>
      </c>
      <c r="Q14" s="46" t="s">
        <v>35</v>
      </c>
      <c r="R14" s="46" t="s">
        <v>38</v>
      </c>
      <c r="S14" s="47" t="s">
        <v>54</v>
      </c>
      <c r="T14" s="100" t="s">
        <v>33</v>
      </c>
      <c r="U14" s="46" t="s">
        <v>34</v>
      </c>
      <c r="V14" s="46" t="s">
        <v>36</v>
      </c>
      <c r="W14" s="46" t="s">
        <v>39</v>
      </c>
      <c r="X14" s="46" t="s">
        <v>32</v>
      </c>
      <c r="Y14" s="46" t="s">
        <v>30</v>
      </c>
      <c r="Z14" s="46" t="s">
        <v>35</v>
      </c>
      <c r="AA14" s="46" t="s">
        <v>38</v>
      </c>
      <c r="AB14" s="47" t="s">
        <v>54</v>
      </c>
    </row>
    <row r="15" spans="1:28" ht="9" customHeight="1">
      <c r="A15" s="48"/>
      <c r="B15" s="101"/>
      <c r="C15" s="50"/>
      <c r="D15" s="51"/>
      <c r="E15" s="51"/>
      <c r="F15" s="51"/>
      <c r="G15" s="51"/>
      <c r="H15" s="51"/>
      <c r="I15" s="51"/>
      <c r="J15" s="52"/>
      <c r="K15" s="101"/>
      <c r="L15" s="50"/>
      <c r="M15" s="51"/>
      <c r="N15" s="51"/>
      <c r="O15" s="51"/>
      <c r="P15" s="51"/>
      <c r="Q15" s="51"/>
      <c r="R15" s="51"/>
      <c r="S15" s="52"/>
      <c r="T15" s="101"/>
      <c r="U15" s="50"/>
      <c r="V15" s="51"/>
      <c r="W15" s="51"/>
      <c r="X15" s="51"/>
      <c r="Y15" s="51"/>
      <c r="Z15" s="51"/>
      <c r="AA15" s="51"/>
      <c r="AB15" s="52"/>
    </row>
    <row r="16" spans="1:28" s="56" customFormat="1" ht="20.25" customHeight="1">
      <c r="A16" s="53" t="s">
        <v>88</v>
      </c>
      <c r="B16" s="102">
        <v>302769499</v>
      </c>
      <c r="C16" s="54">
        <v>29640508</v>
      </c>
      <c r="D16" s="55">
        <v>222537280</v>
      </c>
      <c r="E16" s="55">
        <v>205663041</v>
      </c>
      <c r="F16" s="55">
        <v>83991661</v>
      </c>
      <c r="G16" s="55">
        <v>113220499</v>
      </c>
      <c r="H16" s="55">
        <v>60653445</v>
      </c>
      <c r="I16" s="55">
        <v>37295770</v>
      </c>
      <c r="J16" s="103">
        <f>SUM(B16:I16)</f>
        <v>1055771703</v>
      </c>
      <c r="K16" s="102">
        <v>302769499</v>
      </c>
      <c r="L16" s="54">
        <v>29640508</v>
      </c>
      <c r="M16" s="55">
        <v>222537280</v>
      </c>
      <c r="N16" s="55">
        <f>N17+N18</f>
        <v>193426176</v>
      </c>
      <c r="O16" s="55">
        <v>83991661</v>
      </c>
      <c r="P16" s="55">
        <v>113220499</v>
      </c>
      <c r="Q16" s="55">
        <v>60653445</v>
      </c>
      <c r="R16" s="55">
        <v>37295770</v>
      </c>
      <c r="S16" s="103">
        <f>SUM(K16:R16)</f>
        <v>1043534838</v>
      </c>
      <c r="T16" s="102">
        <f>K16-B16</f>
        <v>0</v>
      </c>
      <c r="U16" s="54">
        <f aca="true" t="shared" si="0" ref="U16:AA16">L16-C16</f>
        <v>0</v>
      </c>
      <c r="V16" s="54">
        <f t="shared" si="0"/>
        <v>0</v>
      </c>
      <c r="W16" s="54">
        <f t="shared" si="0"/>
        <v>-12236865</v>
      </c>
      <c r="X16" s="54">
        <f t="shared" si="0"/>
        <v>0</v>
      </c>
      <c r="Y16" s="54">
        <f t="shared" si="0"/>
        <v>0</v>
      </c>
      <c r="Z16" s="54">
        <f t="shared" si="0"/>
        <v>0</v>
      </c>
      <c r="AA16" s="54">
        <f t="shared" si="0"/>
        <v>0</v>
      </c>
      <c r="AB16" s="103">
        <f>SUM(T16:AA16)</f>
        <v>-12236865</v>
      </c>
    </row>
    <row r="17" spans="1:28" s="56" customFormat="1" ht="20.25" customHeight="1">
      <c r="A17" s="64" t="s">
        <v>89</v>
      </c>
      <c r="B17" s="104">
        <v>45158372</v>
      </c>
      <c r="C17" s="70">
        <v>8689922</v>
      </c>
      <c r="D17" s="71">
        <v>25872610</v>
      </c>
      <c r="E17" s="71">
        <v>19967871</v>
      </c>
      <c r="F17" s="71">
        <v>8920078</v>
      </c>
      <c r="G17" s="71">
        <v>16668891</v>
      </c>
      <c r="H17" s="71">
        <v>11792344</v>
      </c>
      <c r="I17" s="71">
        <v>7988016</v>
      </c>
      <c r="J17" s="105">
        <f>SUM(B17:I17)</f>
        <v>145058104</v>
      </c>
      <c r="K17" s="104">
        <v>45158372</v>
      </c>
      <c r="L17" s="70">
        <v>8689922</v>
      </c>
      <c r="M17" s="71">
        <v>25872610</v>
      </c>
      <c r="N17" s="71">
        <v>19967871</v>
      </c>
      <c r="O17" s="71">
        <v>8920078</v>
      </c>
      <c r="P17" s="71">
        <v>16668891</v>
      </c>
      <c r="Q17" s="71">
        <v>11792344</v>
      </c>
      <c r="R17" s="71">
        <v>7988016</v>
      </c>
      <c r="S17" s="105">
        <f>SUM(K17:R17)</f>
        <v>145058104</v>
      </c>
      <c r="T17" s="104">
        <f aca="true" t="shared" si="1" ref="T17:T58">K17-B17</f>
        <v>0</v>
      </c>
      <c r="U17" s="70">
        <f aca="true" t="shared" si="2" ref="U17:U58">L17-C17</f>
        <v>0</v>
      </c>
      <c r="V17" s="71">
        <f aca="true" t="shared" si="3" ref="V17:V58">M17-D17</f>
        <v>0</v>
      </c>
      <c r="W17" s="71">
        <f aca="true" t="shared" si="4" ref="W17:W58">N17-E17</f>
        <v>0</v>
      </c>
      <c r="X17" s="71">
        <f aca="true" t="shared" si="5" ref="X17:X58">O17-F17</f>
        <v>0</v>
      </c>
      <c r="Y17" s="71">
        <f aca="true" t="shared" si="6" ref="Y17:Y58">P17-G17</f>
        <v>0</v>
      </c>
      <c r="Z17" s="71">
        <f aca="true" t="shared" si="7" ref="Z17:Z58">Q17-H17</f>
        <v>0</v>
      </c>
      <c r="AA17" s="71">
        <f aca="true" t="shared" si="8" ref="AA17:AA58">R17-I17</f>
        <v>0</v>
      </c>
      <c r="AB17" s="105">
        <f>SUM(T17:AA17)</f>
        <v>0</v>
      </c>
    </row>
    <row r="18" spans="1:28" ht="27" customHeight="1">
      <c r="A18" s="58" t="s">
        <v>90</v>
      </c>
      <c r="B18" s="102">
        <f>B16-B17</f>
        <v>257611127</v>
      </c>
      <c r="C18" s="54">
        <f>C16-C17</f>
        <v>20950586</v>
      </c>
      <c r="D18" s="54">
        <f>D16-D17</f>
        <v>196664670</v>
      </c>
      <c r="E18" s="54">
        <f>185695170</f>
        <v>185695170</v>
      </c>
      <c r="F18" s="54">
        <f aca="true" t="shared" si="9" ref="F18:M18">F16-F17</f>
        <v>75071583</v>
      </c>
      <c r="G18" s="54">
        <f t="shared" si="9"/>
        <v>96551608</v>
      </c>
      <c r="H18" s="54">
        <f t="shared" si="9"/>
        <v>48861101</v>
      </c>
      <c r="I18" s="54">
        <f t="shared" si="9"/>
        <v>29307754</v>
      </c>
      <c r="J18" s="106">
        <f t="shared" si="9"/>
        <v>910713599</v>
      </c>
      <c r="K18" s="102">
        <f t="shared" si="9"/>
        <v>257611127</v>
      </c>
      <c r="L18" s="54">
        <f t="shared" si="9"/>
        <v>20950586</v>
      </c>
      <c r="M18" s="54">
        <f t="shared" si="9"/>
        <v>196664670</v>
      </c>
      <c r="N18" s="54">
        <f>185695170-12236865</f>
        <v>173458305</v>
      </c>
      <c r="O18" s="54">
        <f>O16-O17</f>
        <v>75071583</v>
      </c>
      <c r="P18" s="54">
        <f>P16-P17</f>
        <v>96551608</v>
      </c>
      <c r="Q18" s="54">
        <f>Q16-Q17</f>
        <v>48861101</v>
      </c>
      <c r="R18" s="54">
        <f>R16-R17</f>
        <v>29307754</v>
      </c>
      <c r="S18" s="106">
        <f>S16-S17</f>
        <v>898476734</v>
      </c>
      <c r="T18" s="102">
        <f t="shared" si="1"/>
        <v>0</v>
      </c>
      <c r="U18" s="54">
        <f t="shared" si="2"/>
        <v>0</v>
      </c>
      <c r="V18" s="54">
        <f t="shared" si="3"/>
        <v>0</v>
      </c>
      <c r="W18" s="54">
        <f t="shared" si="4"/>
        <v>-12236865</v>
      </c>
      <c r="X18" s="54">
        <f t="shared" si="5"/>
        <v>0</v>
      </c>
      <c r="Y18" s="54">
        <f t="shared" si="6"/>
        <v>0</v>
      </c>
      <c r="Z18" s="54">
        <f t="shared" si="7"/>
        <v>0</v>
      </c>
      <c r="AA18" s="54">
        <f t="shared" si="8"/>
        <v>0</v>
      </c>
      <c r="AB18" s="106">
        <f>AB16-AB17</f>
        <v>-12236865</v>
      </c>
    </row>
    <row r="19" spans="1:28" s="56" customFormat="1" ht="15.75">
      <c r="A19" s="53" t="s">
        <v>91</v>
      </c>
      <c r="B19" s="102">
        <v>26528721</v>
      </c>
      <c r="C19" s="54">
        <v>2412125</v>
      </c>
      <c r="D19" s="55">
        <v>22616827</v>
      </c>
      <c r="E19" s="55">
        <v>4253109</v>
      </c>
      <c r="F19" s="55">
        <v>21800913</v>
      </c>
      <c r="G19" s="55">
        <v>57758866</v>
      </c>
      <c r="H19" s="55">
        <v>44153466</v>
      </c>
      <c r="I19" s="55">
        <v>22666826</v>
      </c>
      <c r="J19" s="103">
        <f>SUM(B19:I19)</f>
        <v>202190853</v>
      </c>
      <c r="K19" s="102">
        <v>26528721</v>
      </c>
      <c r="L19" s="54">
        <v>2412125</v>
      </c>
      <c r="M19" s="55">
        <v>22616827</v>
      </c>
      <c r="N19" s="55">
        <v>4253109</v>
      </c>
      <c r="O19" s="55">
        <v>21800913</v>
      </c>
      <c r="P19" s="55">
        <v>57758866</v>
      </c>
      <c r="Q19" s="55">
        <v>44153466</v>
      </c>
      <c r="R19" s="55">
        <v>22666826</v>
      </c>
      <c r="S19" s="103">
        <f>SUM(K19:R19)</f>
        <v>202190853</v>
      </c>
      <c r="T19" s="102">
        <f t="shared" si="1"/>
        <v>0</v>
      </c>
      <c r="U19" s="54">
        <f t="shared" si="2"/>
        <v>0</v>
      </c>
      <c r="V19" s="55">
        <f t="shared" si="3"/>
        <v>0</v>
      </c>
      <c r="W19" s="55">
        <f t="shared" si="4"/>
        <v>0</v>
      </c>
      <c r="X19" s="55">
        <f t="shared" si="5"/>
        <v>0</v>
      </c>
      <c r="Y19" s="55">
        <f t="shared" si="6"/>
        <v>0</v>
      </c>
      <c r="Z19" s="55">
        <f t="shared" si="7"/>
        <v>0</v>
      </c>
      <c r="AA19" s="55">
        <f t="shared" si="8"/>
        <v>0</v>
      </c>
      <c r="AB19" s="103">
        <f>SUM(T19:AA19)</f>
        <v>0</v>
      </c>
    </row>
    <row r="20" spans="1:28" s="56" customFormat="1" ht="15.75">
      <c r="A20" s="59"/>
      <c r="B20" s="102"/>
      <c r="C20" s="54"/>
      <c r="D20" s="55"/>
      <c r="E20" s="55"/>
      <c r="F20" s="55"/>
      <c r="G20" s="55"/>
      <c r="H20" s="55"/>
      <c r="I20" s="55"/>
      <c r="J20" s="103"/>
      <c r="K20" s="102"/>
      <c r="L20" s="54"/>
      <c r="M20" s="55"/>
      <c r="N20" s="55"/>
      <c r="O20" s="55"/>
      <c r="P20" s="55"/>
      <c r="Q20" s="55"/>
      <c r="R20" s="55"/>
      <c r="S20" s="103"/>
      <c r="T20" s="102">
        <f t="shared" si="1"/>
        <v>0</v>
      </c>
      <c r="U20" s="54">
        <f t="shared" si="2"/>
        <v>0</v>
      </c>
      <c r="V20" s="55">
        <f t="shared" si="3"/>
        <v>0</v>
      </c>
      <c r="W20" s="55">
        <f t="shared" si="4"/>
        <v>0</v>
      </c>
      <c r="X20" s="55">
        <f t="shared" si="5"/>
        <v>0</v>
      </c>
      <c r="Y20" s="55">
        <f t="shared" si="6"/>
        <v>0</v>
      </c>
      <c r="Z20" s="55">
        <f t="shared" si="7"/>
        <v>0</v>
      </c>
      <c r="AA20" s="55">
        <f t="shared" si="8"/>
        <v>0</v>
      </c>
      <c r="AB20" s="103"/>
    </row>
    <row r="21" spans="1:28" ht="20.25" customHeight="1">
      <c r="A21" s="116" t="s">
        <v>92</v>
      </c>
      <c r="B21" s="102">
        <f aca="true" t="shared" si="10" ref="B21:J21">B22+B23</f>
        <v>329298220</v>
      </c>
      <c r="C21" s="54">
        <f t="shared" si="10"/>
        <v>32052633</v>
      </c>
      <c r="D21" s="54">
        <f t="shared" si="10"/>
        <v>245154107</v>
      </c>
      <c r="E21" s="54">
        <f t="shared" si="10"/>
        <v>209916150</v>
      </c>
      <c r="F21" s="54">
        <f t="shared" si="10"/>
        <v>105792574</v>
      </c>
      <c r="G21" s="54">
        <f t="shared" si="10"/>
        <v>170979365</v>
      </c>
      <c r="H21" s="54">
        <f t="shared" si="10"/>
        <v>104806911</v>
      </c>
      <c r="I21" s="54">
        <f t="shared" si="10"/>
        <v>59962596</v>
      </c>
      <c r="J21" s="106">
        <f t="shared" si="10"/>
        <v>1257962556</v>
      </c>
      <c r="K21" s="102">
        <f aca="true" t="shared" si="11" ref="K21:S21">K22+K23</f>
        <v>326264989</v>
      </c>
      <c r="L21" s="54">
        <f t="shared" si="11"/>
        <v>33921353</v>
      </c>
      <c r="M21" s="54">
        <f t="shared" si="11"/>
        <v>241605123</v>
      </c>
      <c r="N21" s="54">
        <f t="shared" si="11"/>
        <v>215393962</v>
      </c>
      <c r="O21" s="54">
        <f t="shared" si="11"/>
        <v>108182596</v>
      </c>
      <c r="P21" s="54">
        <f t="shared" si="11"/>
        <v>172919365</v>
      </c>
      <c r="Q21" s="54">
        <f>Q22+Q23</f>
        <v>106300198</v>
      </c>
      <c r="R21" s="54">
        <f t="shared" si="11"/>
        <v>60320277</v>
      </c>
      <c r="S21" s="106">
        <f t="shared" si="11"/>
        <v>1264907863</v>
      </c>
      <c r="T21" s="102">
        <f t="shared" si="1"/>
        <v>-3033231</v>
      </c>
      <c r="U21" s="54">
        <f t="shared" si="2"/>
        <v>1868720</v>
      </c>
      <c r="V21" s="54">
        <f t="shared" si="3"/>
        <v>-3548984</v>
      </c>
      <c r="W21" s="54">
        <f t="shared" si="4"/>
        <v>5477812</v>
      </c>
      <c r="X21" s="54">
        <f t="shared" si="5"/>
        <v>2390022</v>
      </c>
      <c r="Y21" s="54">
        <f t="shared" si="6"/>
        <v>1940000</v>
      </c>
      <c r="Z21" s="54">
        <f t="shared" si="7"/>
        <v>1493287</v>
      </c>
      <c r="AA21" s="54">
        <f t="shared" si="8"/>
        <v>357681</v>
      </c>
      <c r="AB21" s="106">
        <f>AB22+AB23</f>
        <v>6945307</v>
      </c>
    </row>
    <row r="22" spans="1:28" s="56" customFormat="1" ht="20.25" customHeight="1">
      <c r="A22" s="117" t="s">
        <v>93</v>
      </c>
      <c r="B22" s="102">
        <f aca="true" t="shared" si="12" ref="B22:I22">B24+B28</f>
        <v>284139848</v>
      </c>
      <c r="C22" s="54">
        <f t="shared" si="12"/>
        <v>23362711</v>
      </c>
      <c r="D22" s="54">
        <f t="shared" si="12"/>
        <v>219281497</v>
      </c>
      <c r="E22" s="54">
        <f t="shared" si="12"/>
        <v>189948279</v>
      </c>
      <c r="F22" s="54">
        <f t="shared" si="12"/>
        <v>96872496</v>
      </c>
      <c r="G22" s="54">
        <f t="shared" si="12"/>
        <v>154310474</v>
      </c>
      <c r="H22" s="54">
        <f t="shared" si="12"/>
        <v>93014567</v>
      </c>
      <c r="I22" s="54">
        <f t="shared" si="12"/>
        <v>51974580</v>
      </c>
      <c r="J22" s="103">
        <f>SUM(B22:I22)</f>
        <v>1112904452</v>
      </c>
      <c r="K22" s="102">
        <f aca="true" t="shared" si="13" ref="K22:R22">K24+K28</f>
        <v>276549580</v>
      </c>
      <c r="L22" s="54">
        <f t="shared" si="13"/>
        <v>23362711</v>
      </c>
      <c r="M22" s="54">
        <f t="shared" si="13"/>
        <v>211159444</v>
      </c>
      <c r="N22" s="54">
        <f t="shared" si="13"/>
        <v>186689716</v>
      </c>
      <c r="O22" s="54">
        <f t="shared" si="13"/>
        <v>94540007</v>
      </c>
      <c r="P22" s="54">
        <f t="shared" si="13"/>
        <v>151266450</v>
      </c>
      <c r="Q22" s="54">
        <f t="shared" si="13"/>
        <v>91288982</v>
      </c>
      <c r="R22" s="54">
        <f t="shared" si="13"/>
        <v>50916627</v>
      </c>
      <c r="S22" s="103">
        <f>SUM(K22:R22)</f>
        <v>1085773517</v>
      </c>
      <c r="T22" s="102">
        <f t="shared" si="1"/>
        <v>-7590268</v>
      </c>
      <c r="U22" s="54">
        <f t="shared" si="2"/>
        <v>0</v>
      </c>
      <c r="V22" s="54">
        <f t="shared" si="3"/>
        <v>-8122053</v>
      </c>
      <c r="W22" s="54">
        <f t="shared" si="4"/>
        <v>-3258563</v>
      </c>
      <c r="X22" s="54">
        <f t="shared" si="5"/>
        <v>-2332489</v>
      </c>
      <c r="Y22" s="54">
        <f t="shared" si="6"/>
        <v>-3044024</v>
      </c>
      <c r="Z22" s="54">
        <f t="shared" si="7"/>
        <v>-1725585</v>
      </c>
      <c r="AA22" s="54">
        <f t="shared" si="8"/>
        <v>-1057953</v>
      </c>
      <c r="AB22" s="103">
        <f>SUM(T22:AA22)</f>
        <v>-27130935</v>
      </c>
    </row>
    <row r="23" spans="1:28" ht="15.75">
      <c r="A23" s="116" t="s">
        <v>94</v>
      </c>
      <c r="B23" s="107">
        <f>45158372</f>
        <v>45158372</v>
      </c>
      <c r="C23" s="62">
        <f>8689922</f>
        <v>8689922</v>
      </c>
      <c r="D23" s="63">
        <f>25872610</f>
        <v>25872610</v>
      </c>
      <c r="E23" s="63">
        <f>19967871</f>
        <v>19967871</v>
      </c>
      <c r="F23" s="63">
        <f>8920078</f>
        <v>8920078</v>
      </c>
      <c r="G23" s="63">
        <f>16668891</f>
        <v>16668891</v>
      </c>
      <c r="H23" s="63">
        <f>11792344</f>
        <v>11792344</v>
      </c>
      <c r="I23" s="63">
        <f>7988016</f>
        <v>7988016</v>
      </c>
      <c r="J23" s="103">
        <f>SUM(B23:I23)</f>
        <v>145058104</v>
      </c>
      <c r="K23" s="107">
        <f>45158372+128953+2277121+1955004+195959</f>
        <v>49715409</v>
      </c>
      <c r="L23" s="62">
        <f>8689922+38368+865863+317126+647363</f>
        <v>10558642</v>
      </c>
      <c r="M23" s="63">
        <f>25872610+606479+2311016+1145522+510052</f>
        <v>30445679</v>
      </c>
      <c r="N23" s="63">
        <f>19967871+791+5556122+1817444+1362018</f>
        <v>28704246</v>
      </c>
      <c r="O23" s="63">
        <f>8920078+451901+2649910+1428712+191988</f>
        <v>13642589</v>
      </c>
      <c r="P23" s="63">
        <f>16668891+678677+2670669+689060+945618</f>
        <v>21652915</v>
      </c>
      <c r="Q23" s="63">
        <f>11792344+79438+2034645+622766+482023</f>
        <v>15011216</v>
      </c>
      <c r="R23" s="63">
        <f>7988016+71849+897874+366164+79747</f>
        <v>9403650</v>
      </c>
      <c r="S23" s="103">
        <f>SUM(K23:R23)</f>
        <v>179134346</v>
      </c>
      <c r="T23" s="107">
        <f t="shared" si="1"/>
        <v>4557037</v>
      </c>
      <c r="U23" s="62">
        <f t="shared" si="2"/>
        <v>1868720</v>
      </c>
      <c r="V23" s="63">
        <f t="shared" si="3"/>
        <v>4573069</v>
      </c>
      <c r="W23" s="63">
        <f t="shared" si="4"/>
        <v>8736375</v>
      </c>
      <c r="X23" s="63">
        <f t="shared" si="5"/>
        <v>4722511</v>
      </c>
      <c r="Y23" s="63">
        <f t="shared" si="6"/>
        <v>4984024</v>
      </c>
      <c r="Z23" s="63">
        <f t="shared" si="7"/>
        <v>3218872</v>
      </c>
      <c r="AA23" s="63">
        <f t="shared" si="8"/>
        <v>1415634</v>
      </c>
      <c r="AB23" s="103">
        <f>SUM(T23:AA23)</f>
        <v>34076242</v>
      </c>
    </row>
    <row r="24" spans="1:28" ht="15.75">
      <c r="A24" s="117" t="s">
        <v>95</v>
      </c>
      <c r="B24" s="107">
        <f aca="true" t="shared" si="14" ref="B24:J24">B26+B27</f>
        <v>259967988</v>
      </c>
      <c r="C24" s="62">
        <f t="shared" si="14"/>
        <v>21267653</v>
      </c>
      <c r="D24" s="62">
        <f t="shared" si="14"/>
        <v>200339754</v>
      </c>
      <c r="E24" s="62">
        <f t="shared" si="14"/>
        <v>171378762</v>
      </c>
      <c r="F24" s="62">
        <f t="shared" si="14"/>
        <v>89365338</v>
      </c>
      <c r="G24" s="62">
        <f t="shared" si="14"/>
        <v>144655313</v>
      </c>
      <c r="H24" s="62">
        <f t="shared" si="14"/>
        <v>88128457</v>
      </c>
      <c r="I24" s="62">
        <f t="shared" si="14"/>
        <v>49043804</v>
      </c>
      <c r="J24" s="106">
        <f t="shared" si="14"/>
        <v>1024147069</v>
      </c>
      <c r="K24" s="107">
        <f aca="true" t="shared" si="15" ref="K24:AB24">K26+K27</f>
        <v>252377720</v>
      </c>
      <c r="L24" s="62">
        <f t="shared" si="15"/>
        <v>21267653</v>
      </c>
      <c r="M24" s="62">
        <f t="shared" si="15"/>
        <v>193452770</v>
      </c>
      <c r="N24" s="62">
        <f t="shared" si="15"/>
        <v>169100199</v>
      </c>
      <c r="O24" s="62">
        <f t="shared" si="15"/>
        <v>87032849</v>
      </c>
      <c r="P24" s="62">
        <f t="shared" si="15"/>
        <v>141611289</v>
      </c>
      <c r="Q24" s="62">
        <f t="shared" si="15"/>
        <v>86402872</v>
      </c>
      <c r="R24" s="62">
        <f t="shared" si="15"/>
        <v>48044811</v>
      </c>
      <c r="S24" s="106">
        <f t="shared" si="15"/>
        <v>999290163</v>
      </c>
      <c r="T24" s="107">
        <f t="shared" si="1"/>
        <v>-7590268</v>
      </c>
      <c r="U24" s="62">
        <f t="shared" si="2"/>
        <v>0</v>
      </c>
      <c r="V24" s="62">
        <f t="shared" si="3"/>
        <v>-6886984</v>
      </c>
      <c r="W24" s="62">
        <f t="shared" si="4"/>
        <v>-2278563</v>
      </c>
      <c r="X24" s="62">
        <f t="shared" si="5"/>
        <v>-2332489</v>
      </c>
      <c r="Y24" s="62">
        <f t="shared" si="6"/>
        <v>-3044024</v>
      </c>
      <c r="Z24" s="62">
        <f t="shared" si="7"/>
        <v>-1725585</v>
      </c>
      <c r="AA24" s="62">
        <f t="shared" si="8"/>
        <v>-998993</v>
      </c>
      <c r="AB24" s="106">
        <f t="shared" si="15"/>
        <v>-24856906</v>
      </c>
    </row>
    <row r="25" spans="1:28" ht="15.75" hidden="1">
      <c r="A25" s="117" t="s">
        <v>96</v>
      </c>
      <c r="B25" s="107">
        <v>0.9149</v>
      </c>
      <c r="C25" s="62">
        <v>0.9103</v>
      </c>
      <c r="D25" s="63">
        <v>0.9136</v>
      </c>
      <c r="E25" s="63">
        <v>0.9022</v>
      </c>
      <c r="F25" s="63">
        <v>0.9225</v>
      </c>
      <c r="G25" s="63">
        <v>0.9374</v>
      </c>
      <c r="H25" s="63">
        <v>0.9475</v>
      </c>
      <c r="I25" s="63">
        <v>0.9436</v>
      </c>
      <c r="J25" s="103">
        <f>SUM(B25:I25)</f>
        <v>7.392</v>
      </c>
      <c r="K25" s="107">
        <v>0.9149</v>
      </c>
      <c r="L25" s="62">
        <v>0.9103</v>
      </c>
      <c r="M25" s="63">
        <v>0.9136</v>
      </c>
      <c r="N25" s="63">
        <v>0.9022</v>
      </c>
      <c r="O25" s="63">
        <v>0.9225</v>
      </c>
      <c r="P25" s="63">
        <v>0.9374</v>
      </c>
      <c r="Q25" s="63">
        <v>0.9475</v>
      </c>
      <c r="R25" s="63">
        <v>0.9436</v>
      </c>
      <c r="S25" s="103">
        <f>SUM(K25:R25)</f>
        <v>7.392</v>
      </c>
      <c r="T25" s="107">
        <f t="shared" si="1"/>
        <v>0</v>
      </c>
      <c r="U25" s="62">
        <f t="shared" si="2"/>
        <v>0</v>
      </c>
      <c r="V25" s="63">
        <f t="shared" si="3"/>
        <v>0</v>
      </c>
      <c r="W25" s="63">
        <f t="shared" si="4"/>
        <v>0</v>
      </c>
      <c r="X25" s="63">
        <f t="shared" si="5"/>
        <v>0</v>
      </c>
      <c r="Y25" s="63">
        <f t="shared" si="6"/>
        <v>0</v>
      </c>
      <c r="Z25" s="63">
        <f t="shared" si="7"/>
        <v>0</v>
      </c>
      <c r="AA25" s="63">
        <f t="shared" si="8"/>
        <v>0</v>
      </c>
      <c r="AB25" s="103">
        <f>SUM(T25:AA25)</f>
        <v>0</v>
      </c>
    </row>
    <row r="26" spans="1:28" ht="60">
      <c r="A26" s="118" t="s">
        <v>97</v>
      </c>
      <c r="B26" s="107">
        <f>242928598</f>
        <v>242928598</v>
      </c>
      <c r="C26" s="62">
        <v>19038461</v>
      </c>
      <c r="D26" s="63">
        <f>189770037</f>
        <v>189770037</v>
      </c>
      <c r="E26" s="63">
        <f>161282331</f>
        <v>161282331</v>
      </c>
      <c r="F26" s="63">
        <f>84657042</f>
        <v>84657042</v>
      </c>
      <c r="G26" s="63">
        <f>133807845</f>
        <v>133807845</v>
      </c>
      <c r="H26" s="63">
        <f>82051311</f>
        <v>82051311</v>
      </c>
      <c r="I26" s="63">
        <f>46793532</f>
        <v>46793532</v>
      </c>
      <c r="J26" s="103">
        <f>SUM(B26:I26)</f>
        <v>960329157</v>
      </c>
      <c r="K26" s="107">
        <f>242928598-7590268</f>
        <v>235338330</v>
      </c>
      <c r="L26" s="62">
        <v>19038461</v>
      </c>
      <c r="M26" s="63">
        <f>189770037-8122053</f>
        <v>181647984</v>
      </c>
      <c r="N26" s="63">
        <f>161282331-3258563</f>
        <v>158023768</v>
      </c>
      <c r="O26" s="63">
        <f>84657042-2332489</f>
        <v>82324553</v>
      </c>
      <c r="P26" s="63">
        <f>133807845-3044024</f>
        <v>130763821</v>
      </c>
      <c r="Q26" s="63">
        <f>82051311-1725585</f>
        <v>80325726</v>
      </c>
      <c r="R26" s="63">
        <f>46793532-1057953</f>
        <v>45735579</v>
      </c>
      <c r="S26" s="103">
        <f>SUM(K26:R26)</f>
        <v>933198222</v>
      </c>
      <c r="T26" s="107">
        <f t="shared" si="1"/>
        <v>-7590268</v>
      </c>
      <c r="U26" s="62">
        <f t="shared" si="2"/>
        <v>0</v>
      </c>
      <c r="V26" s="63">
        <f t="shared" si="3"/>
        <v>-8122053</v>
      </c>
      <c r="W26" s="63">
        <f t="shared" si="4"/>
        <v>-3258563</v>
      </c>
      <c r="X26" s="63">
        <f t="shared" si="5"/>
        <v>-2332489</v>
      </c>
      <c r="Y26" s="63">
        <f t="shared" si="6"/>
        <v>-3044024</v>
      </c>
      <c r="Z26" s="63">
        <f t="shared" si="7"/>
        <v>-1725585</v>
      </c>
      <c r="AA26" s="63">
        <f t="shared" si="8"/>
        <v>-1057953</v>
      </c>
      <c r="AB26" s="103">
        <f>SUM(T26:AA26)</f>
        <v>-27130935</v>
      </c>
    </row>
    <row r="27" spans="1:28" ht="15.75">
      <c r="A27" s="117" t="s">
        <v>98</v>
      </c>
      <c r="B27" s="107">
        <v>17039390</v>
      </c>
      <c r="C27" s="62">
        <v>2229192</v>
      </c>
      <c r="D27" s="63">
        <f>10569717</f>
        <v>10569717</v>
      </c>
      <c r="E27" s="63">
        <f>10096431</f>
        <v>10096431</v>
      </c>
      <c r="F27" s="63">
        <v>4708296</v>
      </c>
      <c r="G27" s="63">
        <v>10847468</v>
      </c>
      <c r="H27" s="63">
        <v>6077146</v>
      </c>
      <c r="I27" s="63">
        <f>2250272</f>
        <v>2250272</v>
      </c>
      <c r="J27" s="103">
        <f>SUM(B27:I27)</f>
        <v>63817912</v>
      </c>
      <c r="K27" s="107">
        <v>17039390</v>
      </c>
      <c r="L27" s="62">
        <v>2229192</v>
      </c>
      <c r="M27" s="63">
        <f>10569717+1235069</f>
        <v>11804786</v>
      </c>
      <c r="N27" s="63">
        <f>10096431+980000</f>
        <v>11076431</v>
      </c>
      <c r="O27" s="63">
        <v>4708296</v>
      </c>
      <c r="P27" s="63">
        <v>10847468</v>
      </c>
      <c r="Q27" s="63">
        <v>6077146</v>
      </c>
      <c r="R27" s="63">
        <f>2250272+20560+38400</f>
        <v>2309232</v>
      </c>
      <c r="S27" s="103">
        <f>SUM(K27:R27)</f>
        <v>66091941</v>
      </c>
      <c r="T27" s="107">
        <f t="shared" si="1"/>
        <v>0</v>
      </c>
      <c r="U27" s="62">
        <f t="shared" si="2"/>
        <v>0</v>
      </c>
      <c r="V27" s="63">
        <f t="shared" si="3"/>
        <v>1235069</v>
      </c>
      <c r="W27" s="63">
        <f t="shared" si="4"/>
        <v>980000</v>
      </c>
      <c r="X27" s="63">
        <f t="shared" si="5"/>
        <v>0</v>
      </c>
      <c r="Y27" s="63">
        <f t="shared" si="6"/>
        <v>0</v>
      </c>
      <c r="Z27" s="63">
        <f t="shared" si="7"/>
        <v>0</v>
      </c>
      <c r="AA27" s="63">
        <f t="shared" si="8"/>
        <v>58960</v>
      </c>
      <c r="AB27" s="103">
        <f>SUM(T27:AA27)</f>
        <v>2274029</v>
      </c>
    </row>
    <row r="28" spans="1:28" ht="17.25" customHeight="1">
      <c r="A28" s="117" t="s">
        <v>99</v>
      </c>
      <c r="B28" s="107">
        <v>24171860</v>
      </c>
      <c r="C28" s="62">
        <v>2095058</v>
      </c>
      <c r="D28" s="63">
        <f>18941743</f>
        <v>18941743</v>
      </c>
      <c r="E28" s="63">
        <f>18569517</f>
        <v>18569517</v>
      </c>
      <c r="F28" s="63">
        <v>7507158</v>
      </c>
      <c r="G28" s="63">
        <v>9655161</v>
      </c>
      <c r="H28" s="63">
        <v>4886110</v>
      </c>
      <c r="I28" s="63">
        <f>2930776</f>
        <v>2930776</v>
      </c>
      <c r="J28" s="103">
        <f>SUM(B28:I28)</f>
        <v>88757383</v>
      </c>
      <c r="K28" s="107">
        <v>24171860</v>
      </c>
      <c r="L28" s="62">
        <v>2095058</v>
      </c>
      <c r="M28" s="63">
        <f>18941743-1235069</f>
        <v>17706674</v>
      </c>
      <c r="N28" s="63">
        <f>18569517-980000</f>
        <v>17589517</v>
      </c>
      <c r="O28" s="63">
        <v>7507158</v>
      </c>
      <c r="P28" s="63">
        <v>9655161</v>
      </c>
      <c r="Q28" s="63">
        <v>4886110</v>
      </c>
      <c r="R28" s="63">
        <f>2930776-20560-38400</f>
        <v>2871816</v>
      </c>
      <c r="S28" s="103">
        <f>SUM(K28:R28)</f>
        <v>86483354</v>
      </c>
      <c r="T28" s="107">
        <f t="shared" si="1"/>
        <v>0</v>
      </c>
      <c r="U28" s="62">
        <f t="shared" si="2"/>
        <v>0</v>
      </c>
      <c r="V28" s="63">
        <f t="shared" si="3"/>
        <v>-1235069</v>
      </c>
      <c r="W28" s="63">
        <f t="shared" si="4"/>
        <v>-980000</v>
      </c>
      <c r="X28" s="63">
        <f t="shared" si="5"/>
        <v>0</v>
      </c>
      <c r="Y28" s="63">
        <f t="shared" si="6"/>
        <v>0</v>
      </c>
      <c r="Z28" s="63">
        <f t="shared" si="7"/>
        <v>0</v>
      </c>
      <c r="AA28" s="63">
        <f t="shared" si="8"/>
        <v>-58960</v>
      </c>
      <c r="AB28" s="103">
        <f>SUM(T28:AA28)</f>
        <v>-2274029</v>
      </c>
    </row>
    <row r="29" spans="1:28" ht="17.25" customHeight="1">
      <c r="A29" s="117"/>
      <c r="B29" s="107"/>
      <c r="C29" s="62"/>
      <c r="D29" s="63"/>
      <c r="E29" s="63"/>
      <c r="F29" s="63"/>
      <c r="G29" s="63"/>
      <c r="H29" s="63"/>
      <c r="I29" s="63"/>
      <c r="J29" s="103"/>
      <c r="K29" s="107"/>
      <c r="L29" s="62"/>
      <c r="M29" s="63"/>
      <c r="N29" s="63"/>
      <c r="O29" s="63"/>
      <c r="P29" s="63"/>
      <c r="Q29" s="63"/>
      <c r="R29" s="63"/>
      <c r="S29" s="103"/>
      <c r="T29" s="107">
        <f t="shared" si="1"/>
        <v>0</v>
      </c>
      <c r="U29" s="62">
        <f t="shared" si="2"/>
        <v>0</v>
      </c>
      <c r="V29" s="63">
        <f t="shared" si="3"/>
        <v>0</v>
      </c>
      <c r="W29" s="63">
        <f t="shared" si="4"/>
        <v>0</v>
      </c>
      <c r="X29" s="63">
        <f t="shared" si="5"/>
        <v>0</v>
      </c>
      <c r="Y29" s="63">
        <f t="shared" si="6"/>
        <v>0</v>
      </c>
      <c r="Z29" s="63">
        <f t="shared" si="7"/>
        <v>0</v>
      </c>
      <c r="AA29" s="63">
        <f t="shared" si="8"/>
        <v>0</v>
      </c>
      <c r="AB29" s="103"/>
    </row>
    <row r="30" spans="1:28" s="79" customFormat="1" ht="17.25" customHeight="1">
      <c r="A30" s="116" t="s">
        <v>100</v>
      </c>
      <c r="B30" s="102"/>
      <c r="C30" s="54"/>
      <c r="D30" s="54"/>
      <c r="E30" s="54"/>
      <c r="F30" s="54"/>
      <c r="G30" s="54"/>
      <c r="H30" s="54"/>
      <c r="I30" s="54"/>
      <c r="J30" s="106"/>
      <c r="K30" s="102"/>
      <c r="L30" s="54"/>
      <c r="M30" s="54"/>
      <c r="N30" s="54"/>
      <c r="O30" s="54"/>
      <c r="P30" s="54"/>
      <c r="Q30" s="54"/>
      <c r="R30" s="54"/>
      <c r="S30" s="106"/>
      <c r="T30" s="102">
        <f t="shared" si="1"/>
        <v>0</v>
      </c>
      <c r="U30" s="54">
        <f t="shared" si="2"/>
        <v>0</v>
      </c>
      <c r="V30" s="54">
        <f t="shared" si="3"/>
        <v>0</v>
      </c>
      <c r="W30" s="54">
        <f t="shared" si="4"/>
        <v>0</v>
      </c>
      <c r="X30" s="54">
        <f t="shared" si="5"/>
        <v>0</v>
      </c>
      <c r="Y30" s="54">
        <f t="shared" si="6"/>
        <v>0</v>
      </c>
      <c r="Z30" s="54">
        <f t="shared" si="7"/>
        <v>0</v>
      </c>
      <c r="AA30" s="54">
        <f t="shared" si="8"/>
        <v>0</v>
      </c>
      <c r="AB30" s="106"/>
    </row>
    <row r="31" spans="1:28" ht="15.75">
      <c r="A31" s="61" t="s">
        <v>81</v>
      </c>
      <c r="B31" s="107">
        <f aca="true" t="shared" si="16" ref="B31:J31">SUM(B32:B34)</f>
        <v>0</v>
      </c>
      <c r="C31" s="62">
        <f t="shared" si="16"/>
        <v>0</v>
      </c>
      <c r="D31" s="62">
        <f t="shared" si="16"/>
        <v>0</v>
      </c>
      <c r="E31" s="62">
        <f t="shared" si="16"/>
        <v>0</v>
      </c>
      <c r="F31" s="62">
        <f t="shared" si="16"/>
        <v>0</v>
      </c>
      <c r="G31" s="62">
        <f t="shared" si="16"/>
        <v>0</v>
      </c>
      <c r="H31" s="62">
        <f t="shared" si="16"/>
        <v>0</v>
      </c>
      <c r="I31" s="62">
        <f t="shared" si="16"/>
        <v>0</v>
      </c>
      <c r="J31" s="109">
        <f t="shared" si="16"/>
        <v>0</v>
      </c>
      <c r="K31" s="107">
        <f aca="true" t="shared" si="17" ref="K31:S31">SUM(K32:K34)</f>
        <v>128953</v>
      </c>
      <c r="L31" s="62">
        <f t="shared" si="17"/>
        <v>38368</v>
      </c>
      <c r="M31" s="62">
        <f t="shared" si="17"/>
        <v>606479</v>
      </c>
      <c r="N31" s="62">
        <f t="shared" si="17"/>
        <v>791</v>
      </c>
      <c r="O31" s="62">
        <f t="shared" si="17"/>
        <v>451901</v>
      </c>
      <c r="P31" s="62">
        <f t="shared" si="17"/>
        <v>678677</v>
      </c>
      <c r="Q31" s="62">
        <f>SUM(Q32:Q35)</f>
        <v>79438</v>
      </c>
      <c r="R31" s="62">
        <f t="shared" si="17"/>
        <v>71849</v>
      </c>
      <c r="S31" s="109">
        <f t="shared" si="17"/>
        <v>2054731</v>
      </c>
      <c r="T31" s="107">
        <f t="shared" si="1"/>
        <v>128953</v>
      </c>
      <c r="U31" s="62">
        <f t="shared" si="2"/>
        <v>38368</v>
      </c>
      <c r="V31" s="62">
        <f t="shared" si="3"/>
        <v>606479</v>
      </c>
      <c r="W31" s="62">
        <f t="shared" si="4"/>
        <v>791</v>
      </c>
      <c r="X31" s="62">
        <f t="shared" si="5"/>
        <v>451901</v>
      </c>
      <c r="Y31" s="62">
        <f t="shared" si="6"/>
        <v>678677</v>
      </c>
      <c r="Z31" s="62">
        <f t="shared" si="7"/>
        <v>79438</v>
      </c>
      <c r="AA31" s="62">
        <f t="shared" si="8"/>
        <v>71849</v>
      </c>
      <c r="AB31" s="109">
        <f>SUM(AB32:AB34)</f>
        <v>2054731</v>
      </c>
    </row>
    <row r="32" spans="1:28" ht="31.5">
      <c r="A32" s="61" t="s">
        <v>61</v>
      </c>
      <c r="B32" s="107"/>
      <c r="C32" s="62"/>
      <c r="D32" s="63"/>
      <c r="E32" s="63"/>
      <c r="F32" s="63"/>
      <c r="G32" s="63"/>
      <c r="H32" s="63"/>
      <c r="I32" s="63"/>
      <c r="J32" s="108">
        <f>SUM(B32:I32)</f>
        <v>0</v>
      </c>
      <c r="K32" s="107">
        <v>0</v>
      </c>
      <c r="L32" s="62">
        <v>0</v>
      </c>
      <c r="M32" s="63">
        <v>0</v>
      </c>
      <c r="N32" s="63">
        <v>791</v>
      </c>
      <c r="O32" s="63"/>
      <c r="P32" s="63">
        <v>672694</v>
      </c>
      <c r="Q32" s="63">
        <v>70531</v>
      </c>
      <c r="R32" s="63">
        <v>328</v>
      </c>
      <c r="S32" s="108">
        <f>SUM(K32:R32)</f>
        <v>744344</v>
      </c>
      <c r="T32" s="107">
        <f t="shared" si="1"/>
        <v>0</v>
      </c>
      <c r="U32" s="62">
        <f t="shared" si="2"/>
        <v>0</v>
      </c>
      <c r="V32" s="63">
        <f t="shared" si="3"/>
        <v>0</v>
      </c>
      <c r="W32" s="63">
        <f t="shared" si="4"/>
        <v>791</v>
      </c>
      <c r="X32" s="63">
        <f t="shared" si="5"/>
        <v>0</v>
      </c>
      <c r="Y32" s="63">
        <f t="shared" si="6"/>
        <v>672694</v>
      </c>
      <c r="Z32" s="63">
        <f t="shared" si="7"/>
        <v>70531</v>
      </c>
      <c r="AA32" s="63">
        <f t="shared" si="8"/>
        <v>328</v>
      </c>
      <c r="AB32" s="108">
        <f>SUM(T32:AA32)</f>
        <v>744344</v>
      </c>
    </row>
    <row r="33" spans="1:28" ht="31.5">
      <c r="A33" s="61" t="s">
        <v>62</v>
      </c>
      <c r="B33" s="107"/>
      <c r="C33" s="62"/>
      <c r="D33" s="63"/>
      <c r="E33" s="63"/>
      <c r="F33" s="63"/>
      <c r="G33" s="63"/>
      <c r="H33" s="63"/>
      <c r="I33" s="63"/>
      <c r="J33" s="108">
        <f>SUM(B33:I33)</f>
        <v>0</v>
      </c>
      <c r="K33" s="107">
        <v>156</v>
      </c>
      <c r="L33" s="62">
        <v>20390</v>
      </c>
      <c r="M33" s="63">
        <v>163664</v>
      </c>
      <c r="N33" s="63">
        <v>0</v>
      </c>
      <c r="O33" s="63">
        <v>425169</v>
      </c>
      <c r="P33" s="63">
        <v>5970</v>
      </c>
      <c r="Q33" s="63">
        <f>7182</f>
        <v>7182</v>
      </c>
      <c r="R33" s="63"/>
      <c r="S33" s="108">
        <f>SUM(K33:R33)</f>
        <v>622531</v>
      </c>
      <c r="T33" s="107">
        <f t="shared" si="1"/>
        <v>156</v>
      </c>
      <c r="U33" s="62">
        <f t="shared" si="2"/>
        <v>20390</v>
      </c>
      <c r="V33" s="63">
        <f t="shared" si="3"/>
        <v>163664</v>
      </c>
      <c r="W33" s="63">
        <f t="shared" si="4"/>
        <v>0</v>
      </c>
      <c r="X33" s="63">
        <f t="shared" si="5"/>
        <v>425169</v>
      </c>
      <c r="Y33" s="63">
        <f t="shared" si="6"/>
        <v>5970</v>
      </c>
      <c r="Z33" s="63">
        <f t="shared" si="7"/>
        <v>7182</v>
      </c>
      <c r="AA33" s="63">
        <f t="shared" si="8"/>
        <v>0</v>
      </c>
      <c r="AB33" s="108">
        <f>SUM(T33:AA33)</f>
        <v>622531</v>
      </c>
    </row>
    <row r="34" spans="1:28" ht="15.75">
      <c r="A34" s="61" t="s">
        <v>64</v>
      </c>
      <c r="B34" s="107"/>
      <c r="C34" s="62"/>
      <c r="D34" s="63"/>
      <c r="E34" s="63"/>
      <c r="F34" s="63"/>
      <c r="G34" s="63"/>
      <c r="H34" s="63"/>
      <c r="I34" s="63"/>
      <c r="J34" s="108">
        <f>SUM(B34:I34)</f>
        <v>0</v>
      </c>
      <c r="K34" s="107">
        <v>128797</v>
      </c>
      <c r="L34" s="62">
        <v>17978</v>
      </c>
      <c r="M34" s="63">
        <v>442815</v>
      </c>
      <c r="N34" s="63"/>
      <c r="O34" s="63">
        <v>26732</v>
      </c>
      <c r="P34" s="63">
        <v>13</v>
      </c>
      <c r="Q34" s="63">
        <v>0</v>
      </c>
      <c r="R34" s="63">
        <v>71521</v>
      </c>
      <c r="S34" s="108">
        <f>SUM(K34:R34)</f>
        <v>687856</v>
      </c>
      <c r="T34" s="107">
        <f t="shared" si="1"/>
        <v>128797</v>
      </c>
      <c r="U34" s="62">
        <f t="shared" si="2"/>
        <v>17978</v>
      </c>
      <c r="V34" s="63">
        <f t="shared" si="3"/>
        <v>442815</v>
      </c>
      <c r="W34" s="63">
        <f t="shared" si="4"/>
        <v>0</v>
      </c>
      <c r="X34" s="63">
        <f t="shared" si="5"/>
        <v>26732</v>
      </c>
      <c r="Y34" s="63">
        <f t="shared" si="6"/>
        <v>13</v>
      </c>
      <c r="Z34" s="63">
        <f t="shared" si="7"/>
        <v>0</v>
      </c>
      <c r="AA34" s="63">
        <f t="shared" si="8"/>
        <v>71521</v>
      </c>
      <c r="AB34" s="108">
        <f>SUM(T34:AA34)</f>
        <v>687856</v>
      </c>
    </row>
    <row r="35" spans="1:28" ht="28.5" customHeight="1">
      <c r="A35" s="61" t="s">
        <v>125</v>
      </c>
      <c r="B35" s="102"/>
      <c r="C35" s="54"/>
      <c r="D35" s="55"/>
      <c r="E35" s="55"/>
      <c r="F35" s="55"/>
      <c r="G35" s="55"/>
      <c r="H35" s="55"/>
      <c r="I35" s="55"/>
      <c r="J35" s="103"/>
      <c r="K35" s="102"/>
      <c r="L35" s="54"/>
      <c r="M35" s="55"/>
      <c r="N35" s="55"/>
      <c r="O35" s="55"/>
      <c r="P35" s="55"/>
      <c r="Q35" s="63">
        <v>1725</v>
      </c>
      <c r="R35" s="55"/>
      <c r="S35" s="103"/>
      <c r="T35" s="102">
        <f t="shared" si="1"/>
        <v>0</v>
      </c>
      <c r="U35" s="54">
        <f t="shared" si="2"/>
        <v>0</v>
      </c>
      <c r="V35" s="55">
        <f t="shared" si="3"/>
        <v>0</v>
      </c>
      <c r="W35" s="55">
        <f t="shared" si="4"/>
        <v>0</v>
      </c>
      <c r="X35" s="55">
        <f t="shared" si="5"/>
        <v>0</v>
      </c>
      <c r="Y35" s="55">
        <f t="shared" si="6"/>
        <v>0</v>
      </c>
      <c r="Z35" s="55">
        <f t="shared" si="7"/>
        <v>1725</v>
      </c>
      <c r="AA35" s="55">
        <f t="shared" si="8"/>
        <v>0</v>
      </c>
      <c r="AB35" s="103"/>
    </row>
    <row r="36" spans="1:28" ht="21" customHeight="1">
      <c r="A36" s="58" t="s">
        <v>86</v>
      </c>
      <c r="B36" s="102"/>
      <c r="C36" s="54"/>
      <c r="D36" s="55"/>
      <c r="E36" s="55"/>
      <c r="F36" s="55"/>
      <c r="G36" s="55"/>
      <c r="H36" s="55"/>
      <c r="I36" s="55"/>
      <c r="J36" s="103"/>
      <c r="K36" s="102"/>
      <c r="L36" s="54"/>
      <c r="M36" s="55"/>
      <c r="N36" s="55"/>
      <c r="O36" s="55"/>
      <c r="P36" s="55"/>
      <c r="Q36" s="55"/>
      <c r="R36" s="55"/>
      <c r="S36" s="103"/>
      <c r="T36" s="102">
        <f t="shared" si="1"/>
        <v>0</v>
      </c>
      <c r="U36" s="54">
        <f t="shared" si="2"/>
        <v>0</v>
      </c>
      <c r="V36" s="55">
        <f t="shared" si="3"/>
        <v>0</v>
      </c>
      <c r="W36" s="55">
        <f t="shared" si="4"/>
        <v>0</v>
      </c>
      <c r="X36" s="55">
        <f t="shared" si="5"/>
        <v>0</v>
      </c>
      <c r="Y36" s="55">
        <f t="shared" si="6"/>
        <v>0</v>
      </c>
      <c r="Z36" s="55">
        <f t="shared" si="7"/>
        <v>0</v>
      </c>
      <c r="AA36" s="55">
        <f t="shared" si="8"/>
        <v>0</v>
      </c>
      <c r="AB36" s="103"/>
    </row>
    <row r="37" spans="1:28" s="56" customFormat="1" ht="15.75">
      <c r="A37" s="53" t="s">
        <v>67</v>
      </c>
      <c r="B37" s="102">
        <f aca="true" t="shared" si="18" ref="B37:J37">B38+B39</f>
        <v>0</v>
      </c>
      <c r="C37" s="54">
        <f t="shared" si="18"/>
        <v>0</v>
      </c>
      <c r="D37" s="54">
        <f t="shared" si="18"/>
        <v>0</v>
      </c>
      <c r="E37" s="54">
        <f t="shared" si="18"/>
        <v>0</v>
      </c>
      <c r="F37" s="54">
        <f t="shared" si="18"/>
        <v>0</v>
      </c>
      <c r="G37" s="54">
        <f t="shared" si="18"/>
        <v>0</v>
      </c>
      <c r="H37" s="54">
        <f t="shared" si="18"/>
        <v>0</v>
      </c>
      <c r="I37" s="54">
        <f t="shared" si="18"/>
        <v>0</v>
      </c>
      <c r="J37" s="106">
        <f t="shared" si="18"/>
        <v>0</v>
      </c>
      <c r="K37" s="102">
        <f aca="true" t="shared" si="19" ref="K37:S37">K38+K39</f>
        <v>4311978</v>
      </c>
      <c r="L37" s="54">
        <f t="shared" si="19"/>
        <v>915972</v>
      </c>
      <c r="M37" s="54">
        <f t="shared" si="19"/>
        <v>2411256</v>
      </c>
      <c r="N37" s="54">
        <f t="shared" si="19"/>
        <v>18787533</v>
      </c>
      <c r="O37" s="54">
        <f t="shared" si="19"/>
        <v>2882720</v>
      </c>
      <c r="P37" s="54">
        <f t="shared" si="19"/>
        <v>3663740</v>
      </c>
      <c r="Q37" s="54">
        <f t="shared" si="19"/>
        <v>2236230</v>
      </c>
      <c r="R37" s="54">
        <f t="shared" si="19"/>
        <v>1229950</v>
      </c>
      <c r="S37" s="106">
        <f t="shared" si="19"/>
        <v>36439379</v>
      </c>
      <c r="T37" s="102">
        <f t="shared" si="1"/>
        <v>4311978</v>
      </c>
      <c r="U37" s="54">
        <f t="shared" si="2"/>
        <v>915972</v>
      </c>
      <c r="V37" s="54">
        <f t="shared" si="3"/>
        <v>2411256</v>
      </c>
      <c r="W37" s="54">
        <f t="shared" si="4"/>
        <v>18787533</v>
      </c>
      <c r="X37" s="54">
        <f t="shared" si="5"/>
        <v>2882720</v>
      </c>
      <c r="Y37" s="54">
        <f t="shared" si="6"/>
        <v>3663740</v>
      </c>
      <c r="Z37" s="54">
        <f t="shared" si="7"/>
        <v>2236230</v>
      </c>
      <c r="AA37" s="54">
        <f t="shared" si="8"/>
        <v>1229950</v>
      </c>
      <c r="AB37" s="106">
        <f>AB38+AB39</f>
        <v>36439379</v>
      </c>
    </row>
    <row r="38" spans="1:28" ht="15.75" customHeight="1">
      <c r="A38" s="58" t="s">
        <v>82</v>
      </c>
      <c r="B38" s="119"/>
      <c r="C38" s="120"/>
      <c r="D38" s="120"/>
      <c r="E38" s="55"/>
      <c r="F38" s="55"/>
      <c r="G38" s="55"/>
      <c r="H38" s="55"/>
      <c r="I38" s="55"/>
      <c r="J38" s="103">
        <f>SUM(B38:I38)</f>
        <v>0</v>
      </c>
      <c r="K38" s="119">
        <v>2034857</v>
      </c>
      <c r="L38" s="120">
        <v>50109</v>
      </c>
      <c r="M38" s="120">
        <v>100240</v>
      </c>
      <c r="N38" s="55">
        <v>13231411</v>
      </c>
      <c r="O38" s="55">
        <v>232810</v>
      </c>
      <c r="P38" s="55">
        <v>993071</v>
      </c>
      <c r="Q38" s="55">
        <v>201585</v>
      </c>
      <c r="R38" s="55">
        <v>332076</v>
      </c>
      <c r="S38" s="103">
        <f>SUM(K38:R38)</f>
        <v>17176159</v>
      </c>
      <c r="T38" s="119">
        <f t="shared" si="1"/>
        <v>2034857</v>
      </c>
      <c r="U38" s="120">
        <f t="shared" si="2"/>
        <v>50109</v>
      </c>
      <c r="V38" s="120">
        <f t="shared" si="3"/>
        <v>100240</v>
      </c>
      <c r="W38" s="55">
        <f t="shared" si="4"/>
        <v>13231411</v>
      </c>
      <c r="X38" s="55">
        <f t="shared" si="5"/>
        <v>232810</v>
      </c>
      <c r="Y38" s="55">
        <f t="shared" si="6"/>
        <v>993071</v>
      </c>
      <c r="Z38" s="55">
        <f t="shared" si="7"/>
        <v>201585</v>
      </c>
      <c r="AA38" s="55">
        <f t="shared" si="8"/>
        <v>332076</v>
      </c>
      <c r="AB38" s="103">
        <f>SUM(T38:AA38)</f>
        <v>17176159</v>
      </c>
    </row>
    <row r="39" spans="1:28" ht="15.75">
      <c r="A39" s="58" t="s">
        <v>84</v>
      </c>
      <c r="B39" s="107">
        <f>SUM(B40:B49)</f>
        <v>0</v>
      </c>
      <c r="C39" s="62">
        <f>SUM(C40:C49)</f>
        <v>0</v>
      </c>
      <c r="D39" s="62">
        <f aca="true" t="shared" si="20" ref="D39:J39">SUM(D40:D50)</f>
        <v>0</v>
      </c>
      <c r="E39" s="62">
        <f t="shared" si="20"/>
        <v>0</v>
      </c>
      <c r="F39" s="62">
        <f t="shared" si="20"/>
        <v>0</v>
      </c>
      <c r="G39" s="62">
        <f t="shared" si="20"/>
        <v>0</v>
      </c>
      <c r="H39" s="62">
        <f t="shared" si="20"/>
        <v>0</v>
      </c>
      <c r="I39" s="62">
        <f t="shared" si="20"/>
        <v>0</v>
      </c>
      <c r="J39" s="109">
        <f t="shared" si="20"/>
        <v>0</v>
      </c>
      <c r="K39" s="107">
        <f>SUM(K40:K49)</f>
        <v>2277121</v>
      </c>
      <c r="L39" s="62">
        <f>SUM(L40:L49)</f>
        <v>865863</v>
      </c>
      <c r="M39" s="62">
        <f aca="true" t="shared" si="21" ref="M39:S39">SUM(M40:M50)</f>
        <v>2311016</v>
      </c>
      <c r="N39" s="62">
        <f t="shared" si="21"/>
        <v>5556122</v>
      </c>
      <c r="O39" s="62">
        <f t="shared" si="21"/>
        <v>2649910</v>
      </c>
      <c r="P39" s="62">
        <f t="shared" si="21"/>
        <v>2670669</v>
      </c>
      <c r="Q39" s="62">
        <f t="shared" si="21"/>
        <v>2034645</v>
      </c>
      <c r="R39" s="62">
        <f t="shared" si="21"/>
        <v>897874</v>
      </c>
      <c r="S39" s="109">
        <f t="shared" si="21"/>
        <v>19263220</v>
      </c>
      <c r="T39" s="107">
        <f t="shared" si="1"/>
        <v>2277121</v>
      </c>
      <c r="U39" s="62">
        <f t="shared" si="2"/>
        <v>865863</v>
      </c>
      <c r="V39" s="62">
        <f t="shared" si="3"/>
        <v>2311016</v>
      </c>
      <c r="W39" s="62">
        <f t="shared" si="4"/>
        <v>5556122</v>
      </c>
      <c r="X39" s="62">
        <f t="shared" si="5"/>
        <v>2649910</v>
      </c>
      <c r="Y39" s="62">
        <f t="shared" si="6"/>
        <v>2670669</v>
      </c>
      <c r="Z39" s="62">
        <f t="shared" si="7"/>
        <v>2034645</v>
      </c>
      <c r="AA39" s="62">
        <f t="shared" si="8"/>
        <v>897874</v>
      </c>
      <c r="AB39" s="109">
        <f>SUM(AB40:AB50)</f>
        <v>19263220</v>
      </c>
    </row>
    <row r="40" spans="1:28" ht="15.75">
      <c r="A40" s="61" t="s">
        <v>5</v>
      </c>
      <c r="B40" s="107"/>
      <c r="C40" s="62"/>
      <c r="D40" s="63"/>
      <c r="E40" s="63"/>
      <c r="F40" s="63"/>
      <c r="G40" s="63"/>
      <c r="H40" s="63"/>
      <c r="I40" s="63"/>
      <c r="J40" s="108"/>
      <c r="K40" s="107"/>
      <c r="L40" s="62"/>
      <c r="M40" s="63"/>
      <c r="N40" s="63"/>
      <c r="O40" s="63"/>
      <c r="P40" s="63"/>
      <c r="Q40" s="63"/>
      <c r="R40" s="63"/>
      <c r="S40" s="108"/>
      <c r="T40" s="107">
        <f t="shared" si="1"/>
        <v>0</v>
      </c>
      <c r="U40" s="62">
        <f t="shared" si="2"/>
        <v>0</v>
      </c>
      <c r="V40" s="63">
        <f t="shared" si="3"/>
        <v>0</v>
      </c>
      <c r="W40" s="63">
        <f t="shared" si="4"/>
        <v>0</v>
      </c>
      <c r="X40" s="63">
        <f t="shared" si="5"/>
        <v>0</v>
      </c>
      <c r="Y40" s="63">
        <f t="shared" si="6"/>
        <v>0</v>
      </c>
      <c r="Z40" s="63">
        <f t="shared" si="7"/>
        <v>0</v>
      </c>
      <c r="AA40" s="63">
        <f t="shared" si="8"/>
        <v>0</v>
      </c>
      <c r="AB40" s="108"/>
    </row>
    <row r="41" spans="1:28" s="56" customFormat="1" ht="15">
      <c r="A41" s="64" t="s">
        <v>70</v>
      </c>
      <c r="B41" s="110"/>
      <c r="C41" s="65"/>
      <c r="D41" s="66"/>
      <c r="E41" s="66"/>
      <c r="F41" s="66"/>
      <c r="G41" s="66"/>
      <c r="H41" s="66"/>
      <c r="I41" s="66"/>
      <c r="J41" s="111">
        <f aca="true" t="shared" si="22" ref="J41:J52">SUM(B41:I41)</f>
        <v>0</v>
      </c>
      <c r="K41" s="110">
        <v>8929</v>
      </c>
      <c r="L41" s="65"/>
      <c r="M41" s="66"/>
      <c r="N41" s="66">
        <v>380224</v>
      </c>
      <c r="O41" s="66">
        <v>280809</v>
      </c>
      <c r="P41" s="66">
        <v>625459</v>
      </c>
      <c r="Q41" s="66">
        <v>194956</v>
      </c>
      <c r="R41" s="66">
        <v>452263</v>
      </c>
      <c r="S41" s="111">
        <f aca="true" t="shared" si="23" ref="S41:S58">SUM(K41:R41)</f>
        <v>1942640</v>
      </c>
      <c r="T41" s="110">
        <f t="shared" si="1"/>
        <v>8929</v>
      </c>
      <c r="U41" s="65">
        <f t="shared" si="2"/>
        <v>0</v>
      </c>
      <c r="V41" s="66">
        <f t="shared" si="3"/>
        <v>0</v>
      </c>
      <c r="W41" s="66">
        <f t="shared" si="4"/>
        <v>380224</v>
      </c>
      <c r="X41" s="66">
        <f t="shared" si="5"/>
        <v>280809</v>
      </c>
      <c r="Y41" s="66">
        <f t="shared" si="6"/>
        <v>625459</v>
      </c>
      <c r="Z41" s="66">
        <f t="shared" si="7"/>
        <v>194956</v>
      </c>
      <c r="AA41" s="66">
        <f t="shared" si="8"/>
        <v>452263</v>
      </c>
      <c r="AB41" s="111">
        <f aca="true" t="shared" si="24" ref="AB41:AB56">SUM(T41:AA41)</f>
        <v>1942640</v>
      </c>
    </row>
    <row r="42" spans="1:28" s="56" customFormat="1" ht="30">
      <c r="A42" s="64" t="s">
        <v>71</v>
      </c>
      <c r="B42" s="110"/>
      <c r="C42" s="65"/>
      <c r="D42" s="66"/>
      <c r="E42" s="66"/>
      <c r="F42" s="66"/>
      <c r="G42" s="66"/>
      <c r="H42" s="66"/>
      <c r="I42" s="66"/>
      <c r="J42" s="111">
        <f t="shared" si="22"/>
        <v>0</v>
      </c>
      <c r="K42" s="110">
        <v>13045</v>
      </c>
      <c r="L42" s="65"/>
      <c r="M42" s="66">
        <v>1</v>
      </c>
      <c r="N42" s="66">
        <v>799383</v>
      </c>
      <c r="O42" s="66">
        <v>72072</v>
      </c>
      <c r="P42" s="66">
        <v>40404</v>
      </c>
      <c r="Q42" s="66">
        <v>240868</v>
      </c>
      <c r="R42" s="66">
        <v>151851</v>
      </c>
      <c r="S42" s="111">
        <f t="shared" si="23"/>
        <v>1317624</v>
      </c>
      <c r="T42" s="110">
        <f t="shared" si="1"/>
        <v>13045</v>
      </c>
      <c r="U42" s="65">
        <f t="shared" si="2"/>
        <v>0</v>
      </c>
      <c r="V42" s="66">
        <f t="shared" si="3"/>
        <v>1</v>
      </c>
      <c r="W42" s="66">
        <f t="shared" si="4"/>
        <v>799383</v>
      </c>
      <c r="X42" s="66">
        <f t="shared" si="5"/>
        <v>72072</v>
      </c>
      <c r="Y42" s="66">
        <f t="shared" si="6"/>
        <v>40404</v>
      </c>
      <c r="Z42" s="66">
        <f t="shared" si="7"/>
        <v>240868</v>
      </c>
      <c r="AA42" s="66">
        <f t="shared" si="8"/>
        <v>151851</v>
      </c>
      <c r="AB42" s="111">
        <f t="shared" si="24"/>
        <v>1317624</v>
      </c>
    </row>
    <row r="43" spans="1:28" s="56" customFormat="1" ht="30" customHeight="1">
      <c r="A43" s="64" t="s">
        <v>72</v>
      </c>
      <c r="B43" s="110"/>
      <c r="C43" s="65"/>
      <c r="D43" s="66"/>
      <c r="E43" s="66"/>
      <c r="F43" s="66"/>
      <c r="G43" s="66"/>
      <c r="H43" s="66"/>
      <c r="I43" s="66"/>
      <c r="J43" s="111">
        <f t="shared" si="22"/>
        <v>0</v>
      </c>
      <c r="K43" s="110">
        <v>1573893</v>
      </c>
      <c r="L43" s="65">
        <v>751479</v>
      </c>
      <c r="M43" s="66">
        <v>2171212</v>
      </c>
      <c r="N43" s="66">
        <v>3380450</v>
      </c>
      <c r="O43" s="66">
        <v>686261</v>
      </c>
      <c r="P43" s="66">
        <v>653213</v>
      </c>
      <c r="Q43" s="66">
        <v>102978</v>
      </c>
      <c r="R43" s="66">
        <v>73959</v>
      </c>
      <c r="S43" s="111">
        <f t="shared" si="23"/>
        <v>9393445</v>
      </c>
      <c r="T43" s="110">
        <f t="shared" si="1"/>
        <v>1573893</v>
      </c>
      <c r="U43" s="65">
        <f t="shared" si="2"/>
        <v>751479</v>
      </c>
      <c r="V43" s="66">
        <f t="shared" si="3"/>
        <v>2171212</v>
      </c>
      <c r="W43" s="66">
        <f t="shared" si="4"/>
        <v>3380450</v>
      </c>
      <c r="X43" s="66">
        <f t="shared" si="5"/>
        <v>686261</v>
      </c>
      <c r="Y43" s="66">
        <f t="shared" si="6"/>
        <v>653213</v>
      </c>
      <c r="Z43" s="66">
        <f t="shared" si="7"/>
        <v>102978</v>
      </c>
      <c r="AA43" s="66">
        <f t="shared" si="8"/>
        <v>73959</v>
      </c>
      <c r="AB43" s="111">
        <f t="shared" si="24"/>
        <v>9393445</v>
      </c>
    </row>
    <row r="44" spans="1:28" s="56" customFormat="1" ht="15">
      <c r="A44" s="64" t="s">
        <v>16</v>
      </c>
      <c r="B44" s="110"/>
      <c r="C44" s="65"/>
      <c r="D44" s="66"/>
      <c r="E44" s="66"/>
      <c r="F44" s="66"/>
      <c r="G44" s="66"/>
      <c r="H44" s="66"/>
      <c r="I44" s="66"/>
      <c r="J44" s="111">
        <f t="shared" si="22"/>
        <v>0</v>
      </c>
      <c r="K44" s="110"/>
      <c r="L44" s="65"/>
      <c r="M44" s="66">
        <v>2748</v>
      </c>
      <c r="N44" s="66"/>
      <c r="O44" s="66">
        <v>8031</v>
      </c>
      <c r="P44" s="66">
        <v>10770</v>
      </c>
      <c r="Q44" s="66">
        <v>4406</v>
      </c>
      <c r="R44" s="66">
        <v>23538</v>
      </c>
      <c r="S44" s="111">
        <f t="shared" si="23"/>
        <v>49493</v>
      </c>
      <c r="T44" s="110">
        <f t="shared" si="1"/>
        <v>0</v>
      </c>
      <c r="U44" s="65">
        <f t="shared" si="2"/>
        <v>0</v>
      </c>
      <c r="V44" s="66">
        <f t="shared" si="3"/>
        <v>2748</v>
      </c>
      <c r="W44" s="66">
        <f t="shared" si="4"/>
        <v>0</v>
      </c>
      <c r="X44" s="66">
        <f t="shared" si="5"/>
        <v>8031</v>
      </c>
      <c r="Y44" s="66">
        <f t="shared" si="6"/>
        <v>10770</v>
      </c>
      <c r="Z44" s="66">
        <f t="shared" si="7"/>
        <v>4406</v>
      </c>
      <c r="AA44" s="66">
        <f t="shared" si="8"/>
        <v>23538</v>
      </c>
      <c r="AB44" s="111">
        <f t="shared" si="24"/>
        <v>49493</v>
      </c>
    </row>
    <row r="45" spans="1:28" s="56" customFormat="1" ht="15">
      <c r="A45" s="64" t="s">
        <v>73</v>
      </c>
      <c r="B45" s="110"/>
      <c r="C45" s="65"/>
      <c r="D45" s="66"/>
      <c r="E45" s="66"/>
      <c r="F45" s="66"/>
      <c r="G45" s="66"/>
      <c r="H45" s="66"/>
      <c r="I45" s="66"/>
      <c r="J45" s="111">
        <f t="shared" si="22"/>
        <v>0</v>
      </c>
      <c r="K45" s="110">
        <v>573130</v>
      </c>
      <c r="L45" s="65">
        <v>114384</v>
      </c>
      <c r="M45" s="66"/>
      <c r="N45" s="66"/>
      <c r="O45" s="66">
        <v>1507713</v>
      </c>
      <c r="P45" s="66"/>
      <c r="Q45" s="66"/>
      <c r="R45" s="66"/>
      <c r="S45" s="111">
        <f t="shared" si="23"/>
        <v>2195227</v>
      </c>
      <c r="T45" s="110">
        <f t="shared" si="1"/>
        <v>573130</v>
      </c>
      <c r="U45" s="65">
        <f t="shared" si="2"/>
        <v>114384</v>
      </c>
      <c r="V45" s="66">
        <f t="shared" si="3"/>
        <v>0</v>
      </c>
      <c r="W45" s="66">
        <f t="shared" si="4"/>
        <v>0</v>
      </c>
      <c r="X45" s="66">
        <f t="shared" si="5"/>
        <v>1507713</v>
      </c>
      <c r="Y45" s="66">
        <f t="shared" si="6"/>
        <v>0</v>
      </c>
      <c r="Z45" s="66">
        <f t="shared" si="7"/>
        <v>0</v>
      </c>
      <c r="AA45" s="66">
        <f t="shared" si="8"/>
        <v>0</v>
      </c>
      <c r="AB45" s="111">
        <f t="shared" si="24"/>
        <v>2195227</v>
      </c>
    </row>
    <row r="46" spans="1:28" s="56" customFormat="1" ht="32.25" customHeight="1">
      <c r="A46" s="64" t="s">
        <v>74</v>
      </c>
      <c r="B46" s="110"/>
      <c r="C46" s="65"/>
      <c r="D46" s="66"/>
      <c r="E46" s="66"/>
      <c r="F46" s="66"/>
      <c r="G46" s="66"/>
      <c r="H46" s="66"/>
      <c r="I46" s="66"/>
      <c r="J46" s="111">
        <f t="shared" si="22"/>
        <v>0</v>
      </c>
      <c r="K46" s="110">
        <v>34999</v>
      </c>
      <c r="L46" s="65"/>
      <c r="M46" s="66"/>
      <c r="N46" s="66">
        <v>541915</v>
      </c>
      <c r="O46" s="66"/>
      <c r="P46" s="66">
        <v>1010582</v>
      </c>
      <c r="Q46" s="66">
        <v>1432846</v>
      </c>
      <c r="R46" s="66">
        <v>24975</v>
      </c>
      <c r="S46" s="111">
        <f t="shared" si="23"/>
        <v>3045317</v>
      </c>
      <c r="T46" s="110">
        <f t="shared" si="1"/>
        <v>34999</v>
      </c>
      <c r="U46" s="65">
        <f t="shared" si="2"/>
        <v>0</v>
      </c>
      <c r="V46" s="66">
        <f t="shared" si="3"/>
        <v>0</v>
      </c>
      <c r="W46" s="66">
        <f t="shared" si="4"/>
        <v>541915</v>
      </c>
      <c r="X46" s="66">
        <f t="shared" si="5"/>
        <v>0</v>
      </c>
      <c r="Y46" s="66">
        <f t="shared" si="6"/>
        <v>1010582</v>
      </c>
      <c r="Z46" s="66">
        <f t="shared" si="7"/>
        <v>1432846</v>
      </c>
      <c r="AA46" s="66">
        <f t="shared" si="8"/>
        <v>24975</v>
      </c>
      <c r="AB46" s="111">
        <f t="shared" si="24"/>
        <v>3045317</v>
      </c>
    </row>
    <row r="47" spans="1:28" s="56" customFormat="1" ht="45">
      <c r="A47" s="64" t="s">
        <v>75</v>
      </c>
      <c r="B47" s="110"/>
      <c r="C47" s="65"/>
      <c r="D47" s="66"/>
      <c r="E47" s="66"/>
      <c r="F47" s="66"/>
      <c r="G47" s="66"/>
      <c r="H47" s="66"/>
      <c r="I47" s="66"/>
      <c r="J47" s="111">
        <f t="shared" si="22"/>
        <v>0</v>
      </c>
      <c r="K47" s="110"/>
      <c r="L47" s="65"/>
      <c r="M47" s="66"/>
      <c r="N47" s="66">
        <v>382980</v>
      </c>
      <c r="O47" s="66"/>
      <c r="P47" s="66">
        <v>226136</v>
      </c>
      <c r="Q47" s="66">
        <v>44509</v>
      </c>
      <c r="R47" s="66">
        <v>28583</v>
      </c>
      <c r="S47" s="111">
        <f t="shared" si="23"/>
        <v>682208</v>
      </c>
      <c r="T47" s="110">
        <f t="shared" si="1"/>
        <v>0</v>
      </c>
      <c r="U47" s="65">
        <f t="shared" si="2"/>
        <v>0</v>
      </c>
      <c r="V47" s="66">
        <f t="shared" si="3"/>
        <v>0</v>
      </c>
      <c r="W47" s="66">
        <f t="shared" si="4"/>
        <v>382980</v>
      </c>
      <c r="X47" s="66">
        <f t="shared" si="5"/>
        <v>0</v>
      </c>
      <c r="Y47" s="66">
        <f t="shared" si="6"/>
        <v>226136</v>
      </c>
      <c r="Z47" s="66">
        <f t="shared" si="7"/>
        <v>44509</v>
      </c>
      <c r="AA47" s="66">
        <f t="shared" si="8"/>
        <v>28583</v>
      </c>
      <c r="AB47" s="111">
        <f t="shared" si="24"/>
        <v>682208</v>
      </c>
    </row>
    <row r="48" spans="1:28" s="56" customFormat="1" ht="45">
      <c r="A48" s="64" t="s">
        <v>76</v>
      </c>
      <c r="B48" s="110"/>
      <c r="C48" s="65"/>
      <c r="D48" s="66"/>
      <c r="E48" s="66"/>
      <c r="F48" s="66"/>
      <c r="G48" s="66"/>
      <c r="H48" s="66"/>
      <c r="I48" s="66"/>
      <c r="J48" s="111">
        <f t="shared" si="22"/>
        <v>0</v>
      </c>
      <c r="K48" s="110">
        <v>73125</v>
      </c>
      <c r="L48" s="65"/>
      <c r="M48" s="66">
        <v>137054</v>
      </c>
      <c r="N48" s="66">
        <v>70735</v>
      </c>
      <c r="O48" s="66">
        <v>95024</v>
      </c>
      <c r="P48" s="66">
        <v>104105</v>
      </c>
      <c r="Q48" s="66">
        <v>14082</v>
      </c>
      <c r="R48" s="66">
        <v>142705</v>
      </c>
      <c r="S48" s="111">
        <f t="shared" si="23"/>
        <v>636830</v>
      </c>
      <c r="T48" s="110">
        <f t="shared" si="1"/>
        <v>73125</v>
      </c>
      <c r="U48" s="65">
        <f t="shared" si="2"/>
        <v>0</v>
      </c>
      <c r="V48" s="66">
        <f t="shared" si="3"/>
        <v>137054</v>
      </c>
      <c r="W48" s="66">
        <f t="shared" si="4"/>
        <v>70735</v>
      </c>
      <c r="X48" s="66">
        <f t="shared" si="5"/>
        <v>95024</v>
      </c>
      <c r="Y48" s="66">
        <f t="shared" si="6"/>
        <v>104105</v>
      </c>
      <c r="Z48" s="66">
        <f t="shared" si="7"/>
        <v>14082</v>
      </c>
      <c r="AA48" s="66">
        <f t="shared" si="8"/>
        <v>142705</v>
      </c>
      <c r="AB48" s="111">
        <f t="shared" si="24"/>
        <v>636830</v>
      </c>
    </row>
    <row r="49" spans="1:28" s="56" customFormat="1" ht="60">
      <c r="A49" s="64" t="s">
        <v>85</v>
      </c>
      <c r="B49" s="110"/>
      <c r="C49" s="65"/>
      <c r="D49" s="66"/>
      <c r="E49" s="66"/>
      <c r="F49" s="66"/>
      <c r="G49" s="66"/>
      <c r="H49" s="66"/>
      <c r="I49" s="66"/>
      <c r="J49" s="111">
        <f t="shared" si="22"/>
        <v>0</v>
      </c>
      <c r="K49" s="110"/>
      <c r="L49" s="65"/>
      <c r="M49" s="66"/>
      <c r="N49" s="66">
        <v>435</v>
      </c>
      <c r="O49" s="66"/>
      <c r="P49" s="66"/>
      <c r="Q49" s="66"/>
      <c r="R49" s="66"/>
      <c r="S49" s="111">
        <f t="shared" si="23"/>
        <v>435</v>
      </c>
      <c r="T49" s="110">
        <f t="shared" si="1"/>
        <v>0</v>
      </c>
      <c r="U49" s="65">
        <f t="shared" si="2"/>
        <v>0</v>
      </c>
      <c r="V49" s="66">
        <f t="shared" si="3"/>
        <v>0</v>
      </c>
      <c r="W49" s="66">
        <f t="shared" si="4"/>
        <v>435</v>
      </c>
      <c r="X49" s="66">
        <f t="shared" si="5"/>
        <v>0</v>
      </c>
      <c r="Y49" s="66">
        <f t="shared" si="6"/>
        <v>0</v>
      </c>
      <c r="Z49" s="66">
        <f t="shared" si="7"/>
        <v>0</v>
      </c>
      <c r="AA49" s="66">
        <f t="shared" si="8"/>
        <v>0</v>
      </c>
      <c r="AB49" s="111">
        <f t="shared" si="24"/>
        <v>435</v>
      </c>
    </row>
    <row r="50" spans="1:28" s="56" customFormat="1" ht="15">
      <c r="A50" s="64" t="s">
        <v>87</v>
      </c>
      <c r="B50" s="110"/>
      <c r="C50" s="65"/>
      <c r="D50" s="66"/>
      <c r="E50" s="66"/>
      <c r="F50" s="66"/>
      <c r="G50" s="66"/>
      <c r="H50" s="66"/>
      <c r="I50" s="66"/>
      <c r="J50" s="111">
        <f t="shared" si="22"/>
        <v>0</v>
      </c>
      <c r="K50" s="110"/>
      <c r="L50" s="65"/>
      <c r="M50" s="66">
        <v>1</v>
      </c>
      <c r="N50" s="66"/>
      <c r="O50" s="66"/>
      <c r="P50" s="66"/>
      <c r="Q50" s="66"/>
      <c r="R50" s="66"/>
      <c r="S50" s="111">
        <f t="shared" si="23"/>
        <v>1</v>
      </c>
      <c r="T50" s="110">
        <f t="shared" si="1"/>
        <v>0</v>
      </c>
      <c r="U50" s="65">
        <f t="shared" si="2"/>
        <v>0</v>
      </c>
      <c r="V50" s="66">
        <f t="shared" si="3"/>
        <v>1</v>
      </c>
      <c r="W50" s="66">
        <f t="shared" si="4"/>
        <v>0</v>
      </c>
      <c r="X50" s="66">
        <f t="shared" si="5"/>
        <v>0</v>
      </c>
      <c r="Y50" s="66">
        <f t="shared" si="6"/>
        <v>0</v>
      </c>
      <c r="Z50" s="66">
        <f t="shared" si="7"/>
        <v>0</v>
      </c>
      <c r="AA50" s="66">
        <f t="shared" si="8"/>
        <v>0</v>
      </c>
      <c r="AB50" s="111">
        <f t="shared" si="24"/>
        <v>1</v>
      </c>
    </row>
    <row r="51" spans="1:28" s="56" customFormat="1" ht="15" customHeight="1">
      <c r="A51" s="53" t="s">
        <v>77</v>
      </c>
      <c r="B51" s="112"/>
      <c r="C51" s="55"/>
      <c r="D51" s="55"/>
      <c r="E51" s="55"/>
      <c r="F51" s="55"/>
      <c r="G51" s="55"/>
      <c r="H51" s="55"/>
      <c r="I51" s="55"/>
      <c r="J51" s="103">
        <f t="shared" si="22"/>
        <v>0</v>
      </c>
      <c r="K51" s="112">
        <v>1955004</v>
      </c>
      <c r="L51" s="55">
        <v>317126</v>
      </c>
      <c r="M51" s="55">
        <v>1145522</v>
      </c>
      <c r="N51" s="55">
        <v>1817444</v>
      </c>
      <c r="O51" s="55">
        <v>1428712</v>
      </c>
      <c r="P51" s="55">
        <v>689060</v>
      </c>
      <c r="Q51" s="55">
        <v>622766</v>
      </c>
      <c r="R51" s="55">
        <v>366164</v>
      </c>
      <c r="S51" s="103">
        <f t="shared" si="23"/>
        <v>8341798</v>
      </c>
      <c r="T51" s="112">
        <f t="shared" si="1"/>
        <v>1955004</v>
      </c>
      <c r="U51" s="55">
        <f t="shared" si="2"/>
        <v>317126</v>
      </c>
      <c r="V51" s="55">
        <f t="shared" si="3"/>
        <v>1145522</v>
      </c>
      <c r="W51" s="55">
        <f t="shared" si="4"/>
        <v>1817444</v>
      </c>
      <c r="X51" s="55">
        <f t="shared" si="5"/>
        <v>1428712</v>
      </c>
      <c r="Y51" s="55">
        <f t="shared" si="6"/>
        <v>689060</v>
      </c>
      <c r="Z51" s="55">
        <f t="shared" si="7"/>
        <v>622766</v>
      </c>
      <c r="AA51" s="55">
        <f t="shared" si="8"/>
        <v>366164</v>
      </c>
      <c r="AB51" s="103">
        <f t="shared" si="24"/>
        <v>8341798</v>
      </c>
    </row>
    <row r="52" spans="1:28" s="56" customFormat="1" ht="15" customHeight="1">
      <c r="A52" s="53" t="s">
        <v>78</v>
      </c>
      <c r="B52" s="112"/>
      <c r="C52" s="55"/>
      <c r="D52" s="55"/>
      <c r="E52" s="55"/>
      <c r="F52" s="55"/>
      <c r="G52" s="55"/>
      <c r="H52" s="55"/>
      <c r="I52" s="55"/>
      <c r="J52" s="103">
        <f t="shared" si="22"/>
        <v>0</v>
      </c>
      <c r="K52" s="112">
        <v>195959</v>
      </c>
      <c r="L52" s="55">
        <v>647363</v>
      </c>
      <c r="M52" s="55">
        <v>510052</v>
      </c>
      <c r="N52" s="55">
        <v>1362018</v>
      </c>
      <c r="O52" s="55">
        <v>191988</v>
      </c>
      <c r="P52" s="55">
        <v>945618</v>
      </c>
      <c r="Q52" s="55">
        <v>482023</v>
      </c>
      <c r="R52" s="55">
        <v>79747</v>
      </c>
      <c r="S52" s="103">
        <f t="shared" si="23"/>
        <v>4414768</v>
      </c>
      <c r="T52" s="112">
        <f t="shared" si="1"/>
        <v>195959</v>
      </c>
      <c r="U52" s="55">
        <f t="shared" si="2"/>
        <v>647363</v>
      </c>
      <c r="V52" s="55">
        <f t="shared" si="3"/>
        <v>510052</v>
      </c>
      <c r="W52" s="55">
        <f t="shared" si="4"/>
        <v>1362018</v>
      </c>
      <c r="X52" s="55">
        <f t="shared" si="5"/>
        <v>191988</v>
      </c>
      <c r="Y52" s="55">
        <f t="shared" si="6"/>
        <v>945618</v>
      </c>
      <c r="Z52" s="55">
        <f t="shared" si="7"/>
        <v>482023</v>
      </c>
      <c r="AA52" s="55">
        <f t="shared" si="8"/>
        <v>79747</v>
      </c>
      <c r="AB52" s="103">
        <f t="shared" si="24"/>
        <v>4414768</v>
      </c>
    </row>
    <row r="53" spans="1:28" s="56" customFormat="1" ht="21" customHeight="1">
      <c r="A53" s="53" t="s">
        <v>79</v>
      </c>
      <c r="B53" s="102">
        <f aca="true" t="shared" si="25" ref="B53:J53">B21-B16-B31-B39-B51-B52-B38</f>
        <v>26528721</v>
      </c>
      <c r="C53" s="54">
        <f t="shared" si="25"/>
        <v>2412125</v>
      </c>
      <c r="D53" s="54">
        <f t="shared" si="25"/>
        <v>22616827</v>
      </c>
      <c r="E53" s="54">
        <f t="shared" si="25"/>
        <v>4253109</v>
      </c>
      <c r="F53" s="54">
        <f t="shared" si="25"/>
        <v>21800913</v>
      </c>
      <c r="G53" s="54">
        <f t="shared" si="25"/>
        <v>57758866</v>
      </c>
      <c r="H53" s="54">
        <f t="shared" si="25"/>
        <v>44153466</v>
      </c>
      <c r="I53" s="54">
        <f t="shared" si="25"/>
        <v>22666826</v>
      </c>
      <c r="J53" s="106">
        <f t="shared" si="25"/>
        <v>202190853</v>
      </c>
      <c r="K53" s="102">
        <f aca="true" t="shared" si="26" ref="K53:R53">K21-K16-K31-K39-K51-K52-K38</f>
        <v>16903596</v>
      </c>
      <c r="L53" s="54">
        <f t="shared" si="26"/>
        <v>2362016</v>
      </c>
      <c r="M53" s="54">
        <f t="shared" si="26"/>
        <v>14394534</v>
      </c>
      <c r="N53" s="54">
        <f t="shared" si="26"/>
        <v>0</v>
      </c>
      <c r="O53" s="54">
        <f t="shared" si="26"/>
        <v>19235614</v>
      </c>
      <c r="P53" s="54">
        <f t="shared" si="26"/>
        <v>53721771</v>
      </c>
      <c r="Q53" s="54">
        <f t="shared" si="26"/>
        <v>42226296</v>
      </c>
      <c r="R53" s="54">
        <f t="shared" si="26"/>
        <v>21276797</v>
      </c>
      <c r="S53" s="103">
        <f t="shared" si="23"/>
        <v>170120624</v>
      </c>
      <c r="T53" s="102">
        <f t="shared" si="1"/>
        <v>-9625125</v>
      </c>
      <c r="U53" s="54">
        <f t="shared" si="2"/>
        <v>-50109</v>
      </c>
      <c r="V53" s="54">
        <f t="shared" si="3"/>
        <v>-8222293</v>
      </c>
      <c r="W53" s="54">
        <f t="shared" si="4"/>
        <v>-4253109</v>
      </c>
      <c r="X53" s="54">
        <f t="shared" si="5"/>
        <v>-2565299</v>
      </c>
      <c r="Y53" s="54">
        <f t="shared" si="6"/>
        <v>-4037095</v>
      </c>
      <c r="Z53" s="54">
        <f t="shared" si="7"/>
        <v>-1927170</v>
      </c>
      <c r="AA53" s="54">
        <f t="shared" si="8"/>
        <v>-1390029</v>
      </c>
      <c r="AB53" s="103">
        <f t="shared" si="24"/>
        <v>-32070229</v>
      </c>
    </row>
    <row r="54" spans="1:28" ht="15.75" customHeight="1">
      <c r="A54" s="58" t="s">
        <v>101</v>
      </c>
      <c r="B54" s="102">
        <f aca="true" t="shared" si="27" ref="B54:I54">B55+B56</f>
        <v>26528721</v>
      </c>
      <c r="C54" s="54">
        <f t="shared" si="27"/>
        <v>2412125</v>
      </c>
      <c r="D54" s="54">
        <f t="shared" si="27"/>
        <v>22616827</v>
      </c>
      <c r="E54" s="54">
        <f t="shared" si="27"/>
        <v>4253109</v>
      </c>
      <c r="F54" s="54">
        <f t="shared" si="27"/>
        <v>21800913</v>
      </c>
      <c r="G54" s="54">
        <f t="shared" si="27"/>
        <v>57758866</v>
      </c>
      <c r="H54" s="54">
        <f t="shared" si="27"/>
        <v>44153466</v>
      </c>
      <c r="I54" s="54">
        <f t="shared" si="27"/>
        <v>22666826</v>
      </c>
      <c r="J54" s="106">
        <f>SUM(J55:J56)</f>
        <v>202190853</v>
      </c>
      <c r="K54" s="102">
        <f aca="true" t="shared" si="28" ref="K54:R54">K55+K56</f>
        <v>16903596</v>
      </c>
      <c r="L54" s="54">
        <f t="shared" si="28"/>
        <v>2362016</v>
      </c>
      <c r="M54" s="54">
        <f t="shared" si="28"/>
        <v>14394534</v>
      </c>
      <c r="N54" s="54">
        <f t="shared" si="28"/>
        <v>0</v>
      </c>
      <c r="O54" s="54">
        <f t="shared" si="28"/>
        <v>19235614</v>
      </c>
      <c r="P54" s="54">
        <f t="shared" si="28"/>
        <v>53721771</v>
      </c>
      <c r="Q54" s="54">
        <f t="shared" si="28"/>
        <v>42226296</v>
      </c>
      <c r="R54" s="54">
        <f t="shared" si="28"/>
        <v>21276797</v>
      </c>
      <c r="S54" s="103">
        <f t="shared" si="23"/>
        <v>170120624</v>
      </c>
      <c r="T54" s="102">
        <f t="shared" si="1"/>
        <v>-9625125</v>
      </c>
      <c r="U54" s="54">
        <f t="shared" si="2"/>
        <v>-50109</v>
      </c>
      <c r="V54" s="54">
        <f t="shared" si="3"/>
        <v>-8222293</v>
      </c>
      <c r="W54" s="54">
        <f t="shared" si="4"/>
        <v>-4253109</v>
      </c>
      <c r="X54" s="54">
        <f t="shared" si="5"/>
        <v>-2565299</v>
      </c>
      <c r="Y54" s="54">
        <f t="shared" si="6"/>
        <v>-4037095</v>
      </c>
      <c r="Z54" s="54">
        <f t="shared" si="7"/>
        <v>-1927170</v>
      </c>
      <c r="AA54" s="54">
        <f t="shared" si="8"/>
        <v>-1390029</v>
      </c>
      <c r="AB54" s="103">
        <f t="shared" si="24"/>
        <v>-32070229</v>
      </c>
    </row>
    <row r="55" spans="1:28" ht="15.75" customHeight="1">
      <c r="A55" s="83" t="s">
        <v>102</v>
      </c>
      <c r="B55" s="102">
        <v>2356861</v>
      </c>
      <c r="C55" s="54">
        <v>317066</v>
      </c>
      <c r="D55" s="55">
        <v>3675084</v>
      </c>
      <c r="E55" s="55"/>
      <c r="F55" s="55">
        <f>14293755</f>
        <v>14293755</v>
      </c>
      <c r="G55" s="55">
        <f>48103705</f>
        <v>48103705</v>
      </c>
      <c r="H55" s="55">
        <f>39267356</f>
        <v>39267356</v>
      </c>
      <c r="I55" s="89">
        <f>19736051</f>
        <v>19736051</v>
      </c>
      <c r="J55" s="103">
        <f>SUM(B55:I55)</f>
        <v>127749878</v>
      </c>
      <c r="K55" s="102"/>
      <c r="L55" s="54">
        <v>317066</v>
      </c>
      <c r="M55" s="55">
        <f>1990000</f>
        <v>1990000</v>
      </c>
      <c r="N55" s="55"/>
      <c r="O55" s="55">
        <f>14293755-2565299</f>
        <v>11728456</v>
      </c>
      <c r="P55" s="55">
        <f>48103705-4037095</f>
        <v>44066610</v>
      </c>
      <c r="Q55" s="55">
        <f>39267356-1927170</f>
        <v>37340186</v>
      </c>
      <c r="R55" s="89">
        <f>19736051-1390029</f>
        <v>18346022</v>
      </c>
      <c r="S55" s="103">
        <f t="shared" si="23"/>
        <v>113788340</v>
      </c>
      <c r="T55" s="102">
        <f t="shared" si="1"/>
        <v>-2356861</v>
      </c>
      <c r="U55" s="54">
        <f t="shared" si="2"/>
        <v>0</v>
      </c>
      <c r="V55" s="55">
        <f t="shared" si="3"/>
        <v>-1685084</v>
      </c>
      <c r="W55" s="55">
        <f t="shared" si="4"/>
        <v>0</v>
      </c>
      <c r="X55" s="55">
        <f t="shared" si="5"/>
        <v>-2565299</v>
      </c>
      <c r="Y55" s="55">
        <f t="shared" si="6"/>
        <v>-4037095</v>
      </c>
      <c r="Z55" s="55">
        <f t="shared" si="7"/>
        <v>-1927170</v>
      </c>
      <c r="AA55" s="89">
        <f t="shared" si="8"/>
        <v>-1390029</v>
      </c>
      <c r="AB55" s="103">
        <f t="shared" si="24"/>
        <v>-13961538</v>
      </c>
    </row>
    <row r="56" spans="1:28" ht="15.75" customHeight="1">
      <c r="A56" s="83" t="s">
        <v>103</v>
      </c>
      <c r="B56" s="102">
        <f aca="true" t="shared" si="29" ref="B56:I56">B53-B55</f>
        <v>24171860</v>
      </c>
      <c r="C56" s="54">
        <f t="shared" si="29"/>
        <v>2095059</v>
      </c>
      <c r="D56" s="54">
        <f t="shared" si="29"/>
        <v>18941743</v>
      </c>
      <c r="E56" s="54">
        <f t="shared" si="29"/>
        <v>4253109</v>
      </c>
      <c r="F56" s="54">
        <f t="shared" si="29"/>
        <v>7507158</v>
      </c>
      <c r="G56" s="54">
        <f t="shared" si="29"/>
        <v>9655161</v>
      </c>
      <c r="H56" s="54">
        <f t="shared" si="29"/>
        <v>4886110</v>
      </c>
      <c r="I56" s="54">
        <f t="shared" si="29"/>
        <v>2930775</v>
      </c>
      <c r="J56" s="103">
        <f>SUM(B56:I56)</f>
        <v>74440975</v>
      </c>
      <c r="K56" s="102">
        <f aca="true" t="shared" si="30" ref="K56:R56">K53-K55</f>
        <v>16903596</v>
      </c>
      <c r="L56" s="54">
        <f t="shared" si="30"/>
        <v>2044950</v>
      </c>
      <c r="M56" s="54">
        <f t="shared" si="30"/>
        <v>12404534</v>
      </c>
      <c r="N56" s="54">
        <f t="shared" si="30"/>
        <v>0</v>
      </c>
      <c r="O56" s="54">
        <f t="shared" si="30"/>
        <v>7507158</v>
      </c>
      <c r="P56" s="54">
        <f t="shared" si="30"/>
        <v>9655161</v>
      </c>
      <c r="Q56" s="54">
        <f t="shared" si="30"/>
        <v>4886110</v>
      </c>
      <c r="R56" s="54">
        <f t="shared" si="30"/>
        <v>2930775</v>
      </c>
      <c r="S56" s="103">
        <f t="shared" si="23"/>
        <v>56332284</v>
      </c>
      <c r="T56" s="102">
        <f t="shared" si="1"/>
        <v>-7268264</v>
      </c>
      <c r="U56" s="54">
        <f t="shared" si="2"/>
        <v>-50109</v>
      </c>
      <c r="V56" s="54">
        <f t="shared" si="3"/>
        <v>-6537209</v>
      </c>
      <c r="W56" s="54">
        <f t="shared" si="4"/>
        <v>-4253109</v>
      </c>
      <c r="X56" s="54">
        <f t="shared" si="5"/>
        <v>0</v>
      </c>
      <c r="Y56" s="54">
        <f t="shared" si="6"/>
        <v>0</v>
      </c>
      <c r="Z56" s="54">
        <f t="shared" si="7"/>
        <v>0</v>
      </c>
      <c r="AA56" s="54">
        <f t="shared" si="8"/>
        <v>0</v>
      </c>
      <c r="AB56" s="103">
        <f t="shared" si="24"/>
        <v>-18108691</v>
      </c>
    </row>
    <row r="57" spans="1:28" ht="15.75" customHeight="1">
      <c r="A57" s="83"/>
      <c r="B57" s="102"/>
      <c r="C57" s="54"/>
      <c r="D57" s="88"/>
      <c r="E57" s="55"/>
      <c r="F57" s="55"/>
      <c r="G57" s="55"/>
      <c r="H57" s="55"/>
      <c r="I57" s="55"/>
      <c r="J57" s="103"/>
      <c r="K57" s="102"/>
      <c r="L57" s="54"/>
      <c r="M57" s="88"/>
      <c r="N57" s="55"/>
      <c r="O57" s="55"/>
      <c r="P57" s="55"/>
      <c r="Q57" s="55"/>
      <c r="R57" s="55"/>
      <c r="S57" s="103">
        <f t="shared" si="23"/>
        <v>0</v>
      </c>
      <c r="T57" s="102">
        <f t="shared" si="1"/>
        <v>0</v>
      </c>
      <c r="U57" s="54">
        <f t="shared" si="2"/>
        <v>0</v>
      </c>
      <c r="V57" s="88">
        <f t="shared" si="3"/>
        <v>0</v>
      </c>
      <c r="W57" s="55">
        <f t="shared" si="4"/>
        <v>0</v>
      </c>
      <c r="X57" s="55">
        <f t="shared" si="5"/>
        <v>0</v>
      </c>
      <c r="Y57" s="55">
        <f t="shared" si="6"/>
        <v>0</v>
      </c>
      <c r="Z57" s="55">
        <f t="shared" si="7"/>
        <v>0</v>
      </c>
      <c r="AA57" s="55">
        <f t="shared" si="8"/>
        <v>0</v>
      </c>
      <c r="AB57" s="103"/>
    </row>
    <row r="58" spans="1:30" s="56" customFormat="1" ht="21.75" customHeight="1" thickBot="1">
      <c r="A58" s="67" t="s">
        <v>80</v>
      </c>
      <c r="B58" s="113">
        <f aca="true" t="shared" si="31" ref="B58:I58">B21+B61</f>
        <v>366302041</v>
      </c>
      <c r="C58" s="114">
        <f t="shared" si="31"/>
        <v>33261924</v>
      </c>
      <c r="D58" s="114">
        <f t="shared" si="31"/>
        <v>264356254</v>
      </c>
      <c r="E58" s="114">
        <f t="shared" si="31"/>
        <v>241405295</v>
      </c>
      <c r="F58" s="114">
        <f t="shared" si="31"/>
        <v>129760732</v>
      </c>
      <c r="G58" s="114">
        <f t="shared" si="31"/>
        <v>204585750</v>
      </c>
      <c r="H58" s="114">
        <f t="shared" si="31"/>
        <v>123691693</v>
      </c>
      <c r="I58" s="114">
        <f t="shared" si="31"/>
        <v>78016449</v>
      </c>
      <c r="J58" s="115">
        <f>SUM(B58:I58)</f>
        <v>1441380138</v>
      </c>
      <c r="K58" s="113">
        <f>K21+K61</f>
        <v>363268810</v>
      </c>
      <c r="L58" s="114">
        <f>L21+L61</f>
        <v>35130644</v>
      </c>
      <c r="M58" s="114">
        <f>M21+M61</f>
        <v>260807270</v>
      </c>
      <c r="N58" s="114">
        <f>N21+N61</f>
        <v>246883107</v>
      </c>
      <c r="O58" s="114">
        <f>O21+O61+O62</f>
        <v>132158390</v>
      </c>
      <c r="P58" s="114">
        <f>P21+P61+P62</f>
        <v>206525750</v>
      </c>
      <c r="Q58" s="114">
        <f>Q21+Q61+Q62</f>
        <v>125200110</v>
      </c>
      <c r="R58" s="114">
        <f>R21+R61+R62</f>
        <v>78389363</v>
      </c>
      <c r="S58" s="115">
        <f t="shared" si="23"/>
        <v>1448363444</v>
      </c>
      <c r="T58" s="113">
        <f t="shared" si="1"/>
        <v>-3033231</v>
      </c>
      <c r="U58" s="114">
        <f t="shared" si="2"/>
        <v>1868720</v>
      </c>
      <c r="V58" s="114">
        <f t="shared" si="3"/>
        <v>-3548984</v>
      </c>
      <c r="W58" s="114">
        <f t="shared" si="4"/>
        <v>5477812</v>
      </c>
      <c r="X58" s="114">
        <f t="shared" si="5"/>
        <v>2397658</v>
      </c>
      <c r="Y58" s="114">
        <f t="shared" si="6"/>
        <v>1940000</v>
      </c>
      <c r="Z58" s="114">
        <f t="shared" si="7"/>
        <v>1508417</v>
      </c>
      <c r="AA58" s="114">
        <f t="shared" si="8"/>
        <v>372914</v>
      </c>
      <c r="AB58" s="115">
        <f>SUM(T58:AA58)</f>
        <v>6983306</v>
      </c>
      <c r="AD58" s="57"/>
    </row>
    <row r="59" spans="2:28" ht="12.75">
      <c r="B59" s="121">
        <v>-7590268</v>
      </c>
      <c r="C59" s="121"/>
      <c r="D59" s="121">
        <v>-8122053</v>
      </c>
      <c r="E59" s="121">
        <v>-3258563</v>
      </c>
      <c r="F59" s="121">
        <v>-2332489</v>
      </c>
      <c r="G59" s="121">
        <v>-3044024</v>
      </c>
      <c r="H59" s="121">
        <v>-1725585</v>
      </c>
      <c r="I59" s="121">
        <v>-1057953</v>
      </c>
      <c r="J59" s="122">
        <v>-27130935</v>
      </c>
      <c r="K59" s="121">
        <v>-7590268</v>
      </c>
      <c r="L59" s="121"/>
      <c r="M59" s="121">
        <v>-8122053</v>
      </c>
      <c r="N59" s="121">
        <v>-3258563</v>
      </c>
      <c r="O59" s="121">
        <v>-2332489</v>
      </c>
      <c r="P59" s="121">
        <v>-3044024</v>
      </c>
      <c r="Q59" s="121">
        <v>-1725585</v>
      </c>
      <c r="R59" s="121">
        <v>-1057953</v>
      </c>
      <c r="S59" s="122">
        <v>-27130935</v>
      </c>
      <c r="T59" s="121">
        <v>-7590268</v>
      </c>
      <c r="U59" s="121"/>
      <c r="V59" s="121">
        <v>-8122053</v>
      </c>
      <c r="W59" s="121">
        <v>-3258563</v>
      </c>
      <c r="X59" s="121">
        <v>-2332489</v>
      </c>
      <c r="Y59" s="121">
        <v>-3044024</v>
      </c>
      <c r="Z59" s="121">
        <v>-1725585</v>
      </c>
      <c r="AA59" s="121">
        <v>-1057953</v>
      </c>
      <c r="AB59" s="122">
        <v>-27130935</v>
      </c>
    </row>
    <row r="60" spans="2:28" ht="12.75">
      <c r="B60" s="121"/>
      <c r="C60" s="121"/>
      <c r="D60" s="121"/>
      <c r="E60" s="121"/>
      <c r="F60" s="121"/>
      <c r="G60" s="121"/>
      <c r="H60" s="121"/>
      <c r="I60" s="121"/>
      <c r="J60" s="122">
        <v>17176159</v>
      </c>
      <c r="K60" s="121"/>
      <c r="L60" s="121"/>
      <c r="M60" s="121"/>
      <c r="N60" s="121"/>
      <c r="O60" s="121"/>
      <c r="P60" s="121"/>
      <c r="Q60" s="121"/>
      <c r="R60" s="121"/>
      <c r="S60" s="122">
        <v>17176159</v>
      </c>
      <c r="T60" s="121"/>
      <c r="U60" s="121"/>
      <c r="V60" s="121"/>
      <c r="W60" s="121"/>
      <c r="X60" s="121"/>
      <c r="Y60" s="121"/>
      <c r="Z60" s="121"/>
      <c r="AA60" s="121"/>
      <c r="AB60" s="122">
        <v>17176159</v>
      </c>
    </row>
    <row r="61" spans="1:28" ht="12.75">
      <c r="A61" s="77" t="s">
        <v>114</v>
      </c>
      <c r="B61" s="121">
        <f>36504234+499587</f>
        <v>37003821</v>
      </c>
      <c r="C61" s="121">
        <v>1209291</v>
      </c>
      <c r="D61" s="121">
        <v>19202147</v>
      </c>
      <c r="E61" s="121">
        <v>31489145</v>
      </c>
      <c r="F61" s="121">
        <v>23968158</v>
      </c>
      <c r="G61" s="121">
        <v>33606385</v>
      </c>
      <c r="H61" s="121">
        <v>18884782</v>
      </c>
      <c r="I61" s="121">
        <v>18053853</v>
      </c>
      <c r="J61" s="122">
        <f>SUM(B61:I61)</f>
        <v>183417582</v>
      </c>
      <c r="K61" s="121">
        <f>36504234+499587</f>
        <v>37003821</v>
      </c>
      <c r="L61" s="121">
        <v>1209291</v>
      </c>
      <c r="M61" s="121">
        <v>19202147</v>
      </c>
      <c r="N61" s="121">
        <v>31489145</v>
      </c>
      <c r="O61" s="121">
        <v>23968158</v>
      </c>
      <c r="P61" s="121">
        <v>33606385</v>
      </c>
      <c r="Q61" s="121">
        <v>18884782</v>
      </c>
      <c r="R61" s="121">
        <v>18053853</v>
      </c>
      <c r="S61" s="122">
        <f>SUM(K61:R61)</f>
        <v>183417582</v>
      </c>
      <c r="T61" s="121">
        <f>36504234+499587</f>
        <v>37003821</v>
      </c>
      <c r="U61" s="121">
        <v>1209291</v>
      </c>
      <c r="V61" s="121">
        <v>19202147</v>
      </c>
      <c r="W61" s="121">
        <v>31489145</v>
      </c>
      <c r="X61" s="121">
        <v>23968158</v>
      </c>
      <c r="Y61" s="121">
        <v>33606385</v>
      </c>
      <c r="Z61" s="121">
        <v>18884782</v>
      </c>
      <c r="AA61" s="121">
        <v>18053853</v>
      </c>
      <c r="AB61" s="122">
        <f>SUM(T61:AA61)</f>
        <v>183417582</v>
      </c>
    </row>
    <row r="62" spans="1:28" ht="12.75">
      <c r="A62" s="77" t="s">
        <v>115</v>
      </c>
      <c r="B62" s="121"/>
      <c r="C62" s="121"/>
      <c r="D62" s="121"/>
      <c r="E62" s="121"/>
      <c r="F62" s="121">
        <v>7636</v>
      </c>
      <c r="G62" s="121"/>
      <c r="H62" s="121">
        <v>15130</v>
      </c>
      <c r="I62" s="121">
        <v>15233</v>
      </c>
      <c r="J62" s="122">
        <f>SUM(B62:I62)</f>
        <v>37999</v>
      </c>
      <c r="K62" s="121"/>
      <c r="L62" s="121"/>
      <c r="M62" s="121"/>
      <c r="N62" s="121"/>
      <c r="O62" s="121">
        <v>7636</v>
      </c>
      <c r="P62" s="121"/>
      <c r="Q62" s="121">
        <v>15130</v>
      </c>
      <c r="R62" s="121">
        <v>15233</v>
      </c>
      <c r="S62" s="122">
        <f>SUM(K62:R62)</f>
        <v>37999</v>
      </c>
      <c r="T62" s="121"/>
      <c r="U62" s="121"/>
      <c r="V62" s="121"/>
      <c r="W62" s="121"/>
      <c r="X62" s="121">
        <v>7636</v>
      </c>
      <c r="Y62" s="121"/>
      <c r="Z62" s="121">
        <v>15130</v>
      </c>
      <c r="AA62" s="121">
        <v>15233</v>
      </c>
      <c r="AB62" s="122">
        <f>SUM(T62:AA62)</f>
        <v>37999</v>
      </c>
    </row>
    <row r="63" spans="1:28" ht="69.75" customHeight="1">
      <c r="A63" s="19" t="s">
        <v>113</v>
      </c>
      <c r="B63" s="123">
        <f>B21+499587+36504234</f>
        <v>366302041</v>
      </c>
      <c r="C63" s="123">
        <f>C21+1209291</f>
        <v>33261924</v>
      </c>
      <c r="D63" s="123">
        <f>D21+19202147</f>
        <v>264356254</v>
      </c>
      <c r="E63" s="123">
        <f>E21+31489145</f>
        <v>241405295</v>
      </c>
      <c r="F63" s="123">
        <f>F21+23968158</f>
        <v>129760732</v>
      </c>
      <c r="G63" s="123">
        <f>G21+33606385</f>
        <v>204585750</v>
      </c>
      <c r="H63" s="123">
        <f>H21+18884782</f>
        <v>123691693</v>
      </c>
      <c r="I63" s="123">
        <f>I21+18053853</f>
        <v>78016449</v>
      </c>
      <c r="J63" s="123"/>
      <c r="K63" s="123">
        <f>K21+499587+36504234</f>
        <v>363268810</v>
      </c>
      <c r="L63" s="123">
        <f>L21+1209291</f>
        <v>35130644</v>
      </c>
      <c r="M63" s="123">
        <f>M21+19202147</f>
        <v>260807270</v>
      </c>
      <c r="N63" s="123">
        <f>N21+31489145</f>
        <v>246883107</v>
      </c>
      <c r="O63" s="123">
        <f>O21+23968158</f>
        <v>132150754</v>
      </c>
      <c r="P63" s="123">
        <f>P21+33606385</f>
        <v>206525750</v>
      </c>
      <c r="Q63" s="123">
        <f>Q21+18884782</f>
        <v>125184980</v>
      </c>
      <c r="R63" s="123">
        <f>R21+18053853</f>
        <v>78374130</v>
      </c>
      <c r="S63" s="123"/>
      <c r="T63" s="123">
        <f>T21+499587+36504234</f>
        <v>33970590</v>
      </c>
      <c r="U63" s="123">
        <f>U21+1209291</f>
        <v>3078011</v>
      </c>
      <c r="V63" s="123">
        <f>V21+19202147</f>
        <v>15653163</v>
      </c>
      <c r="W63" s="123">
        <f>W21+31489145</f>
        <v>36966957</v>
      </c>
      <c r="X63" s="123">
        <f>X21+23968158</f>
        <v>26358180</v>
      </c>
      <c r="Y63" s="123">
        <f>Y21+33606385</f>
        <v>35546385</v>
      </c>
      <c r="Z63" s="123">
        <f>Z21+18884782</f>
        <v>20378069</v>
      </c>
      <c r="AA63" s="123">
        <f>AA21+18053853</f>
        <v>18411534</v>
      </c>
      <c r="AB63" s="123"/>
    </row>
    <row r="64" spans="2:28" ht="12.75">
      <c r="B64" s="124"/>
      <c r="C64" s="125"/>
      <c r="E64" s="126"/>
      <c r="F64" s="126"/>
      <c r="G64" s="126"/>
      <c r="H64" s="126"/>
      <c r="I64" s="126"/>
      <c r="J64" s="126"/>
      <c r="K64" s="124"/>
      <c r="L64" s="125"/>
      <c r="N64" s="126"/>
      <c r="O64" s="126"/>
      <c r="P64" s="126"/>
      <c r="Q64" s="126"/>
      <c r="R64" s="126"/>
      <c r="S64" s="126"/>
      <c r="T64" s="124"/>
      <c r="U64" s="125"/>
      <c r="W64" s="126"/>
      <c r="X64" s="126"/>
      <c r="Y64" s="126"/>
      <c r="Z64" s="126"/>
      <c r="AA64" s="126"/>
      <c r="AB64" s="126"/>
    </row>
    <row r="65" spans="2:28" ht="12.75">
      <c r="B65" s="124"/>
      <c r="C65" s="124"/>
      <c r="D65" s="124"/>
      <c r="E65" s="124"/>
      <c r="F65" s="124"/>
      <c r="G65" s="124"/>
      <c r="H65" s="124"/>
      <c r="I65" s="124"/>
      <c r="J65" s="126"/>
      <c r="K65" s="124"/>
      <c r="L65" s="124"/>
      <c r="M65" s="124"/>
      <c r="N65" s="124"/>
      <c r="O65" s="124"/>
      <c r="P65" s="124"/>
      <c r="Q65" s="124"/>
      <c r="R65" s="124"/>
      <c r="S65" s="126"/>
      <c r="T65" s="124"/>
      <c r="U65" s="124"/>
      <c r="V65" s="124"/>
      <c r="W65" s="124"/>
      <c r="X65" s="124"/>
      <c r="Y65" s="124"/>
      <c r="Z65" s="124"/>
      <c r="AA65" s="124"/>
      <c r="AB65" s="126"/>
    </row>
    <row r="66" spans="2:28" ht="12.75">
      <c r="B66" s="122"/>
      <c r="C66" s="122"/>
      <c r="D66" s="122"/>
      <c r="E66" s="122"/>
      <c r="F66" s="122"/>
      <c r="G66" s="122"/>
      <c r="H66" s="122"/>
      <c r="I66" s="122"/>
      <c r="J66" s="122"/>
      <c r="K66" s="122"/>
      <c r="L66" s="122"/>
      <c r="M66" s="122"/>
      <c r="N66" s="122"/>
      <c r="O66" s="122"/>
      <c r="P66" s="122"/>
      <c r="Q66" s="122"/>
      <c r="R66" s="122"/>
      <c r="S66" s="122"/>
      <c r="T66" s="122"/>
      <c r="U66" s="122"/>
      <c r="V66" s="122"/>
      <c r="W66" s="122"/>
      <c r="X66" s="122"/>
      <c r="Y66" s="122"/>
      <c r="Z66" s="122"/>
      <c r="AA66" s="122"/>
      <c r="AB66" s="122"/>
    </row>
    <row r="67" spans="2:20" ht="12.75">
      <c r="B67" s="122">
        <f>B16-B21+B17-B23+B54</f>
        <v>0</v>
      </c>
      <c r="K67" s="122">
        <f>K16-K21+K17-K23+K54</f>
        <v>-11148931</v>
      </c>
      <c r="T67" s="122">
        <f>T16-T21+T17-T23+T54</f>
        <v>-11148931</v>
      </c>
    </row>
    <row r="69" spans="2:28" ht="12.75">
      <c r="B69" s="122">
        <f>B18-B22+B38</f>
        <v>-26528721</v>
      </c>
      <c r="C69" s="124">
        <f aca="true" t="shared" si="32" ref="C69:J69">C18+C38-C22</f>
        <v>-2412125</v>
      </c>
      <c r="D69" s="124">
        <f t="shared" si="32"/>
        <v>-22616827</v>
      </c>
      <c r="E69" s="124">
        <f t="shared" si="32"/>
        <v>-4253109</v>
      </c>
      <c r="F69" s="124">
        <f t="shared" si="32"/>
        <v>-21800913</v>
      </c>
      <c r="G69" s="124">
        <f t="shared" si="32"/>
        <v>-57758866</v>
      </c>
      <c r="H69" s="124">
        <f t="shared" si="32"/>
        <v>-44153466</v>
      </c>
      <c r="I69" s="124">
        <f t="shared" si="32"/>
        <v>-22666826</v>
      </c>
      <c r="J69" s="124">
        <f t="shared" si="32"/>
        <v>-202190853</v>
      </c>
      <c r="K69" s="122">
        <f>K18-K22+K38</f>
        <v>-16903596</v>
      </c>
      <c r="L69" s="124">
        <f aca="true" t="shared" si="33" ref="L69:S69">L18+L38-L22</f>
        <v>-2362016</v>
      </c>
      <c r="M69" s="124">
        <f t="shared" si="33"/>
        <v>-14394534</v>
      </c>
      <c r="N69" s="124">
        <f t="shared" si="33"/>
        <v>0</v>
      </c>
      <c r="O69" s="124">
        <f t="shared" si="33"/>
        <v>-19235614</v>
      </c>
      <c r="P69" s="124">
        <f t="shared" si="33"/>
        <v>-53721771</v>
      </c>
      <c r="Q69" s="124">
        <f t="shared" si="33"/>
        <v>-42226296</v>
      </c>
      <c r="R69" s="124">
        <f t="shared" si="33"/>
        <v>-21276797</v>
      </c>
      <c r="S69" s="124">
        <f t="shared" si="33"/>
        <v>-170120624</v>
      </c>
      <c r="T69" s="122">
        <f>T18-T22+T38</f>
        <v>9625125</v>
      </c>
      <c r="U69" s="124">
        <f aca="true" t="shared" si="34" ref="U69:AB69">U18+U38-U22</f>
        <v>50109</v>
      </c>
      <c r="V69" s="124">
        <f t="shared" si="34"/>
        <v>8222293</v>
      </c>
      <c r="W69" s="124">
        <f t="shared" si="34"/>
        <v>4253109</v>
      </c>
      <c r="X69" s="124">
        <f t="shared" si="34"/>
        <v>2565299</v>
      </c>
      <c r="Y69" s="124">
        <f t="shared" si="34"/>
        <v>4037095</v>
      </c>
      <c r="Z69" s="124">
        <f t="shared" si="34"/>
        <v>1927170</v>
      </c>
      <c r="AA69" s="124">
        <f t="shared" si="34"/>
        <v>1390029</v>
      </c>
      <c r="AB69" s="124">
        <f t="shared" si="34"/>
        <v>32070229</v>
      </c>
    </row>
    <row r="70" spans="2:20" ht="12.75">
      <c r="B70" s="122"/>
      <c r="K70" s="122"/>
      <c r="T70" s="122"/>
    </row>
  </sheetData>
  <sheetProtection/>
  <mergeCells count="7">
    <mergeCell ref="K13:S13"/>
    <mergeCell ref="T13:AB13"/>
    <mergeCell ref="A13:A14"/>
    <mergeCell ref="G7:J7"/>
    <mergeCell ref="G8:J8"/>
    <mergeCell ref="G9:J9"/>
    <mergeCell ref="B13:J13"/>
  </mergeCells>
  <printOptions/>
  <pageMargins left="0.3937007874015748" right="0.3937007874015748" top="1.1811023622047245" bottom="0.3937007874015748" header="0" footer="0"/>
  <pageSetup horizontalDpi="600" verticalDpi="600" orientation="landscape" paperSize="9" scale="48" r:id="rId1"/>
  <rowBreaks count="1" manualBreakCount="1">
    <brk id="58" max="255" man="1"/>
  </rowBreaks>
  <colBreaks count="2" manualBreakCount="2">
    <brk id="10" min="12" max="57" man="1"/>
    <brk id="19"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minfin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star</dc:creator>
  <cp:keywords/>
  <dc:description/>
  <cp:lastModifiedBy>user</cp:lastModifiedBy>
  <cp:lastPrinted>2019-10-17T07:57:10Z</cp:lastPrinted>
  <dcterms:created xsi:type="dcterms:W3CDTF">2019-02-05T13:51:04Z</dcterms:created>
  <dcterms:modified xsi:type="dcterms:W3CDTF">2019-10-22T05:28:19Z</dcterms:modified>
  <cp:category/>
  <cp:version/>
  <cp:contentType/>
  <cp:contentStatus/>
</cp:coreProperties>
</file>