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7875" activeTab="0"/>
  </bookViews>
  <sheets>
    <sheet name="Приложение № 3" sheetId="1" r:id="rId1"/>
  </sheets>
  <definedNames>
    <definedName name="_xlnm.Print_Titles" localSheetId="0">'Приложение № 3'!$13:$14</definedName>
  </definedNames>
  <calcPr fullCalcOnLoad="1"/>
</workbook>
</file>

<file path=xl/sharedStrings.xml><?xml version="1.0" encoding="utf-8"?>
<sst xmlns="http://schemas.openxmlformats.org/spreadsheetml/2006/main" count="91" uniqueCount="89">
  <si>
    <t>Наименование показателя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</si>
  <si>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</si>
  <si>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</si>
  <si>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</si>
  <si>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</si>
  <si>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</si>
  <si>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</si>
  <si>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</si>
  <si>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</si>
  <si>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</si>
  <si>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целевой сбор на благоустройство территории сел (поселков)</t>
  </si>
  <si>
    <t>целевой сбор на содержание и развитие социальной сферы и инфраструктуры сел (поселков)</t>
  </si>
  <si>
    <t>налог на содержание жилищного фонда, объектов социально-культурной сферы и иные цели</t>
  </si>
  <si>
    <t>целевой сбор землеустроителей</t>
  </si>
  <si>
    <t>средства  от приватизации</t>
  </si>
  <si>
    <t>средства, направляемые на кредитование крестьянских (фермерских) хозяйств (и проценты)</t>
  </si>
  <si>
    <t>средства, направляемые на кредитование молодых специалистов на приобретение строительных материалов для строительства жилья (и проценты)</t>
  </si>
  <si>
    <t>средства, направляемые на кредитование молодых семей на приобретение строительных материалов для строительства жилья (и проценты)</t>
  </si>
  <si>
    <t>на развитие автомобильных дорог общего пользования, находящихся в государственной собственности</t>
  </si>
  <si>
    <t>на развитие автомобильных дорог общего пользования, находящихся в муниципальной  собственности</t>
  </si>
  <si>
    <t>на обустройство мест стоянок и парковок</t>
  </si>
  <si>
    <t xml:space="preserve">РАСХОДЫ  местных бюджетов, из них </t>
  </si>
  <si>
    <t>ПРЕДЕЛЬНЫЙ ДЕФИЦИТ местных бюджетов</t>
  </si>
  <si>
    <t xml:space="preserve">строительство и реконструкция сельских дорог </t>
  </si>
  <si>
    <t xml:space="preserve">в Закон Приднестровской Молдавской Республики </t>
  </si>
  <si>
    <t>"О республиканском бюджете на 2019 год"</t>
  </si>
  <si>
    <t xml:space="preserve">к Закону Приднестровской Молдавской Республики </t>
  </si>
  <si>
    <t>Приложение № 3</t>
  </si>
  <si>
    <t>ДОХОДЫ местных бюджетов, из них</t>
  </si>
  <si>
    <t>по сельским дорогам и дорогам, являющимся продолжением дорог</t>
  </si>
  <si>
    <t>Приложение № 5</t>
  </si>
  <si>
    <t>Плановые доходы и расходы местных бюджетов на 2019 год</t>
  </si>
  <si>
    <t>плата за услуги, осуществляемые органами местного самоуправления в связи с утверждением схем домовладений и (или) иных построек хозяйственного назначения, расположенных в сельских населенных пунктах</t>
  </si>
  <si>
    <t>Субсидии  из РБ  на развитие дорожной отрасли</t>
  </si>
  <si>
    <t>ПРЕДЕЛЬНЫЕ РАСХОДЫ местных бюджетов, из них:</t>
  </si>
  <si>
    <t>Субсидии из РБ  по программе "Столица"</t>
  </si>
  <si>
    <t>Дотации (трансферты) на покрытие дефицита</t>
  </si>
  <si>
    <t xml:space="preserve">№ п/п </t>
  </si>
  <si>
    <t>1.1.</t>
  </si>
  <si>
    <t>1.2.</t>
  </si>
  <si>
    <t>1.2.1.</t>
  </si>
  <si>
    <t>1.2.1.2.</t>
  </si>
  <si>
    <t>1.2.1.3.</t>
  </si>
  <si>
    <t>1.2.1.4.</t>
  </si>
  <si>
    <t>1.2.1.5.</t>
  </si>
  <si>
    <t>1.2.1.6.</t>
  </si>
  <si>
    <t>1.2.1.7.</t>
  </si>
  <si>
    <t>1.2.1.8.</t>
  </si>
  <si>
    <t>1.2.1.9.</t>
  </si>
  <si>
    <t>1.2.1.10.</t>
  </si>
  <si>
    <t>1.2.2.</t>
  </si>
  <si>
    <t>1.2.3.</t>
  </si>
  <si>
    <t>1.2.4.</t>
  </si>
  <si>
    <t>1.2.4.1.</t>
  </si>
  <si>
    <t>1.2.4.2.</t>
  </si>
  <si>
    <t>1.2.4.3.</t>
  </si>
  <si>
    <t>1.2.4.4.</t>
  </si>
  <si>
    <t>1.2.4.5.</t>
  </si>
  <si>
    <t>2.1.</t>
  </si>
  <si>
    <t>2.2.</t>
  </si>
  <si>
    <t>3.1.</t>
  </si>
  <si>
    <t>3.1.1.</t>
  </si>
  <si>
    <t>3.1.2.</t>
  </si>
  <si>
    <t>3.1.3.</t>
  </si>
  <si>
    <t>3.2.</t>
  </si>
  <si>
    <t>5.1.</t>
  </si>
  <si>
    <t>5.2.</t>
  </si>
  <si>
    <t>ОСТАТКИ по состоянию на 1 января 2019 года всего, в том числе:</t>
  </si>
  <si>
    <t>ИСТОЧНИКИ ПОКРЫТИЯ ДЕФИЦИТА местных бюджетов, из них:</t>
  </si>
  <si>
    <t>6.1.</t>
  </si>
  <si>
    <t>6.2.</t>
  </si>
  <si>
    <t>не имеющие целевого назначения  (очищенные)</t>
  </si>
  <si>
    <t>имеющие целевое назначение, в том числе:</t>
  </si>
  <si>
    <t xml:space="preserve"> целевые сборы и платежи всего, в том числе:</t>
  </si>
  <si>
    <t>на специальных бюджетных счетах</t>
  </si>
  <si>
    <t>территориального экологического фонда</t>
  </si>
  <si>
    <t>средства из РБ  на развитие дорожной отрасли</t>
  </si>
  <si>
    <t>доходы к распределению (очищенные)</t>
  </si>
  <si>
    <t>имеющие целевое назначение</t>
  </si>
  <si>
    <t>расходы к распределению (очищенные)</t>
  </si>
  <si>
    <t xml:space="preserve">расходы  на социально защищенные статьи </t>
  </si>
  <si>
    <t xml:space="preserve">прочие статьи </t>
  </si>
  <si>
    <t>возврат дотаций (трансфертов)</t>
  </si>
  <si>
    <t>за счет целевых источников</t>
  </si>
  <si>
    <t>фонд социального развития</t>
  </si>
  <si>
    <t>1.2.1.11.</t>
  </si>
  <si>
    <t>"О внесении изменений и дополнений</t>
  </si>
  <si>
    <t>(руб.)</t>
  </si>
  <si>
    <t>Средства из резервных фондов  Президента и Правительства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</si>
</sst>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\ _L_-;\-* #,##0\ _L_-;_-* &quot;-&quot;\ _L_-;_-@_-"/>
    <numFmt numFmtId="178" formatCode="_-* #,##0.00\ &quot;L&quot;_-;\-* #,##0.00\ &quot;L&quot;_-;_-* &quot;-&quot;??\ &quot;L&quot;_-;_-@_-"/>
    <numFmt numFmtId="179" formatCode="_-* #,##0.00\ _L_-;\-* #,##0.00\ _L_-;_-* &quot;-&quot;??\ _L_-;_-@_-"/>
    <numFmt numFmtId="180" formatCode="_-* #,##0_р_._-;\-* #,##0_р_._-;_-* &quot;-&quot;??_р_._-;_-@_-"/>
    <numFmt numFmtId="181" formatCode="_-* #,##0.0_р_._-;\-* #,##0.0_р_._-;_-* &quot;-&quot;??_р_._-;_-@_-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180" fontId="1" fillId="0" borderId="0" xfId="6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6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6" fillId="24" borderId="10" xfId="0" applyNumberFormat="1" applyFont="1" applyFill="1" applyBorder="1" applyAlignment="1">
      <alignment horizontal="right" vertical="center"/>
    </xf>
    <xf numFmtId="0" fontId="8" fillId="24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5" fillId="24" borderId="10" xfId="0" applyNumberFormat="1" applyFont="1" applyFill="1" applyBorder="1" applyAlignment="1">
      <alignment horizontal="left" vertical="center" wrapText="1"/>
    </xf>
    <xf numFmtId="3" fontId="7" fillId="24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80" zoomScaleNormal="80" zoomScaleSheetLayoutView="80" workbookViewId="0" topLeftCell="A31">
      <selection activeCell="B54" sqref="B54"/>
    </sheetView>
  </sheetViews>
  <sheetFormatPr defaultColWidth="9.00390625" defaultRowHeight="12.75"/>
  <cols>
    <col min="1" max="1" width="10.875" style="18" bestFit="1" customWidth="1"/>
    <col min="2" max="2" width="58.00390625" style="1" customWidth="1"/>
    <col min="3" max="3" width="14.875" style="1" customWidth="1"/>
    <col min="4" max="4" width="14.625" style="1" customWidth="1"/>
    <col min="5" max="5" width="14.875" style="1" customWidth="1"/>
    <col min="6" max="6" width="15.625" style="1" customWidth="1"/>
    <col min="7" max="8" width="15.375" style="1" customWidth="1"/>
    <col min="9" max="9" width="16.00390625" style="1" customWidth="1"/>
    <col min="10" max="10" width="15.00390625" style="1" customWidth="1"/>
    <col min="11" max="11" width="17.375" style="1" customWidth="1"/>
    <col min="12" max="16384" width="9.125" style="1" customWidth="1"/>
  </cols>
  <sheetData>
    <row r="1" ht="15.75">
      <c r="K1" s="30" t="s">
        <v>30</v>
      </c>
    </row>
    <row r="2" ht="15.75">
      <c r="K2" s="30" t="s">
        <v>26</v>
      </c>
    </row>
    <row r="3" spans="8:11" ht="15.75">
      <c r="H3" s="2"/>
      <c r="I3" s="2"/>
      <c r="J3" s="2"/>
      <c r="K3" s="30" t="s">
        <v>86</v>
      </c>
    </row>
    <row r="4" spans="10:11" ht="15.75">
      <c r="J4" s="3"/>
      <c r="K4" s="31" t="s">
        <v>24</v>
      </c>
    </row>
    <row r="5" spans="10:11" ht="15.75">
      <c r="J5" s="3"/>
      <c r="K5" s="31" t="s">
        <v>25</v>
      </c>
    </row>
    <row r="6" ht="15.75">
      <c r="K6" s="32"/>
    </row>
    <row r="7" spans="8:11" ht="15.75">
      <c r="H7" s="7"/>
      <c r="I7" s="7"/>
      <c r="J7" s="8"/>
      <c r="K7" s="33" t="s">
        <v>27</v>
      </c>
    </row>
    <row r="8" spans="8:11" ht="15.75">
      <c r="H8" s="8"/>
      <c r="I8" s="8"/>
      <c r="J8" s="8"/>
      <c r="K8" s="33" t="s">
        <v>26</v>
      </c>
    </row>
    <row r="9" spans="8:11" ht="15.75">
      <c r="H9" s="8"/>
      <c r="I9" s="8"/>
      <c r="J9" s="8"/>
      <c r="K9" s="33" t="s">
        <v>25</v>
      </c>
    </row>
    <row r="11" spans="2:11" ht="18" customHeight="1">
      <c r="B11" s="34" t="s">
        <v>31</v>
      </c>
      <c r="C11" s="34"/>
      <c r="D11" s="34"/>
      <c r="E11" s="34"/>
      <c r="F11" s="34"/>
      <c r="G11" s="34"/>
      <c r="H11" s="34"/>
      <c r="I11" s="34"/>
      <c r="J11" s="34"/>
      <c r="K11" s="34"/>
    </row>
    <row r="12" spans="4:11" ht="20.25" customHeight="1">
      <c r="D12" s="3"/>
      <c r="E12" s="3"/>
      <c r="F12" s="3"/>
      <c r="G12" s="3"/>
      <c r="H12" s="3"/>
      <c r="I12" s="3"/>
      <c r="J12" s="3"/>
      <c r="K12" s="36" t="s">
        <v>87</v>
      </c>
    </row>
    <row r="13" spans="1:11" s="13" customFormat="1" ht="12.75" customHeight="1">
      <c r="A13" s="35" t="s">
        <v>37</v>
      </c>
      <c r="B13" s="35" t="s">
        <v>0</v>
      </c>
      <c r="C13" s="35" t="s">
        <v>1</v>
      </c>
      <c r="D13" s="35" t="s">
        <v>2</v>
      </c>
      <c r="E13" s="35" t="s">
        <v>3</v>
      </c>
      <c r="F13" s="35" t="s">
        <v>4</v>
      </c>
      <c r="G13" s="35" t="s">
        <v>5</v>
      </c>
      <c r="H13" s="35" t="s">
        <v>6</v>
      </c>
      <c r="I13" s="35" t="s">
        <v>7</v>
      </c>
      <c r="J13" s="35" t="s">
        <v>8</v>
      </c>
      <c r="K13" s="35" t="s">
        <v>9</v>
      </c>
    </row>
    <row r="14" spans="1:11" s="13" customFormat="1" ht="27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s="13" customFormat="1" ht="31.5">
      <c r="A15" s="22">
        <v>1</v>
      </c>
      <c r="B15" s="23" t="s">
        <v>67</v>
      </c>
      <c r="C15" s="9">
        <f aca="true" t="shared" si="0" ref="C15:J15">C16+C17</f>
        <v>6591893</v>
      </c>
      <c r="D15" s="9">
        <f t="shared" si="0"/>
        <v>1918829</v>
      </c>
      <c r="E15" s="9">
        <f t="shared" si="0"/>
        <v>4673309</v>
      </c>
      <c r="F15" s="9">
        <f t="shared" si="0"/>
        <v>21967785</v>
      </c>
      <c r="G15" s="9">
        <f t="shared" si="0"/>
        <v>4955321</v>
      </c>
      <c r="H15" s="9">
        <f t="shared" si="0"/>
        <v>5977095</v>
      </c>
      <c r="I15" s="9">
        <f t="shared" si="0"/>
        <v>3420457</v>
      </c>
      <c r="J15" s="9">
        <f t="shared" si="0"/>
        <v>1747710</v>
      </c>
      <c r="K15" s="9">
        <f>SUM(C15:J15)</f>
        <v>51252399</v>
      </c>
    </row>
    <row r="16" spans="1:11" s="13" customFormat="1" ht="15.75">
      <c r="A16" s="22" t="s">
        <v>38</v>
      </c>
      <c r="B16" s="23" t="s">
        <v>71</v>
      </c>
      <c r="C16" s="10">
        <v>2034857</v>
      </c>
      <c r="D16" s="10">
        <f>50109</f>
        <v>50109</v>
      </c>
      <c r="E16" s="10">
        <v>100240</v>
      </c>
      <c r="F16" s="10">
        <v>13231411</v>
      </c>
      <c r="G16" s="10">
        <v>232810</v>
      </c>
      <c r="H16" s="10">
        <v>993071</v>
      </c>
      <c r="I16" s="10">
        <v>201585</v>
      </c>
      <c r="J16" s="10">
        <v>332076</v>
      </c>
      <c r="K16" s="9">
        <f aca="true" t="shared" si="1" ref="K16:K36">SUM(C16:J16)</f>
        <v>17176159</v>
      </c>
    </row>
    <row r="17" spans="1:11" s="13" customFormat="1" ht="15.75">
      <c r="A17" s="22" t="s">
        <v>39</v>
      </c>
      <c r="B17" s="23" t="s">
        <v>72</v>
      </c>
      <c r="C17" s="9">
        <f>C18+C29+C30+C31</f>
        <v>4557036</v>
      </c>
      <c r="D17" s="9">
        <f aca="true" t="shared" si="2" ref="D17:J17">D18+D29+D30+D31</f>
        <v>1868720</v>
      </c>
      <c r="E17" s="9">
        <f t="shared" si="2"/>
        <v>4573069</v>
      </c>
      <c r="F17" s="9">
        <f t="shared" si="2"/>
        <v>8736374</v>
      </c>
      <c r="G17" s="9">
        <f t="shared" si="2"/>
        <v>4722511</v>
      </c>
      <c r="H17" s="9">
        <f t="shared" si="2"/>
        <v>4984024</v>
      </c>
      <c r="I17" s="9">
        <f t="shared" si="2"/>
        <v>3218872</v>
      </c>
      <c r="J17" s="9">
        <f t="shared" si="2"/>
        <v>1415634</v>
      </c>
      <c r="K17" s="9">
        <f>SUM(C17:J17)</f>
        <v>34076240</v>
      </c>
    </row>
    <row r="18" spans="1:11" s="13" customFormat="1" ht="15.75">
      <c r="A18" s="22" t="s">
        <v>40</v>
      </c>
      <c r="B18" s="23" t="s">
        <v>73</v>
      </c>
      <c r="C18" s="9">
        <f>SUM(C19:C28)</f>
        <v>2277121</v>
      </c>
      <c r="D18" s="9">
        <f aca="true" t="shared" si="3" ref="D18:J18">SUM(D19:D28)</f>
        <v>865863</v>
      </c>
      <c r="E18" s="9">
        <f t="shared" si="3"/>
        <v>2311016</v>
      </c>
      <c r="F18" s="9">
        <f t="shared" si="3"/>
        <v>5556122</v>
      </c>
      <c r="G18" s="9">
        <f t="shared" si="3"/>
        <v>2649910</v>
      </c>
      <c r="H18" s="9">
        <f t="shared" si="3"/>
        <v>2670669</v>
      </c>
      <c r="I18" s="9">
        <f t="shared" si="3"/>
        <v>2034645</v>
      </c>
      <c r="J18" s="9">
        <f t="shared" si="3"/>
        <v>897874</v>
      </c>
      <c r="K18" s="9">
        <f t="shared" si="1"/>
        <v>19263220</v>
      </c>
    </row>
    <row r="19" spans="1:11" s="14" customFormat="1" ht="31.5">
      <c r="A19" s="20" t="s">
        <v>41</v>
      </c>
      <c r="B19" s="24" t="s">
        <v>10</v>
      </c>
      <c r="C19" s="11">
        <v>8929</v>
      </c>
      <c r="D19" s="11"/>
      <c r="E19" s="11"/>
      <c r="F19" s="11">
        <v>380224</v>
      </c>
      <c r="G19" s="11">
        <v>280809</v>
      </c>
      <c r="H19" s="11">
        <v>625459</v>
      </c>
      <c r="I19" s="11">
        <v>194956</v>
      </c>
      <c r="J19" s="11">
        <v>452263</v>
      </c>
      <c r="K19" s="25">
        <f t="shared" si="1"/>
        <v>1942640</v>
      </c>
    </row>
    <row r="20" spans="1:11" s="14" customFormat="1" ht="31.5">
      <c r="A20" s="20" t="s">
        <v>42</v>
      </c>
      <c r="B20" s="24" t="s">
        <v>11</v>
      </c>
      <c r="C20" s="11">
        <v>13045</v>
      </c>
      <c r="D20" s="11"/>
      <c r="E20" s="11">
        <v>1</v>
      </c>
      <c r="F20" s="11">
        <v>799383</v>
      </c>
      <c r="G20" s="11">
        <v>72072</v>
      </c>
      <c r="H20" s="11">
        <v>40404</v>
      </c>
      <c r="I20" s="11">
        <v>240868</v>
      </c>
      <c r="J20" s="11">
        <v>151851</v>
      </c>
      <c r="K20" s="25">
        <f t="shared" si="1"/>
        <v>1317624</v>
      </c>
    </row>
    <row r="21" spans="1:11" s="14" customFormat="1" ht="31.5">
      <c r="A21" s="20" t="s">
        <v>43</v>
      </c>
      <c r="B21" s="24" t="s">
        <v>12</v>
      </c>
      <c r="C21" s="11">
        <v>1573893</v>
      </c>
      <c r="D21" s="11">
        <v>751479</v>
      </c>
      <c r="E21" s="11">
        <v>2171212</v>
      </c>
      <c r="F21" s="11">
        <v>3380450</v>
      </c>
      <c r="G21" s="11">
        <v>686261</v>
      </c>
      <c r="H21" s="11">
        <v>653213</v>
      </c>
      <c r="I21" s="11">
        <v>102978</v>
      </c>
      <c r="J21" s="11">
        <v>73959</v>
      </c>
      <c r="K21" s="25">
        <f t="shared" si="1"/>
        <v>9393445</v>
      </c>
    </row>
    <row r="22" spans="1:11" s="14" customFormat="1" ht="15.75">
      <c r="A22" s="20" t="s">
        <v>44</v>
      </c>
      <c r="B22" s="24" t="s">
        <v>13</v>
      </c>
      <c r="C22" s="11"/>
      <c r="D22" s="11"/>
      <c r="E22" s="11">
        <v>2748</v>
      </c>
      <c r="F22" s="11"/>
      <c r="G22" s="11">
        <v>8031</v>
      </c>
      <c r="H22" s="11">
        <v>10770</v>
      </c>
      <c r="I22" s="11">
        <v>4406</v>
      </c>
      <c r="J22" s="11">
        <v>23538</v>
      </c>
      <c r="K22" s="25">
        <f t="shared" si="1"/>
        <v>49493</v>
      </c>
    </row>
    <row r="23" spans="1:11" s="14" customFormat="1" ht="15.75">
      <c r="A23" s="20" t="s">
        <v>45</v>
      </c>
      <c r="B23" s="24" t="s">
        <v>14</v>
      </c>
      <c r="C23" s="11">
        <v>573130</v>
      </c>
      <c r="D23" s="11">
        <v>114384</v>
      </c>
      <c r="E23" s="11"/>
      <c r="F23" s="11"/>
      <c r="G23" s="11">
        <v>1507713</v>
      </c>
      <c r="H23" s="11"/>
      <c r="I23" s="11"/>
      <c r="J23" s="11"/>
      <c r="K23" s="25">
        <f t="shared" si="1"/>
        <v>2195227</v>
      </c>
    </row>
    <row r="24" spans="1:11" s="14" customFormat="1" ht="31.5">
      <c r="A24" s="20" t="s">
        <v>46</v>
      </c>
      <c r="B24" s="24" t="s">
        <v>15</v>
      </c>
      <c r="C24" s="11">
        <v>34999</v>
      </c>
      <c r="D24" s="11"/>
      <c r="E24" s="11"/>
      <c r="F24" s="11">
        <v>541915</v>
      </c>
      <c r="G24" s="11"/>
      <c r="H24" s="11">
        <v>1010582</v>
      </c>
      <c r="I24" s="11">
        <v>1432846</v>
      </c>
      <c r="J24" s="11">
        <v>24975</v>
      </c>
      <c r="K24" s="25">
        <f t="shared" si="1"/>
        <v>3045317</v>
      </c>
    </row>
    <row r="25" spans="1:11" s="14" customFormat="1" ht="47.25">
      <c r="A25" s="20" t="s">
        <v>47</v>
      </c>
      <c r="B25" s="24" t="s">
        <v>16</v>
      </c>
      <c r="C25" s="11"/>
      <c r="D25" s="11"/>
      <c r="E25" s="11"/>
      <c r="F25" s="11">
        <v>382980</v>
      </c>
      <c r="G25" s="11"/>
      <c r="H25" s="11">
        <v>226136</v>
      </c>
      <c r="I25" s="11">
        <v>44509</v>
      </c>
      <c r="J25" s="11">
        <v>28583</v>
      </c>
      <c r="K25" s="25">
        <f t="shared" si="1"/>
        <v>682208</v>
      </c>
    </row>
    <row r="26" spans="1:11" s="14" customFormat="1" ht="47.25">
      <c r="A26" s="20" t="s">
        <v>48</v>
      </c>
      <c r="B26" s="24" t="s">
        <v>17</v>
      </c>
      <c r="C26" s="11">
        <v>73125</v>
      </c>
      <c r="D26" s="11"/>
      <c r="E26" s="11">
        <v>137054</v>
      </c>
      <c r="F26" s="11">
        <v>70735</v>
      </c>
      <c r="G26" s="11">
        <v>95024</v>
      </c>
      <c r="H26" s="11">
        <v>104105</v>
      </c>
      <c r="I26" s="11">
        <v>14082</v>
      </c>
      <c r="J26" s="11">
        <v>142705</v>
      </c>
      <c r="K26" s="25">
        <f t="shared" si="1"/>
        <v>636830</v>
      </c>
    </row>
    <row r="27" spans="1:11" s="14" customFormat="1" ht="78.75">
      <c r="A27" s="20" t="s">
        <v>49</v>
      </c>
      <c r="B27" s="24" t="s">
        <v>32</v>
      </c>
      <c r="C27" s="11"/>
      <c r="D27" s="11"/>
      <c r="E27" s="11"/>
      <c r="F27" s="11">
        <v>435</v>
      </c>
      <c r="G27" s="11"/>
      <c r="H27" s="11"/>
      <c r="I27" s="11"/>
      <c r="J27" s="11"/>
      <c r="K27" s="25">
        <f t="shared" si="1"/>
        <v>435</v>
      </c>
    </row>
    <row r="28" spans="1:11" s="14" customFormat="1" ht="15.75">
      <c r="A28" s="20" t="s">
        <v>85</v>
      </c>
      <c r="B28" s="24" t="s">
        <v>84</v>
      </c>
      <c r="C28" s="11"/>
      <c r="D28" s="11"/>
      <c r="E28" s="11">
        <v>1</v>
      </c>
      <c r="F28" s="11"/>
      <c r="G28" s="11"/>
      <c r="H28" s="11"/>
      <c r="I28" s="11"/>
      <c r="J28" s="11"/>
      <c r="K28" s="25">
        <v>1</v>
      </c>
    </row>
    <row r="29" spans="1:11" s="13" customFormat="1" ht="15.75">
      <c r="A29" s="22" t="s">
        <v>50</v>
      </c>
      <c r="B29" s="23" t="s">
        <v>74</v>
      </c>
      <c r="C29" s="9">
        <v>1955004</v>
      </c>
      <c r="D29" s="9">
        <v>317126</v>
      </c>
      <c r="E29" s="9">
        <v>1145522</v>
      </c>
      <c r="F29" s="9">
        <v>1817444</v>
      </c>
      <c r="G29" s="9">
        <v>1428712</v>
      </c>
      <c r="H29" s="9">
        <v>689060</v>
      </c>
      <c r="I29" s="9">
        <v>622766</v>
      </c>
      <c r="J29" s="9">
        <v>366164</v>
      </c>
      <c r="K29" s="9">
        <f t="shared" si="1"/>
        <v>8341798</v>
      </c>
    </row>
    <row r="30" spans="1:11" s="13" customFormat="1" ht="15.75">
      <c r="A30" s="22" t="s">
        <v>51</v>
      </c>
      <c r="B30" s="23" t="s">
        <v>75</v>
      </c>
      <c r="C30" s="9">
        <v>195959</v>
      </c>
      <c r="D30" s="9">
        <v>647363</v>
      </c>
      <c r="E30" s="9">
        <v>510052</v>
      </c>
      <c r="F30" s="9">
        <v>1362018</v>
      </c>
      <c r="G30" s="9">
        <v>191988</v>
      </c>
      <c r="H30" s="9">
        <v>945618</v>
      </c>
      <c r="I30" s="9">
        <v>482023</v>
      </c>
      <c r="J30" s="9">
        <v>79747</v>
      </c>
      <c r="K30" s="9">
        <f t="shared" si="1"/>
        <v>4414768</v>
      </c>
    </row>
    <row r="31" spans="1:11" s="13" customFormat="1" ht="15.75">
      <c r="A31" s="22" t="s">
        <v>52</v>
      </c>
      <c r="B31" s="26" t="s">
        <v>76</v>
      </c>
      <c r="C31" s="9">
        <f>SUM(C32:C37)</f>
        <v>128952</v>
      </c>
      <c r="D31" s="9">
        <f aca="true" t="shared" si="4" ref="D31:J31">SUM(D32:D37)</f>
        <v>38368</v>
      </c>
      <c r="E31" s="9">
        <f t="shared" si="4"/>
        <v>606479</v>
      </c>
      <c r="F31" s="9">
        <f t="shared" si="4"/>
        <v>790</v>
      </c>
      <c r="G31" s="9">
        <f t="shared" si="4"/>
        <v>451901</v>
      </c>
      <c r="H31" s="9">
        <f t="shared" si="4"/>
        <v>678677</v>
      </c>
      <c r="I31" s="9">
        <f t="shared" si="4"/>
        <v>79438</v>
      </c>
      <c r="J31" s="9">
        <f t="shared" si="4"/>
        <v>71849</v>
      </c>
      <c r="K31" s="9">
        <f t="shared" si="1"/>
        <v>2056454</v>
      </c>
    </row>
    <row r="32" spans="1:11" s="14" customFormat="1" ht="31.5">
      <c r="A32" s="20" t="s">
        <v>53</v>
      </c>
      <c r="B32" s="24" t="s">
        <v>18</v>
      </c>
      <c r="C32" s="11">
        <v>0</v>
      </c>
      <c r="D32" s="11">
        <v>0</v>
      </c>
      <c r="E32" s="11">
        <v>0</v>
      </c>
      <c r="F32" s="11">
        <v>790</v>
      </c>
      <c r="G32" s="11"/>
      <c r="H32" s="11">
        <v>672694</v>
      </c>
      <c r="I32" s="11">
        <v>70531</v>
      </c>
      <c r="J32" s="11">
        <v>328</v>
      </c>
      <c r="K32" s="25">
        <f t="shared" si="1"/>
        <v>744343</v>
      </c>
    </row>
    <row r="33" spans="1:11" s="14" customFormat="1" ht="31.5">
      <c r="A33" s="20" t="s">
        <v>54</v>
      </c>
      <c r="B33" s="24" t="s">
        <v>19</v>
      </c>
      <c r="C33" s="11">
        <v>155</v>
      </c>
      <c r="D33" s="11">
        <v>20390</v>
      </c>
      <c r="E33" s="11">
        <v>163664</v>
      </c>
      <c r="F33" s="11">
        <v>0</v>
      </c>
      <c r="G33" s="11">
        <v>425169</v>
      </c>
      <c r="H33" s="11">
        <v>5970</v>
      </c>
      <c r="I33" s="11">
        <v>7182</v>
      </c>
      <c r="J33" s="11">
        <v>71521</v>
      </c>
      <c r="K33" s="25">
        <f t="shared" si="1"/>
        <v>694051</v>
      </c>
    </row>
    <row r="34" spans="1:11" s="14" customFormat="1" ht="15.75">
      <c r="A34" s="20" t="s">
        <v>55</v>
      </c>
      <c r="B34" s="24" t="s">
        <v>20</v>
      </c>
      <c r="C34" s="11">
        <v>128797</v>
      </c>
      <c r="D34" s="11">
        <v>17978</v>
      </c>
      <c r="E34" s="11">
        <v>442815</v>
      </c>
      <c r="F34" s="11"/>
      <c r="G34" s="11">
        <v>26732</v>
      </c>
      <c r="H34" s="11"/>
      <c r="I34" s="11">
        <v>0</v>
      </c>
      <c r="J34" s="11"/>
      <c r="K34" s="25">
        <f t="shared" si="1"/>
        <v>616322</v>
      </c>
    </row>
    <row r="35" spans="1:11" s="14" customFormat="1" ht="31.5">
      <c r="A35" s="20" t="s">
        <v>56</v>
      </c>
      <c r="B35" s="24" t="s">
        <v>29</v>
      </c>
      <c r="C35" s="11"/>
      <c r="D35" s="11"/>
      <c r="E35" s="11"/>
      <c r="F35" s="11"/>
      <c r="G35" s="11"/>
      <c r="H35" s="11"/>
      <c r="I35" s="11">
        <v>1725</v>
      </c>
      <c r="J35" s="11"/>
      <c r="K35" s="25">
        <f t="shared" si="1"/>
        <v>1725</v>
      </c>
    </row>
    <row r="36" spans="1:11" s="14" customFormat="1" ht="15.75">
      <c r="A36" s="20" t="s">
        <v>57</v>
      </c>
      <c r="B36" s="24" t="s">
        <v>23</v>
      </c>
      <c r="C36" s="11"/>
      <c r="D36" s="11"/>
      <c r="E36" s="11"/>
      <c r="F36" s="11"/>
      <c r="G36" s="11"/>
      <c r="H36" s="11">
        <v>13</v>
      </c>
      <c r="I36" s="11"/>
      <c r="J36" s="11"/>
      <c r="K36" s="25">
        <f t="shared" si="1"/>
        <v>13</v>
      </c>
    </row>
    <row r="37" spans="1:11" s="14" customFormat="1" ht="15.75">
      <c r="A37" s="20"/>
      <c r="B37" s="24"/>
      <c r="C37" s="11"/>
      <c r="D37" s="11"/>
      <c r="E37" s="11"/>
      <c r="F37" s="11"/>
      <c r="G37" s="11"/>
      <c r="H37" s="11"/>
      <c r="I37" s="11"/>
      <c r="J37" s="11"/>
      <c r="K37" s="25"/>
    </row>
    <row r="38" spans="1:11" s="13" customFormat="1" ht="15.75">
      <c r="A38" s="22">
        <v>2</v>
      </c>
      <c r="B38" s="23" t="s">
        <v>28</v>
      </c>
      <c r="C38" s="9">
        <f>SUM(C39:C40)</f>
        <v>338877571</v>
      </c>
      <c r="D38" s="9">
        <f aca="true" t="shared" si="5" ref="D38:J38">SUM(D39:D40)</f>
        <v>28987854</v>
      </c>
      <c r="E38" s="9">
        <f t="shared" si="5"/>
        <v>225737608</v>
      </c>
      <c r="F38" s="9">
        <f t="shared" si="5"/>
        <v>196552136</v>
      </c>
      <c r="G38" s="9">
        <f t="shared" si="5"/>
        <v>84855279</v>
      </c>
      <c r="H38" s="9">
        <f t="shared" si="5"/>
        <v>114753006</v>
      </c>
      <c r="I38" s="9">
        <f t="shared" si="5"/>
        <v>61164643</v>
      </c>
      <c r="J38" s="9">
        <f t="shared" si="5"/>
        <v>38158354</v>
      </c>
      <c r="K38" s="9">
        <f>SUM(C38:J38)</f>
        <v>1089086451</v>
      </c>
    </row>
    <row r="39" spans="1:11" s="13" customFormat="1" ht="15.75">
      <c r="A39" s="22" t="s">
        <v>58</v>
      </c>
      <c r="B39" s="23" t="s">
        <v>77</v>
      </c>
      <c r="C39" s="9">
        <f>261449999+21973557</f>
        <v>283423556</v>
      </c>
      <c r="D39" s="9">
        <v>20177932</v>
      </c>
      <c r="E39" s="9">
        <f>198362298</f>
        <v>198362298</v>
      </c>
      <c r="F39" s="9">
        <f>176850222-3391917+2821106</f>
        <v>176279411</v>
      </c>
      <c r="G39" s="9">
        <v>75626195</v>
      </c>
      <c r="H39" s="9">
        <v>97129937</v>
      </c>
      <c r="I39" s="9">
        <f>49172299</f>
        <v>49172299</v>
      </c>
      <c r="J39" s="9">
        <f>29516919</f>
        <v>29516919</v>
      </c>
      <c r="K39" s="9">
        <f>SUM(C39:J39)</f>
        <v>929688547</v>
      </c>
    </row>
    <row r="40" spans="1:11" s="13" customFormat="1" ht="15.75">
      <c r="A40" s="22" t="s">
        <v>59</v>
      </c>
      <c r="B40" s="23" t="s">
        <v>78</v>
      </c>
      <c r="C40" s="9">
        <f>45158372+295643+10000000</f>
        <v>55454015</v>
      </c>
      <c r="D40" s="9">
        <f>8689922+120000</f>
        <v>8809922</v>
      </c>
      <c r="E40" s="9">
        <f>25872610+600000+902700</f>
        <v>27375310</v>
      </c>
      <c r="F40" s="9">
        <f>19647292+390994+234439</f>
        <v>20272725</v>
      </c>
      <c r="G40" s="9">
        <f>8920078+309006</f>
        <v>9229084</v>
      </c>
      <c r="H40" s="9">
        <f>16668891+954178</f>
        <v>17623069</v>
      </c>
      <c r="I40" s="9">
        <f>11792344+200000</f>
        <v>11992344</v>
      </c>
      <c r="J40" s="9">
        <f>8068225+892406+15244-334440</f>
        <v>8641435</v>
      </c>
      <c r="K40" s="9">
        <f>SUM(C40:J40)</f>
        <v>159397904</v>
      </c>
    </row>
    <row r="41" spans="1:11" s="13" customFormat="1" ht="15.75">
      <c r="A41" s="19"/>
      <c r="B41" s="23"/>
      <c r="C41" s="9"/>
      <c r="D41" s="9"/>
      <c r="E41" s="9"/>
      <c r="F41" s="9"/>
      <c r="G41" s="9"/>
      <c r="H41" s="9"/>
      <c r="I41" s="9"/>
      <c r="J41" s="9"/>
      <c r="K41" s="9"/>
    </row>
    <row r="42" spans="1:11" s="13" customFormat="1" ht="15.75">
      <c r="A42" s="22">
        <v>3</v>
      </c>
      <c r="B42" s="23" t="s">
        <v>21</v>
      </c>
      <c r="C42" s="9">
        <f>SUM(C47+C43)</f>
        <v>346877723</v>
      </c>
      <c r="D42" s="9">
        <f aca="true" t="shared" si="6" ref="D42:J42">SUM(D47+D43)</f>
        <v>34874051</v>
      </c>
      <c r="E42" s="9">
        <f t="shared" si="6"/>
        <v>247628479</v>
      </c>
      <c r="F42" s="9">
        <f t="shared" si="6"/>
        <v>218519921</v>
      </c>
      <c r="G42" s="9">
        <f t="shared" si="6"/>
        <v>113198089</v>
      </c>
      <c r="H42" s="9">
        <f t="shared" si="6"/>
        <v>180542816</v>
      </c>
      <c r="I42" s="9">
        <f t="shared" si="6"/>
        <v>108873252</v>
      </c>
      <c r="J42" s="9">
        <f t="shared" si="6"/>
        <v>61773847</v>
      </c>
      <c r="K42" s="9">
        <f aca="true" t="shared" si="7" ref="K42:K47">SUM(C42:J42)</f>
        <v>1312288178</v>
      </c>
    </row>
    <row r="43" spans="1:11" s="13" customFormat="1" ht="15.75">
      <c r="A43" s="22" t="s">
        <v>60</v>
      </c>
      <c r="B43" s="23" t="s">
        <v>79</v>
      </c>
      <c r="C43" s="9">
        <f>SUM(C44:C46)</f>
        <v>285458413</v>
      </c>
      <c r="D43" s="9">
        <f aca="true" t="shared" si="8" ref="D43:J43">SUM(D44:D46)</f>
        <v>24195409</v>
      </c>
      <c r="E43" s="9">
        <f t="shared" si="8"/>
        <v>214441443</v>
      </c>
      <c r="F43" s="9">
        <f t="shared" si="8"/>
        <v>189510822</v>
      </c>
      <c r="G43" s="9">
        <f t="shared" si="8"/>
        <v>99240926</v>
      </c>
      <c r="H43" s="9">
        <f t="shared" si="8"/>
        <v>157923569</v>
      </c>
      <c r="I43" s="9">
        <f t="shared" si="8"/>
        <v>93445982</v>
      </c>
      <c r="J43" s="9">
        <f t="shared" si="8"/>
        <v>51716778</v>
      </c>
      <c r="K43" s="9">
        <f t="shared" si="7"/>
        <v>1115933342</v>
      </c>
    </row>
    <row r="44" spans="1:11" s="14" customFormat="1" ht="15.75">
      <c r="A44" s="20" t="s">
        <v>61</v>
      </c>
      <c r="B44" s="27" t="s">
        <v>80</v>
      </c>
      <c r="C44" s="11">
        <f>252377720-1016536</f>
        <v>251361184</v>
      </c>
      <c r="D44" s="11">
        <f>21267653+832698</f>
        <v>22100351</v>
      </c>
      <c r="E44" s="11">
        <f>193452770+52661+240618</f>
        <v>193746049</v>
      </c>
      <c r="F44" s="11">
        <f>172492116-3391917+3872084</f>
        <v>172972283</v>
      </c>
      <c r="G44" s="11">
        <f>87032849+3200919</f>
        <v>90233768</v>
      </c>
      <c r="H44" s="11">
        <f>141611289+3557000</f>
        <v>145168289</v>
      </c>
      <c r="I44" s="11">
        <f>86402872+374995</f>
        <v>86777867</v>
      </c>
      <c r="J44" s="11">
        <f>48058811+800151</f>
        <v>48858962</v>
      </c>
      <c r="K44" s="25">
        <f t="shared" si="7"/>
        <v>1011218753</v>
      </c>
    </row>
    <row r="45" spans="1:11" s="14" customFormat="1" ht="15.75">
      <c r="A45" s="20" t="s">
        <v>62</v>
      </c>
      <c r="B45" s="27" t="s">
        <v>81</v>
      </c>
      <c r="C45" s="11">
        <f>24171860+4775319</f>
        <v>28947179</v>
      </c>
      <c r="D45" s="11">
        <v>2095058</v>
      </c>
      <c r="E45" s="11">
        <f>17706674+2988720</f>
        <v>20695394</v>
      </c>
      <c r="F45" s="11">
        <f>17589517-1050978</f>
        <v>16538539</v>
      </c>
      <c r="G45" s="11">
        <f>7507158+1500000</f>
        <v>9007158</v>
      </c>
      <c r="H45" s="11">
        <f>9655161+3100119</f>
        <v>12755280</v>
      </c>
      <c r="I45" s="11">
        <f>4886110+1782005</f>
        <v>6668115</v>
      </c>
      <c r="J45" s="11">
        <v>2857816</v>
      </c>
      <c r="K45" s="25">
        <f t="shared" si="7"/>
        <v>99564539</v>
      </c>
    </row>
    <row r="46" spans="1:11" s="17" customFormat="1" ht="15.75">
      <c r="A46" s="21" t="s">
        <v>63</v>
      </c>
      <c r="B46" s="28" t="s">
        <v>82</v>
      </c>
      <c r="C46" s="16">
        <v>5150050</v>
      </c>
      <c r="D46" s="16"/>
      <c r="E46" s="16"/>
      <c r="F46" s="16"/>
      <c r="G46" s="16"/>
      <c r="H46" s="16"/>
      <c r="I46" s="16"/>
      <c r="J46" s="16"/>
      <c r="K46" s="29">
        <f t="shared" si="7"/>
        <v>5150050</v>
      </c>
    </row>
    <row r="47" spans="1:11" s="13" customFormat="1" ht="15.75">
      <c r="A47" s="22" t="s">
        <v>64</v>
      </c>
      <c r="B47" s="23" t="s">
        <v>83</v>
      </c>
      <c r="C47" s="9">
        <f>49715408+295643+367919+10000000+1040340</f>
        <v>61419310</v>
      </c>
      <c r="D47" s="9">
        <f>10558642+120000</f>
        <v>10678642</v>
      </c>
      <c r="E47" s="9">
        <f>30705679+600000+978657+902700</f>
        <v>33187036</v>
      </c>
      <c r="F47" s="9">
        <f>28383666+390994+234439</f>
        <v>29009099</v>
      </c>
      <c r="G47" s="9">
        <f>13642589+309006+5568</f>
        <v>13957163</v>
      </c>
      <c r="H47" s="9">
        <f>21652915+954178+12154</f>
        <v>22619247</v>
      </c>
      <c r="I47" s="9">
        <f>15011216+200000+216054</f>
        <v>15427270</v>
      </c>
      <c r="J47" s="9">
        <f>9483859+892406+15244-334440</f>
        <v>10057069</v>
      </c>
      <c r="K47" s="9">
        <f t="shared" si="7"/>
        <v>196354836</v>
      </c>
    </row>
    <row r="48" spans="1:11" s="13" customFormat="1" ht="15.75">
      <c r="A48" s="19"/>
      <c r="B48" s="23"/>
      <c r="C48" s="9"/>
      <c r="D48" s="9"/>
      <c r="E48" s="9"/>
      <c r="F48" s="9"/>
      <c r="G48" s="9"/>
      <c r="H48" s="9"/>
      <c r="I48" s="9"/>
      <c r="J48" s="9"/>
      <c r="K48" s="9"/>
    </row>
    <row r="49" spans="1:11" s="13" customFormat="1" ht="15.75">
      <c r="A49" s="22">
        <v>4</v>
      </c>
      <c r="B49" s="23" t="s">
        <v>22</v>
      </c>
      <c r="C49" s="9">
        <f>C42-C38</f>
        <v>8000152</v>
      </c>
      <c r="D49" s="9">
        <f aca="true" t="shared" si="9" ref="D49:J49">D42-D38</f>
        <v>5886197</v>
      </c>
      <c r="E49" s="9">
        <f t="shared" si="9"/>
        <v>21890871</v>
      </c>
      <c r="F49" s="9">
        <f t="shared" si="9"/>
        <v>21967785</v>
      </c>
      <c r="G49" s="9">
        <f t="shared" si="9"/>
        <v>28342810</v>
      </c>
      <c r="H49" s="9">
        <f t="shared" si="9"/>
        <v>65789810</v>
      </c>
      <c r="I49" s="9">
        <f t="shared" si="9"/>
        <v>47708609</v>
      </c>
      <c r="J49" s="9">
        <f t="shared" si="9"/>
        <v>23615493</v>
      </c>
      <c r="K49" s="9">
        <f>SUM(C49:J49)</f>
        <v>223201727</v>
      </c>
    </row>
    <row r="50" spans="1:11" s="13" customFormat="1" ht="15.75">
      <c r="A50" s="19"/>
      <c r="B50" s="23"/>
      <c r="C50" s="9"/>
      <c r="D50" s="9"/>
      <c r="E50" s="9"/>
      <c r="F50" s="9"/>
      <c r="G50" s="9"/>
      <c r="H50" s="9"/>
      <c r="I50" s="9"/>
      <c r="J50" s="9"/>
      <c r="K50" s="9"/>
    </row>
    <row r="51" spans="1:11" s="13" customFormat="1" ht="31.5">
      <c r="A51" s="22">
        <v>5</v>
      </c>
      <c r="B51" s="23" t="s">
        <v>68</v>
      </c>
      <c r="C51" s="9"/>
      <c r="D51" s="9"/>
      <c r="E51" s="9"/>
      <c r="F51" s="9"/>
      <c r="G51" s="9"/>
      <c r="H51" s="9"/>
      <c r="I51" s="9"/>
      <c r="J51" s="9"/>
      <c r="K51" s="9"/>
    </row>
    <row r="52" spans="1:11" s="15" customFormat="1" ht="15.75">
      <c r="A52" s="19" t="s">
        <v>65</v>
      </c>
      <c r="B52" s="24" t="s">
        <v>36</v>
      </c>
      <c r="C52" s="12"/>
      <c r="D52" s="12">
        <f>3134670+832698</f>
        <v>3967368</v>
      </c>
      <c r="E52" s="12">
        <f>12749567</f>
        <v>12749567</v>
      </c>
      <c r="F52" s="12">
        <v>0</v>
      </c>
      <c r="G52" s="12">
        <f>18681002</f>
        <v>18681002</v>
      </c>
      <c r="H52" s="12">
        <f>53143442+3100119</f>
        <v>56243561</v>
      </c>
      <c r="I52" s="12">
        <f>41915098</f>
        <v>41915098</v>
      </c>
      <c r="J52" s="12">
        <v>21067632</v>
      </c>
      <c r="K52" s="9">
        <f>SUM(C52:J52)</f>
        <v>154624228</v>
      </c>
    </row>
    <row r="53" spans="1:11" s="15" customFormat="1" ht="33.75" customHeight="1">
      <c r="A53" s="19" t="s">
        <v>66</v>
      </c>
      <c r="B53" s="24" t="s">
        <v>88</v>
      </c>
      <c r="C53" s="12">
        <f>1040340+367919</f>
        <v>1408259</v>
      </c>
      <c r="D53" s="12"/>
      <c r="E53" s="12">
        <f>978657+260000</f>
        <v>1238657</v>
      </c>
      <c r="F53" s="12"/>
      <c r="G53" s="12">
        <v>5568</v>
      </c>
      <c r="H53" s="12">
        <v>12154</v>
      </c>
      <c r="I53" s="12">
        <v>216054</v>
      </c>
      <c r="J53" s="12"/>
      <c r="K53" s="9">
        <f>SUM(C53:J53)</f>
        <v>2880692</v>
      </c>
    </row>
    <row r="54" spans="1:11" s="15" customFormat="1" ht="15.75">
      <c r="A54" s="19"/>
      <c r="B54" s="24"/>
      <c r="C54" s="12"/>
      <c r="D54" s="12"/>
      <c r="E54" s="12"/>
      <c r="F54" s="12"/>
      <c r="G54" s="12"/>
      <c r="H54" s="12"/>
      <c r="I54" s="12"/>
      <c r="J54" s="12"/>
      <c r="K54" s="9"/>
    </row>
    <row r="55" spans="1:11" s="13" customFormat="1" ht="18.75" customHeight="1">
      <c r="A55" s="19">
        <v>6</v>
      </c>
      <c r="B55" s="23" t="s">
        <v>34</v>
      </c>
      <c r="C55" s="9">
        <f>C42+C56+C57</f>
        <v>409896260</v>
      </c>
      <c r="D55" s="9">
        <f aca="true" t="shared" si="10" ref="D55:J55">D42+D56+D57</f>
        <v>36241985</v>
      </c>
      <c r="E55" s="9">
        <f t="shared" si="10"/>
        <v>275950558</v>
      </c>
      <c r="F55" s="9">
        <f t="shared" si="10"/>
        <v>250122136</v>
      </c>
      <c r="G55" s="9">
        <f t="shared" si="10"/>
        <v>137214349</v>
      </c>
      <c r="H55" s="9">
        <f t="shared" si="10"/>
        <v>214767622</v>
      </c>
      <c r="I55" s="9">
        <f t="shared" si="10"/>
        <v>128459952</v>
      </c>
      <c r="J55" s="9">
        <f t="shared" si="10"/>
        <v>79854948</v>
      </c>
      <c r="K55" s="9">
        <f>SUM(C55:J55)</f>
        <v>1532507810</v>
      </c>
    </row>
    <row r="56" spans="1:11" s="14" customFormat="1" ht="15.75">
      <c r="A56" s="20" t="s">
        <v>69</v>
      </c>
      <c r="B56" s="27" t="s">
        <v>35</v>
      </c>
      <c r="C56" s="11">
        <v>499587</v>
      </c>
      <c r="D56" s="11"/>
      <c r="E56" s="11"/>
      <c r="F56" s="11"/>
      <c r="G56" s="11"/>
      <c r="H56" s="11"/>
      <c r="I56" s="11"/>
      <c r="J56" s="11"/>
      <c r="K56" s="25">
        <f>SUM(C56:J56)</f>
        <v>499587</v>
      </c>
    </row>
    <row r="57" spans="1:11" s="14" customFormat="1" ht="15.75">
      <c r="A57" s="20" t="s">
        <v>70</v>
      </c>
      <c r="B57" s="27" t="s">
        <v>33</v>
      </c>
      <c r="C57" s="11">
        <f>61218950+1300000</f>
        <v>62518950</v>
      </c>
      <c r="D57" s="11">
        <v>1367934</v>
      </c>
      <c r="E57" s="11">
        <v>28322079</v>
      </c>
      <c r="F57" s="11">
        <v>31602215</v>
      </c>
      <c r="G57" s="11">
        <v>24016260</v>
      </c>
      <c r="H57" s="11">
        <v>34224806</v>
      </c>
      <c r="I57" s="11">
        <v>19586700</v>
      </c>
      <c r="J57" s="11">
        <v>18081101</v>
      </c>
      <c r="K57" s="25">
        <f>SUM(C57:J57)</f>
        <v>219720045</v>
      </c>
    </row>
    <row r="60" spans="3:11" ht="12.75">
      <c r="C60" s="4"/>
      <c r="D60" s="4"/>
      <c r="E60" s="4"/>
      <c r="F60" s="4"/>
      <c r="G60" s="4"/>
      <c r="H60" s="4"/>
      <c r="I60" s="4"/>
      <c r="J60" s="4"/>
      <c r="K60" s="4"/>
    </row>
    <row r="61" spans="3:11" ht="12.75">
      <c r="C61" s="5"/>
      <c r="D61" s="5"/>
      <c r="E61" s="5"/>
      <c r="F61" s="5"/>
      <c r="G61" s="5"/>
      <c r="H61" s="5"/>
      <c r="I61" s="5"/>
      <c r="J61" s="5"/>
      <c r="K61" s="4"/>
    </row>
    <row r="62" spans="3:11" ht="12.75">
      <c r="C62" s="5"/>
      <c r="D62" s="5"/>
      <c r="E62" s="5"/>
      <c r="F62" s="5"/>
      <c r="G62" s="5"/>
      <c r="H62" s="5"/>
      <c r="I62" s="5"/>
      <c r="J62" s="5"/>
      <c r="K62" s="5"/>
    </row>
    <row r="63" spans="3:10" ht="12.75">
      <c r="C63" s="5"/>
      <c r="D63" s="5"/>
      <c r="E63" s="5"/>
      <c r="F63" s="5"/>
      <c r="G63" s="5"/>
      <c r="H63" s="5"/>
      <c r="I63" s="5"/>
      <c r="J63" s="5"/>
    </row>
    <row r="64" spans="3:10" ht="12.75">
      <c r="C64" s="5"/>
      <c r="D64" s="5"/>
      <c r="E64" s="5"/>
      <c r="F64" s="5"/>
      <c r="G64" s="5"/>
      <c r="H64" s="5"/>
      <c r="I64" s="5"/>
      <c r="J64" s="5"/>
    </row>
    <row r="65" spans="3:11" ht="12.75">
      <c r="C65" s="5"/>
      <c r="D65" s="5"/>
      <c r="E65" s="5"/>
      <c r="F65" s="5"/>
      <c r="G65" s="5"/>
      <c r="H65" s="5"/>
      <c r="I65" s="5"/>
      <c r="J65" s="5"/>
      <c r="K65" s="6"/>
    </row>
    <row r="67" spans="3:10" ht="12.75">
      <c r="C67" s="6"/>
      <c r="D67" s="6"/>
      <c r="E67" s="6"/>
      <c r="F67" s="6"/>
      <c r="G67" s="6"/>
      <c r="H67" s="6"/>
      <c r="I67" s="6"/>
      <c r="J67" s="6"/>
    </row>
    <row r="70" ht="12.75">
      <c r="F70" s="6"/>
    </row>
  </sheetData>
  <sheetProtection/>
  <mergeCells count="12">
    <mergeCell ref="A13:A14"/>
    <mergeCell ref="B13:B14"/>
    <mergeCell ref="B11:K11"/>
    <mergeCell ref="I13:I14"/>
    <mergeCell ref="J13:J14"/>
    <mergeCell ref="K13:K14"/>
    <mergeCell ref="C13:C14"/>
    <mergeCell ref="D13:D14"/>
    <mergeCell ref="E13:E14"/>
    <mergeCell ref="F13:F14"/>
    <mergeCell ref="G13:G14"/>
    <mergeCell ref="H13:H14"/>
  </mergeCells>
  <printOptions/>
  <pageMargins left="0.3937007874015748" right="0.3937007874015748" top="0.5118110236220472" bottom="0.3937007874015748" header="0" footer="0"/>
  <pageSetup firstPageNumber="89" useFirstPageNumber="1" horizontalDpi="600" verticalDpi="600" orientation="landscape" paperSize="9" scale="6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201k-1</cp:lastModifiedBy>
  <cp:lastPrinted>2019-10-28T14:48:37Z</cp:lastPrinted>
  <dcterms:created xsi:type="dcterms:W3CDTF">2019-02-14T16:01:23Z</dcterms:created>
  <dcterms:modified xsi:type="dcterms:W3CDTF">2019-10-29T15:27:43Z</dcterms:modified>
  <cp:category/>
  <cp:version/>
  <cp:contentType/>
  <cp:contentStatus/>
</cp:coreProperties>
</file>