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Приложение №27" sheetId="1" r:id="rId1"/>
  </sheets>
  <definedNames>
    <definedName name="_xlnm.Print_Titles" localSheetId="0">'Приложение №27'!$8:$10</definedName>
  </definedNames>
  <calcPr fullCalcOnLoad="1" fullPrecision="0"/>
</workbook>
</file>

<file path=xl/sharedStrings.xml><?xml version="1.0" encoding="utf-8"?>
<sst xmlns="http://schemas.openxmlformats.org/spreadsheetml/2006/main" count="502" uniqueCount="210">
  <si>
    <t>Функцион.</t>
  </si>
  <si>
    <t>Код пр-пол.</t>
  </si>
  <si>
    <t>Наименование</t>
  </si>
  <si>
    <t>Оплата тепловой энергии</t>
  </si>
  <si>
    <t>Освещение помещений</t>
  </si>
  <si>
    <t>Оплата газа</t>
  </si>
  <si>
    <t>Раздел</t>
  </si>
  <si>
    <t>Подраздел</t>
  </si>
  <si>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</si>
  <si>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</si>
  <si>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</si>
  <si>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</si>
  <si>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</si>
  <si>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</si>
  <si>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</si>
  <si>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</si>
  <si>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</si>
  <si>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</si>
  <si>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</si>
  <si>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</si>
  <si>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</si>
  <si>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</si>
  <si>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</si>
  <si>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</si>
  <si>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</si>
  <si>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</si>
  <si>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</si>
  <si>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</si>
  <si>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</si>
  <si>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</si>
  <si>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</si>
  <si>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</si>
  <si>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</si>
  <si>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</si>
  <si>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</si>
  <si>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</si>
  <si>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</si>
  <si>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</si>
  <si>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</si>
  <si>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</si>
  <si>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</si>
  <si>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</si>
  <si>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</si>
  <si>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</si>
  <si>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</si>
  <si>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</si>
  <si>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</si>
  <si>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</si>
  <si>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</si>
  <si>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</si>
  <si>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</si>
  <si>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</si>
  <si>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</si>
  <si>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</si>
  <si>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</si>
  <si>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</si>
  <si>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</si>
  <si>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</si>
  <si>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</si>
  <si>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</si>
  <si>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</si>
  <si>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</si>
  <si>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</si>
  <si>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</si>
  <si>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</si>
  <si>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</si>
  <si>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</si>
  <si>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</si>
  <si>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</si>
  <si>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</si>
  <si>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</si>
  <si>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</si>
  <si>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</si>
  <si>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</si>
  <si>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</si>
  <si>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</si>
  <si>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</si>
  <si>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</si>
  <si>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</si>
  <si>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</si>
  <si>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</si>
  <si>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</si>
  <si>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</si>
  <si>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</si>
  <si>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</si>
  <si>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</si>
  <si>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</si>
  <si>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</si>
  <si>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</si>
  <si>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</si>
  <si>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</si>
  <si>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</si>
  <si>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</si>
  <si>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</si>
  <si>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</si>
  <si>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</si>
  <si>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</si>
  <si>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</si>
  <si>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</si>
  <si>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</si>
  <si>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</si>
  <si>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</si>
  <si>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</si>
  <si>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</si>
  <si>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</si>
  <si>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</si>
  <si>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</si>
  <si>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</si>
  <si>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</si>
  <si>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</si>
  <si>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</si>
  <si>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</si>
  <si>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</si>
  <si>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</si>
  <si>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</si>
  <si>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</si>
  <si>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</si>
  <si>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</si>
  <si>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</si>
  <si>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</si>
  <si>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</si>
  <si>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0900</t>
  </si>
  <si>
    <t>ОХРАНА ОКРУЖ. СРЕДЫ, ГИДРОМЕТЕОРОЛОГИЯ, ЛЕСНОЕ, РЫБНОЕ И ВОДНОЕ ХОЗ-ВО</t>
  </si>
  <si>
    <t>Гидрометеорология</t>
  </si>
  <si>
    <t>Мин-во с/х и прир.рес. (Республиканский  ГМЦ)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</si>
  <si>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</si>
  <si>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</si>
  <si>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</si>
  <si>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</si>
  <si>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</si>
  <si>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</si>
  <si>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</si>
  <si>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</si>
  <si>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</si>
  <si>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</si>
  <si>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</si>
  <si>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136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</si>
  <si>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</si>
  <si>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</si>
  <si>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</si>
  <si>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</si>
  <si>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</si>
  <si>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</si>
  <si>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</si>
  <si>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</si>
  <si>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</si>
  <si>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</si>
  <si>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</si>
  <si>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</si>
  <si>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Учр. и меропр. в обл. культ.,искус.,спорта, не отн.к др.гр.</t>
  </si>
  <si>
    <t>Респ.спорт.-реаб.центр инвалидов</t>
  </si>
  <si>
    <t>СДЮШОР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</si>
  <si>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</si>
  <si>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</si>
  <si>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</si>
  <si>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</si>
  <si>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</si>
  <si>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</si>
  <si>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</si>
  <si>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</si>
  <si>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</si>
  <si>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</si>
  <si>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</si>
  <si>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</si>
  <si>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</si>
  <si>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</si>
  <si>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</si>
  <si>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1700</t>
  </si>
  <si>
    <t>СОЦИАЛЬНАЯ ПОЛИТИКА</t>
  </si>
  <si>
    <t>17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</si>
  <si>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</si>
  <si>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</si>
  <si>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</si>
  <si>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</si>
  <si>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3000</t>
  </si>
  <si>
    <t>ПРОЧИЕ РАСХОДЫ</t>
  </si>
  <si>
    <t>30</t>
  </si>
  <si>
    <t>Проведение выборов и референдумов</t>
  </si>
  <si>
    <t>112</t>
  </si>
  <si>
    <t>Центральная избирательная комиссия ПМР</t>
  </si>
  <si>
    <t>ВСЕГО</t>
  </si>
  <si>
    <t>12</t>
  </si>
  <si>
    <t>Льготы отдельным категориям населения на ЖКУ</t>
  </si>
  <si>
    <t>Льготы по коммун. услугам</t>
  </si>
  <si>
    <t>Трансферты                 на покрытие разницы в ценах и тарифах</t>
  </si>
  <si>
    <t>ИТОГО                   прирост кредиторской задолженности</t>
  </si>
  <si>
    <t>2000</t>
  </si>
  <si>
    <t xml:space="preserve">   </t>
  </si>
  <si>
    <t xml:space="preserve">ФИНАНСОВАЯ ПОМОЩЬ БЮДЖЕТАМ ДРУГИХ УРОВНЕЙ                   </t>
  </si>
  <si>
    <t>20</t>
  </si>
  <si>
    <t xml:space="preserve">Финансовая помощь бюджетам др. уровней                      </t>
  </si>
  <si>
    <t xml:space="preserve">Трансферты на покрытие разницы в ценах и тарифах на ЖКУ     </t>
  </si>
  <si>
    <t>Предельные размеры прироста объема кредиторской задолженности учреждений республиканского бюджета на 2020 год</t>
  </si>
  <si>
    <t>ЦЕЛЕВЫЕ БЮДЖЕТНЫЕ ФОНДЫ</t>
  </si>
  <si>
    <t>3200</t>
  </si>
  <si>
    <t>32</t>
  </si>
  <si>
    <t>134</t>
  </si>
  <si>
    <t>Государственный целевой фонд таможенных органов ПМР</t>
  </si>
  <si>
    <t>к Закону Приднестровской Молдавской Республики</t>
  </si>
  <si>
    <t>Приложение № 28</t>
  </si>
  <si>
    <t xml:space="preserve"> (руб.)</t>
  </si>
  <si>
    <t>"О республиканском бюджете на 2020 год"</t>
  </si>
  <si>
    <t>Водоснабже-ние помещений</t>
  </si>
  <si>
    <t>ГС управления документацией и архивами ПМР (аппарат)</t>
  </si>
  <si>
    <t>ГС по культуре  и историческому наследию ПМР (аппарат)</t>
  </si>
  <si>
    <t>ГУ "Агентство по инвестициям ПМР"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</si>
  <si>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</si>
  <si>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</si>
  <si>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</si>
  <si>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ГОУ СПО "Училище олимпийского резерва"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</si>
</sst>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#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29">
    <font>
      <sz val="10"/>
      <name val="Arial Cyr"/>
      <family val="0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pane xSplit="4" ySplit="11" topLeftCell="E12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34" sqref="E134"/>
    </sheetView>
  </sheetViews>
  <sheetFormatPr defaultColWidth="11.375" defaultRowHeight="12.75"/>
  <cols>
    <col min="1" max="1" width="6.375" style="15" customWidth="1"/>
    <col min="2" max="2" width="6.75390625" style="15" customWidth="1"/>
    <col min="3" max="3" width="5.00390625" style="15" customWidth="1"/>
    <col min="4" max="4" width="53.75390625" style="16" customWidth="1"/>
    <col min="5" max="5" width="15.75390625" style="11" customWidth="1"/>
    <col min="6" max="7" width="10.75390625" style="11" customWidth="1"/>
    <col min="8" max="8" width="12.125" style="11" customWidth="1"/>
    <col min="9" max="9" width="10.75390625" style="11" customWidth="1"/>
    <col min="10" max="10" width="11.375" style="11" customWidth="1"/>
    <col min="11" max="11" width="16.125" style="8" customWidth="1"/>
    <col min="12" max="16384" width="11.375" style="8" customWidth="1"/>
  </cols>
  <sheetData>
    <row r="1" spans="1:11" ht="15.75">
      <c r="A1" s="1"/>
      <c r="B1" s="1"/>
      <c r="C1" s="2"/>
      <c r="D1" s="3"/>
      <c r="E1" s="10"/>
      <c r="H1" s="12"/>
      <c r="I1" s="12"/>
      <c r="J1" s="12"/>
      <c r="K1" s="25" t="s">
        <v>199</v>
      </c>
    </row>
    <row r="2" spans="1:11" ht="15.75">
      <c r="A2" s="1"/>
      <c r="B2" s="1"/>
      <c r="C2" s="2"/>
      <c r="D2" s="3"/>
      <c r="E2" s="10"/>
      <c r="H2" s="12"/>
      <c r="I2" s="12"/>
      <c r="J2" s="12"/>
      <c r="K2" s="25" t="s">
        <v>198</v>
      </c>
    </row>
    <row r="3" spans="1:11" ht="15.75">
      <c r="A3" s="1"/>
      <c r="B3" s="1"/>
      <c r="C3" s="2"/>
      <c r="D3" s="3"/>
      <c r="E3" s="10"/>
      <c r="H3" s="12"/>
      <c r="I3" s="12"/>
      <c r="J3" s="12"/>
      <c r="K3" s="25" t="s">
        <v>201</v>
      </c>
    </row>
    <row r="4" spans="1:10" ht="15">
      <c r="A4" s="1"/>
      <c r="B4" s="1"/>
      <c r="C4" s="2"/>
      <c r="D4" s="3"/>
      <c r="E4" s="10"/>
      <c r="F4" s="13"/>
      <c r="G4" s="13"/>
      <c r="H4" s="13"/>
      <c r="I4" s="13"/>
      <c r="J4" s="13"/>
    </row>
    <row r="5" spans="1:10" ht="16.5">
      <c r="A5" s="31" t="s">
        <v>192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5:11" ht="12.75" customHeight="1">
      <c r="E7" s="29" t="s">
        <v>200</v>
      </c>
      <c r="F7" s="29"/>
      <c r="G7" s="29"/>
      <c r="H7" s="29"/>
      <c r="I7" s="29"/>
      <c r="J7" s="29"/>
      <c r="K7" s="29"/>
    </row>
    <row r="8" spans="1:11" s="19" customFormat="1" ht="19.5" customHeight="1">
      <c r="A8" s="32" t="s">
        <v>0</v>
      </c>
      <c r="B8" s="32"/>
      <c r="C8" s="32" t="s">
        <v>1</v>
      </c>
      <c r="D8" s="33" t="s">
        <v>2</v>
      </c>
      <c r="E8" s="30" t="s">
        <v>185</v>
      </c>
      <c r="F8" s="28" t="s">
        <v>3</v>
      </c>
      <c r="G8" s="28" t="s">
        <v>4</v>
      </c>
      <c r="H8" s="28" t="s">
        <v>202</v>
      </c>
      <c r="I8" s="28" t="s">
        <v>183</v>
      </c>
      <c r="J8" s="28" t="s">
        <v>5</v>
      </c>
      <c r="K8" s="28" t="s">
        <v>184</v>
      </c>
    </row>
    <row r="9" spans="1:11" s="19" customFormat="1" ht="38.25" customHeight="1">
      <c r="A9" s="32" t="s">
        <v>6</v>
      </c>
      <c r="B9" s="32" t="s">
        <v>7</v>
      </c>
      <c r="C9" s="32"/>
      <c r="D9" s="33"/>
      <c r="E9" s="30"/>
      <c r="F9" s="28"/>
      <c r="G9" s="28"/>
      <c r="H9" s="28"/>
      <c r="I9" s="28"/>
      <c r="J9" s="28"/>
      <c r="K9" s="28"/>
    </row>
    <row r="10" spans="1:11" s="19" customFormat="1" ht="18.75" customHeight="1">
      <c r="A10" s="32"/>
      <c r="B10" s="32"/>
      <c r="C10" s="32"/>
      <c r="D10" s="33"/>
      <c r="E10" s="30"/>
      <c r="F10" s="20">
        <v>110720</v>
      </c>
      <c r="G10" s="20">
        <v>110730</v>
      </c>
      <c r="H10" s="20">
        <v>110740</v>
      </c>
      <c r="I10" s="20">
        <v>110770</v>
      </c>
      <c r="J10" s="20">
        <v>110780</v>
      </c>
      <c r="K10" s="20">
        <v>130110</v>
      </c>
    </row>
    <row r="11" spans="1:11" ht="31.5">
      <c r="A11" s="32" t="s">
        <v>8</v>
      </c>
      <c r="B11" s="32" t="s">
        <v>9</v>
      </c>
      <c r="C11" s="18" t="s">
        <v>9</v>
      </c>
      <c r="D11" s="26" t="s">
        <v>10</v>
      </c>
      <c r="E11" s="4">
        <f>F11+G11+H11+I11+J11+K11</f>
        <v>3061249</v>
      </c>
      <c r="F11" s="4">
        <f aca="true" t="shared" si="0" ref="F11:K11">F12+F14+F18+F35+F37+F43+F45</f>
        <v>1158049</v>
      </c>
      <c r="G11" s="4">
        <f t="shared" si="0"/>
        <v>1557213</v>
      </c>
      <c r="H11" s="4">
        <f t="shared" si="0"/>
        <v>219822</v>
      </c>
      <c r="I11" s="4">
        <f t="shared" si="0"/>
        <v>0</v>
      </c>
      <c r="J11" s="4">
        <f t="shared" si="0"/>
        <v>126165</v>
      </c>
      <c r="K11" s="4">
        <f t="shared" si="0"/>
        <v>0</v>
      </c>
    </row>
    <row r="12" spans="1:11" ht="31.5">
      <c r="A12" s="17" t="s">
        <v>11</v>
      </c>
      <c r="B12" s="17" t="s">
        <v>11</v>
      </c>
      <c r="C12" s="18" t="s">
        <v>9</v>
      </c>
      <c r="D12" s="26" t="s">
        <v>12</v>
      </c>
      <c r="E12" s="4">
        <f aca="true" t="shared" si="1" ref="E12:E75">F12+G12+H12+I12+J12+K12</f>
        <v>449426</v>
      </c>
      <c r="F12" s="4">
        <f aca="true" t="shared" si="2" ref="F12:K12">F13</f>
        <v>80989</v>
      </c>
      <c r="G12" s="4">
        <f t="shared" si="2"/>
        <v>281098</v>
      </c>
      <c r="H12" s="4">
        <f t="shared" si="2"/>
        <v>42875</v>
      </c>
      <c r="I12" s="4">
        <f t="shared" si="2"/>
        <v>0</v>
      </c>
      <c r="J12" s="4">
        <f t="shared" si="2"/>
        <v>44464</v>
      </c>
      <c r="K12" s="4">
        <f t="shared" si="2"/>
        <v>0</v>
      </c>
    </row>
    <row r="13" spans="1:11" ht="15.75">
      <c r="A13" s="21" t="s">
        <v>9</v>
      </c>
      <c r="B13" s="21" t="s">
        <v>9</v>
      </c>
      <c r="C13" s="21" t="s">
        <v>13</v>
      </c>
      <c r="D13" s="26" t="s">
        <v>14</v>
      </c>
      <c r="E13" s="7">
        <f t="shared" si="1"/>
        <v>449426</v>
      </c>
      <c r="F13" s="7">
        <f>80067+922</f>
        <v>80989</v>
      </c>
      <c r="G13" s="7">
        <f>265262+15836</f>
        <v>281098</v>
      </c>
      <c r="H13" s="7">
        <f>36509+6366</f>
        <v>42875</v>
      </c>
      <c r="I13" s="7">
        <v>0</v>
      </c>
      <c r="J13" s="7">
        <f>42464+2000</f>
        <v>44464</v>
      </c>
      <c r="K13" s="9"/>
    </row>
    <row r="14" spans="1:11" ht="31.5">
      <c r="A14" s="17" t="s">
        <v>11</v>
      </c>
      <c r="B14" s="17" t="s">
        <v>15</v>
      </c>
      <c r="C14" s="18" t="s">
        <v>9</v>
      </c>
      <c r="D14" s="26" t="s">
        <v>16</v>
      </c>
      <c r="E14" s="4">
        <f t="shared" si="1"/>
        <v>91064</v>
      </c>
      <c r="F14" s="4">
        <f aca="true" t="shared" si="3" ref="F14:K14">F15+F16+F17</f>
        <v>19337</v>
      </c>
      <c r="G14" s="4">
        <f t="shared" si="3"/>
        <v>53158</v>
      </c>
      <c r="H14" s="4">
        <f t="shared" si="3"/>
        <v>9411</v>
      </c>
      <c r="I14" s="4">
        <f t="shared" si="3"/>
        <v>0</v>
      </c>
      <c r="J14" s="4">
        <f t="shared" si="3"/>
        <v>9158</v>
      </c>
      <c r="K14" s="4">
        <f t="shared" si="3"/>
        <v>0</v>
      </c>
    </row>
    <row r="15" spans="1:11" ht="15.75">
      <c r="A15" s="6" t="s">
        <v>9</v>
      </c>
      <c r="B15" s="6" t="s">
        <v>9</v>
      </c>
      <c r="C15" s="6" t="s">
        <v>17</v>
      </c>
      <c r="D15" s="27" t="s">
        <v>18</v>
      </c>
      <c r="E15" s="7">
        <f t="shared" si="1"/>
        <v>2660</v>
      </c>
      <c r="F15" s="7">
        <v>0</v>
      </c>
      <c r="G15" s="7">
        <f>1512+90</f>
        <v>1602</v>
      </c>
      <c r="H15" s="7">
        <f>902+156</f>
        <v>1058</v>
      </c>
      <c r="I15" s="7">
        <v>0</v>
      </c>
      <c r="J15" s="7">
        <v>0</v>
      </c>
      <c r="K15" s="9"/>
    </row>
    <row r="16" spans="1:11" ht="15.75">
      <c r="A16" s="6" t="s">
        <v>9</v>
      </c>
      <c r="B16" s="6" t="s">
        <v>9</v>
      </c>
      <c r="C16" s="6" t="s">
        <v>19</v>
      </c>
      <c r="D16" s="27" t="s">
        <v>20</v>
      </c>
      <c r="E16" s="7">
        <f t="shared" si="1"/>
        <v>70618</v>
      </c>
      <c r="F16" s="7">
        <f>12038+212</f>
        <v>12250</v>
      </c>
      <c r="G16" s="7">
        <f>39876+2381</f>
        <v>42257</v>
      </c>
      <c r="H16" s="7">
        <f>5921+1032</f>
        <v>6953</v>
      </c>
      <c r="I16" s="7">
        <v>0</v>
      </c>
      <c r="J16" s="7">
        <f>8746+412</f>
        <v>9158</v>
      </c>
      <c r="K16" s="9"/>
    </row>
    <row r="17" spans="1:11" ht="31.5">
      <c r="A17" s="6" t="s">
        <v>9</v>
      </c>
      <c r="B17" s="6" t="s">
        <v>9</v>
      </c>
      <c r="C17" s="6" t="s">
        <v>21</v>
      </c>
      <c r="D17" s="27" t="s">
        <v>22</v>
      </c>
      <c r="E17" s="7">
        <f t="shared" si="1"/>
        <v>17786</v>
      </c>
      <c r="F17" s="7">
        <f>6962+125</f>
        <v>7087</v>
      </c>
      <c r="G17" s="7">
        <f>8775+524</f>
        <v>9299</v>
      </c>
      <c r="H17" s="7">
        <f>1192+208</f>
        <v>1400</v>
      </c>
      <c r="I17" s="7">
        <v>0</v>
      </c>
      <c r="J17" s="7">
        <v>0</v>
      </c>
      <c r="K17" s="9"/>
    </row>
    <row r="18" spans="1:11" ht="31.5">
      <c r="A18" s="17" t="s">
        <v>11</v>
      </c>
      <c r="B18" s="17" t="s">
        <v>23</v>
      </c>
      <c r="C18" s="18" t="s">
        <v>9</v>
      </c>
      <c r="D18" s="26" t="s">
        <v>24</v>
      </c>
      <c r="E18" s="4">
        <f t="shared" si="1"/>
        <v>1561003</v>
      </c>
      <c r="F18" s="4">
        <f aca="true" t="shared" si="4" ref="F18:K18">SUM(F19:F34)</f>
        <v>611854</v>
      </c>
      <c r="G18" s="4">
        <f t="shared" si="4"/>
        <v>802400</v>
      </c>
      <c r="H18" s="4">
        <f t="shared" si="4"/>
        <v>94587</v>
      </c>
      <c r="I18" s="4">
        <f t="shared" si="4"/>
        <v>0</v>
      </c>
      <c r="J18" s="4">
        <f t="shared" si="4"/>
        <v>52162</v>
      </c>
      <c r="K18" s="4">
        <f t="shared" si="4"/>
        <v>0</v>
      </c>
    </row>
    <row r="19" spans="1:11" ht="31.5">
      <c r="A19" s="6" t="s">
        <v>9</v>
      </c>
      <c r="B19" s="6" t="s">
        <v>9</v>
      </c>
      <c r="C19" s="6" t="s">
        <v>25</v>
      </c>
      <c r="D19" s="27" t="s">
        <v>26</v>
      </c>
      <c r="E19" s="7">
        <f t="shared" si="1"/>
        <v>444862</v>
      </c>
      <c r="F19" s="7">
        <v>121397</v>
      </c>
      <c r="G19" s="7">
        <v>276900</v>
      </c>
      <c r="H19" s="7">
        <v>22760</v>
      </c>
      <c r="I19" s="7"/>
      <c r="J19" s="7">
        <v>23805</v>
      </c>
      <c r="K19" s="7">
        <v>0</v>
      </c>
    </row>
    <row r="20" spans="1:11" ht="31.5">
      <c r="A20" s="6" t="s">
        <v>9</v>
      </c>
      <c r="B20" s="6" t="s">
        <v>9</v>
      </c>
      <c r="C20" s="6" t="s">
        <v>27</v>
      </c>
      <c r="D20" s="27" t="s">
        <v>28</v>
      </c>
      <c r="E20" s="7">
        <f t="shared" si="1"/>
        <v>53547</v>
      </c>
      <c r="F20" s="7">
        <f>26202+417</f>
        <v>26619</v>
      </c>
      <c r="G20" s="7">
        <f>22253+1329</f>
        <v>23582</v>
      </c>
      <c r="H20" s="7">
        <f>2849+497</f>
        <v>3346</v>
      </c>
      <c r="I20" s="7"/>
      <c r="J20" s="7">
        <v>0</v>
      </c>
      <c r="K20" s="7">
        <v>0</v>
      </c>
    </row>
    <row r="21" spans="1:11" ht="15.75">
      <c r="A21" s="6" t="s">
        <v>9</v>
      </c>
      <c r="B21" s="6" t="s">
        <v>9</v>
      </c>
      <c r="C21" s="6" t="s">
        <v>29</v>
      </c>
      <c r="D21" s="27" t="s">
        <v>30</v>
      </c>
      <c r="E21" s="7">
        <f t="shared" si="1"/>
        <v>0</v>
      </c>
      <c r="F21" s="7">
        <v>0</v>
      </c>
      <c r="G21" s="7">
        <v>0</v>
      </c>
      <c r="H21" s="7">
        <v>0</v>
      </c>
      <c r="I21" s="7"/>
      <c r="J21" s="7">
        <v>0</v>
      </c>
      <c r="K21" s="7">
        <v>0</v>
      </c>
    </row>
    <row r="22" spans="1:11" ht="15.75">
      <c r="A22" s="6" t="s">
        <v>9</v>
      </c>
      <c r="B22" s="6" t="s">
        <v>9</v>
      </c>
      <c r="C22" s="6" t="s">
        <v>31</v>
      </c>
      <c r="D22" s="27" t="s">
        <v>32</v>
      </c>
      <c r="E22" s="7">
        <f t="shared" si="1"/>
        <v>160887</v>
      </c>
      <c r="F22" s="7">
        <f>120609+1390</f>
        <v>121999</v>
      </c>
      <c r="G22" s="7">
        <f>31865+1902</f>
        <v>33767</v>
      </c>
      <c r="H22" s="7">
        <f>4361+760</f>
        <v>5121</v>
      </c>
      <c r="I22" s="7"/>
      <c r="J22" s="7">
        <v>0</v>
      </c>
      <c r="K22" s="7">
        <v>0</v>
      </c>
    </row>
    <row r="23" spans="1:11" ht="15.75">
      <c r="A23" s="6" t="s">
        <v>9</v>
      </c>
      <c r="B23" s="6" t="s">
        <v>9</v>
      </c>
      <c r="C23" s="6" t="s">
        <v>33</v>
      </c>
      <c r="D23" s="27" t="s">
        <v>34</v>
      </c>
      <c r="E23" s="7">
        <f t="shared" si="1"/>
        <v>94727</v>
      </c>
      <c r="F23" s="7">
        <f>28187+325</f>
        <v>28512</v>
      </c>
      <c r="G23" s="7">
        <f>47593+2841</f>
        <v>50434</v>
      </c>
      <c r="H23" s="7">
        <f>8673+1512</f>
        <v>10185</v>
      </c>
      <c r="I23" s="7"/>
      <c r="J23" s="7">
        <f>5344+252</f>
        <v>5596</v>
      </c>
      <c r="K23" s="7">
        <v>0</v>
      </c>
    </row>
    <row r="24" spans="1:11" ht="15.75">
      <c r="A24" s="6" t="s">
        <v>9</v>
      </c>
      <c r="B24" s="6" t="s">
        <v>9</v>
      </c>
      <c r="C24" s="6" t="s">
        <v>35</v>
      </c>
      <c r="D24" s="27" t="s">
        <v>36</v>
      </c>
      <c r="E24" s="7">
        <f t="shared" si="1"/>
        <v>41058</v>
      </c>
      <c r="F24" s="7">
        <v>0</v>
      </c>
      <c r="G24" s="7">
        <f>27993+1671</f>
        <v>29664</v>
      </c>
      <c r="H24" s="7">
        <f>3414+594</f>
        <v>4008</v>
      </c>
      <c r="I24" s="7"/>
      <c r="J24" s="7">
        <f>7054+332</f>
        <v>7386</v>
      </c>
      <c r="K24" s="7">
        <v>0</v>
      </c>
    </row>
    <row r="25" spans="1:11" ht="31.5">
      <c r="A25" s="6" t="s">
        <v>9</v>
      </c>
      <c r="B25" s="6" t="s">
        <v>9</v>
      </c>
      <c r="C25" s="6" t="s">
        <v>37</v>
      </c>
      <c r="D25" s="27" t="s">
        <v>38</v>
      </c>
      <c r="E25" s="7">
        <f t="shared" si="1"/>
        <v>218275</v>
      </c>
      <c r="F25" s="7">
        <f>155479+1792</f>
        <v>157271</v>
      </c>
      <c r="G25" s="7">
        <f>47683+2847</f>
        <v>50530</v>
      </c>
      <c r="H25" s="7">
        <f>8919+1555</f>
        <v>10474</v>
      </c>
      <c r="I25" s="7"/>
      <c r="J25" s="7">
        <v>0</v>
      </c>
      <c r="K25" s="7">
        <v>0</v>
      </c>
    </row>
    <row r="26" spans="1:11" ht="15.75">
      <c r="A26" s="6" t="s">
        <v>9</v>
      </c>
      <c r="B26" s="6" t="s">
        <v>9</v>
      </c>
      <c r="C26" s="6" t="s">
        <v>39</v>
      </c>
      <c r="D26" s="27" t="s">
        <v>40</v>
      </c>
      <c r="E26" s="7">
        <f t="shared" si="1"/>
        <v>12734</v>
      </c>
      <c r="F26" s="7">
        <f>6905+80</f>
        <v>6985</v>
      </c>
      <c r="G26" s="7">
        <f>4427+264</f>
        <v>4691</v>
      </c>
      <c r="H26" s="7">
        <f>902+156</f>
        <v>1058</v>
      </c>
      <c r="I26" s="7"/>
      <c r="J26" s="7">
        <v>0</v>
      </c>
      <c r="K26" s="7">
        <v>0</v>
      </c>
    </row>
    <row r="27" spans="1:11" ht="31.5">
      <c r="A27" s="6" t="s">
        <v>9</v>
      </c>
      <c r="B27" s="6" t="s">
        <v>9</v>
      </c>
      <c r="C27" s="6" t="s">
        <v>41</v>
      </c>
      <c r="D27" s="27" t="s">
        <v>204</v>
      </c>
      <c r="E27" s="7">
        <f t="shared" si="1"/>
        <v>0</v>
      </c>
      <c r="F27" s="7">
        <v>0</v>
      </c>
      <c r="G27" s="7">
        <v>0</v>
      </c>
      <c r="H27" s="7">
        <v>0</v>
      </c>
      <c r="I27" s="7"/>
      <c r="J27" s="7">
        <v>0</v>
      </c>
      <c r="K27" s="7">
        <v>0</v>
      </c>
    </row>
    <row r="28" spans="1:11" ht="15.75">
      <c r="A28" s="6" t="s">
        <v>9</v>
      </c>
      <c r="B28" s="6" t="s">
        <v>9</v>
      </c>
      <c r="C28" s="6" t="s">
        <v>42</v>
      </c>
      <c r="D28" s="27" t="s">
        <v>43</v>
      </c>
      <c r="E28" s="7">
        <f t="shared" si="1"/>
        <v>86439</v>
      </c>
      <c r="F28" s="7">
        <f>53070+612</f>
        <v>53682</v>
      </c>
      <c r="G28" s="7">
        <f>27894+1665</f>
        <v>29559</v>
      </c>
      <c r="H28" s="7">
        <f>2723+475</f>
        <v>3198</v>
      </c>
      <c r="I28" s="7"/>
      <c r="J28" s="7">
        <v>0</v>
      </c>
      <c r="K28" s="7">
        <v>0</v>
      </c>
    </row>
    <row r="29" spans="1:11" ht="15.75">
      <c r="A29" s="6" t="s">
        <v>9</v>
      </c>
      <c r="B29" s="6" t="s">
        <v>9</v>
      </c>
      <c r="C29" s="6" t="s">
        <v>44</v>
      </c>
      <c r="D29" s="27" t="s">
        <v>45</v>
      </c>
      <c r="E29" s="7">
        <f t="shared" si="1"/>
        <v>123803</v>
      </c>
      <c r="F29" s="7">
        <f>47575+548</f>
        <v>48123</v>
      </c>
      <c r="G29" s="7">
        <f>64908+3875</f>
        <v>68783</v>
      </c>
      <c r="H29" s="7">
        <f>5872+1025</f>
        <v>6897</v>
      </c>
      <c r="I29" s="7"/>
      <c r="J29" s="7">
        <v>0</v>
      </c>
      <c r="K29" s="7">
        <v>0</v>
      </c>
    </row>
    <row r="30" spans="1:11" ht="31.5">
      <c r="A30" s="6" t="s">
        <v>9</v>
      </c>
      <c r="B30" s="6" t="s">
        <v>9</v>
      </c>
      <c r="C30" s="6" t="s">
        <v>46</v>
      </c>
      <c r="D30" s="27" t="s">
        <v>203</v>
      </c>
      <c r="E30" s="7">
        <f t="shared" si="1"/>
        <v>38838</v>
      </c>
      <c r="F30" s="7">
        <f>26869+309</f>
        <v>27178</v>
      </c>
      <c r="G30" s="7">
        <f>8490+507</f>
        <v>8997</v>
      </c>
      <c r="H30" s="7">
        <f>2267+396</f>
        <v>2663</v>
      </c>
      <c r="I30" s="7"/>
      <c r="J30" s="7">
        <v>0</v>
      </c>
      <c r="K30" s="7">
        <v>0</v>
      </c>
    </row>
    <row r="31" spans="1:11" ht="31.5">
      <c r="A31" s="6" t="s">
        <v>9</v>
      </c>
      <c r="B31" s="6" t="s">
        <v>9</v>
      </c>
      <c r="C31" s="6" t="s">
        <v>47</v>
      </c>
      <c r="D31" s="27" t="s">
        <v>48</v>
      </c>
      <c r="E31" s="7">
        <f t="shared" si="1"/>
        <v>21809</v>
      </c>
      <c r="F31" s="7">
        <f>3825+43</f>
        <v>3868</v>
      </c>
      <c r="G31" s="7">
        <f>16082+960</f>
        <v>17042</v>
      </c>
      <c r="H31" s="7">
        <f>766+133</f>
        <v>899</v>
      </c>
      <c r="I31" s="7"/>
      <c r="J31" s="7">
        <v>0</v>
      </c>
      <c r="K31" s="7">
        <v>0</v>
      </c>
    </row>
    <row r="32" spans="1:11" ht="15.75">
      <c r="A32" s="6" t="s">
        <v>9</v>
      </c>
      <c r="B32" s="6" t="s">
        <v>9</v>
      </c>
      <c r="C32" s="6" t="s">
        <v>49</v>
      </c>
      <c r="D32" s="27" t="s">
        <v>50</v>
      </c>
      <c r="E32" s="7">
        <f t="shared" si="1"/>
        <v>9380</v>
      </c>
      <c r="F32" s="7">
        <f>4890+57</f>
        <v>4947</v>
      </c>
      <c r="G32" s="7">
        <f>3538+212</f>
        <v>3750</v>
      </c>
      <c r="H32" s="7">
        <f>581+102</f>
        <v>683</v>
      </c>
      <c r="I32" s="7"/>
      <c r="J32" s="7">
        <v>0</v>
      </c>
      <c r="K32" s="7">
        <v>0</v>
      </c>
    </row>
    <row r="33" spans="1:11" ht="15.75">
      <c r="A33" s="6" t="s">
        <v>9</v>
      </c>
      <c r="B33" s="6" t="s">
        <v>9</v>
      </c>
      <c r="C33" s="6" t="s">
        <v>51</v>
      </c>
      <c r="D33" s="27" t="s">
        <v>52</v>
      </c>
      <c r="E33" s="7">
        <f t="shared" si="1"/>
        <v>229779</v>
      </c>
      <c r="F33" s="7">
        <v>0</v>
      </c>
      <c r="G33" s="7">
        <f>182061+10869</f>
        <v>192930</v>
      </c>
      <c r="H33" s="7">
        <f>18286+3188</f>
        <v>21474</v>
      </c>
      <c r="I33" s="7"/>
      <c r="J33" s="7">
        <f>14683+692</f>
        <v>15375</v>
      </c>
      <c r="K33" s="7">
        <v>0</v>
      </c>
    </row>
    <row r="34" spans="1:11" ht="15.75">
      <c r="A34" s="6" t="s">
        <v>9</v>
      </c>
      <c r="B34" s="6" t="s">
        <v>9</v>
      </c>
      <c r="C34" s="6" t="s">
        <v>53</v>
      </c>
      <c r="D34" s="27" t="s">
        <v>54</v>
      </c>
      <c r="E34" s="7">
        <f t="shared" si="1"/>
        <v>24865</v>
      </c>
      <c r="F34" s="7">
        <f>11145+128.44</f>
        <v>11273</v>
      </c>
      <c r="G34" s="7">
        <f>11108+663.16</f>
        <v>11771</v>
      </c>
      <c r="H34" s="7">
        <f>1550.4+270.4</f>
        <v>1821</v>
      </c>
      <c r="I34" s="7"/>
      <c r="J34" s="7">
        <v>0</v>
      </c>
      <c r="K34" s="7">
        <v>0</v>
      </c>
    </row>
    <row r="35" spans="1:11" ht="15.75">
      <c r="A35" s="17" t="s">
        <v>11</v>
      </c>
      <c r="B35" s="17" t="s">
        <v>55</v>
      </c>
      <c r="C35" s="18" t="s">
        <v>9</v>
      </c>
      <c r="D35" s="26" t="s">
        <v>56</v>
      </c>
      <c r="E35" s="4">
        <f aca="true" t="shared" si="5" ref="E35:K35">E36</f>
        <v>281183</v>
      </c>
      <c r="F35" s="4">
        <f t="shared" si="5"/>
        <v>110036</v>
      </c>
      <c r="G35" s="4">
        <f t="shared" si="5"/>
        <v>139981</v>
      </c>
      <c r="H35" s="4">
        <f t="shared" si="5"/>
        <v>20313</v>
      </c>
      <c r="I35" s="4">
        <f t="shared" si="5"/>
        <v>0</v>
      </c>
      <c r="J35" s="4">
        <f t="shared" si="5"/>
        <v>10853</v>
      </c>
      <c r="K35" s="4">
        <f t="shared" si="5"/>
        <v>0</v>
      </c>
    </row>
    <row r="36" spans="1:11" ht="15.75">
      <c r="A36" s="6" t="s">
        <v>9</v>
      </c>
      <c r="B36" s="6" t="s">
        <v>9</v>
      </c>
      <c r="C36" s="6" t="s">
        <v>51</v>
      </c>
      <c r="D36" s="27" t="s">
        <v>57</v>
      </c>
      <c r="E36" s="7">
        <f t="shared" si="1"/>
        <v>281183</v>
      </c>
      <c r="F36" s="7">
        <f>107409+2627</f>
        <v>110036</v>
      </c>
      <c r="G36" s="7">
        <f>132095+7886</f>
        <v>139981</v>
      </c>
      <c r="H36" s="7">
        <f>17296+3017</f>
        <v>20313</v>
      </c>
      <c r="I36" s="7">
        <v>0</v>
      </c>
      <c r="J36" s="7">
        <f>10365+488</f>
        <v>10853</v>
      </c>
      <c r="K36" s="9"/>
    </row>
    <row r="37" spans="1:11" ht="31.5">
      <c r="A37" s="17" t="s">
        <v>11</v>
      </c>
      <c r="B37" s="17" t="s">
        <v>58</v>
      </c>
      <c r="C37" s="18" t="s">
        <v>9</v>
      </c>
      <c r="D37" s="26" t="s">
        <v>59</v>
      </c>
      <c r="E37" s="4">
        <f t="shared" si="1"/>
        <v>225524</v>
      </c>
      <c r="F37" s="4">
        <f aca="true" t="shared" si="6" ref="F37:K37">F38+F39+F40+F41+F42</f>
        <v>106365</v>
      </c>
      <c r="G37" s="4">
        <f t="shared" si="6"/>
        <v>95357</v>
      </c>
      <c r="H37" s="4">
        <f t="shared" si="6"/>
        <v>14274</v>
      </c>
      <c r="I37" s="4">
        <f t="shared" si="6"/>
        <v>0</v>
      </c>
      <c r="J37" s="4">
        <f t="shared" si="6"/>
        <v>9528</v>
      </c>
      <c r="K37" s="4">
        <f t="shared" si="6"/>
        <v>0</v>
      </c>
    </row>
    <row r="38" spans="1:11" ht="15.75">
      <c r="A38" s="6" t="s">
        <v>9</v>
      </c>
      <c r="B38" s="6" t="s">
        <v>9</v>
      </c>
      <c r="C38" s="6" t="s">
        <v>25</v>
      </c>
      <c r="D38" s="27" t="s">
        <v>205</v>
      </c>
      <c r="E38" s="7">
        <f t="shared" si="1"/>
        <v>0</v>
      </c>
      <c r="F38" s="7"/>
      <c r="G38" s="7"/>
      <c r="H38" s="7"/>
      <c r="I38" s="7"/>
      <c r="J38" s="7"/>
      <c r="K38" s="9"/>
    </row>
    <row r="39" spans="1:11" ht="15.75">
      <c r="A39" s="6"/>
      <c r="B39" s="6"/>
      <c r="C39" s="6" t="s">
        <v>25</v>
      </c>
      <c r="D39" s="27" t="s">
        <v>206</v>
      </c>
      <c r="E39" s="7">
        <f t="shared" si="1"/>
        <v>0</v>
      </c>
      <c r="F39" s="7"/>
      <c r="G39" s="7"/>
      <c r="H39" s="7"/>
      <c r="I39" s="7"/>
      <c r="J39" s="7"/>
      <c r="K39" s="9"/>
    </row>
    <row r="40" spans="1:11" ht="15.75">
      <c r="A40" s="6"/>
      <c r="B40" s="6"/>
      <c r="C40" s="6" t="s">
        <v>25</v>
      </c>
      <c r="D40" s="27" t="s">
        <v>207</v>
      </c>
      <c r="E40" s="7">
        <f t="shared" si="1"/>
        <v>0</v>
      </c>
      <c r="F40" s="7"/>
      <c r="G40" s="7"/>
      <c r="H40" s="7"/>
      <c r="I40" s="7"/>
      <c r="J40" s="7"/>
      <c r="K40" s="9"/>
    </row>
    <row r="41" spans="1:11" ht="15.75">
      <c r="A41" s="6" t="s">
        <v>9</v>
      </c>
      <c r="B41" s="6" t="s">
        <v>9</v>
      </c>
      <c r="C41" s="6" t="s">
        <v>33</v>
      </c>
      <c r="D41" s="27" t="s">
        <v>60</v>
      </c>
      <c r="E41" s="7">
        <f t="shared" si="1"/>
        <v>145048</v>
      </c>
      <c r="F41" s="7">
        <f>46486+608</f>
        <v>47094</v>
      </c>
      <c r="G41" s="7">
        <f>73368+4005</f>
        <v>77373</v>
      </c>
      <c r="H41" s="7">
        <f>9533+1520</f>
        <v>11053</v>
      </c>
      <c r="I41" s="7"/>
      <c r="J41" s="7">
        <f>9099+429</f>
        <v>9528</v>
      </c>
      <c r="K41" s="9"/>
    </row>
    <row r="42" spans="1:11" ht="31.5">
      <c r="A42" s="6" t="s">
        <v>9</v>
      </c>
      <c r="B42" s="6" t="s">
        <v>9</v>
      </c>
      <c r="C42" s="6" t="s">
        <v>37</v>
      </c>
      <c r="D42" s="27" t="s">
        <v>61</v>
      </c>
      <c r="E42" s="7">
        <f t="shared" si="1"/>
        <v>80476</v>
      </c>
      <c r="F42" s="7">
        <f>58252+1019</f>
        <v>59271</v>
      </c>
      <c r="G42" s="7">
        <f>16970+1014</f>
        <v>17984</v>
      </c>
      <c r="H42" s="7">
        <f>2743+478</f>
        <v>3221</v>
      </c>
      <c r="I42" s="7"/>
      <c r="J42" s="7"/>
      <c r="K42" s="9"/>
    </row>
    <row r="43" spans="1:11" ht="15.75">
      <c r="A43" s="17" t="s">
        <v>11</v>
      </c>
      <c r="B43" s="17" t="s">
        <v>62</v>
      </c>
      <c r="C43" s="18" t="s">
        <v>9</v>
      </c>
      <c r="D43" s="26" t="s">
        <v>63</v>
      </c>
      <c r="E43" s="4">
        <f aca="true" t="shared" si="7" ref="E43:K43">E44</f>
        <v>28519</v>
      </c>
      <c r="F43" s="4">
        <f t="shared" si="7"/>
        <v>14813</v>
      </c>
      <c r="G43" s="4">
        <f t="shared" si="7"/>
        <v>10952</v>
      </c>
      <c r="H43" s="4">
        <f t="shared" si="7"/>
        <v>2754</v>
      </c>
      <c r="I43" s="4">
        <f t="shared" si="7"/>
        <v>0</v>
      </c>
      <c r="J43" s="4">
        <f t="shared" si="7"/>
        <v>0</v>
      </c>
      <c r="K43" s="4">
        <f t="shared" si="7"/>
        <v>0</v>
      </c>
    </row>
    <row r="44" spans="1:11" ht="15.75">
      <c r="A44" s="6" t="s">
        <v>9</v>
      </c>
      <c r="B44" s="6" t="s">
        <v>9</v>
      </c>
      <c r="C44" s="6" t="s">
        <v>53</v>
      </c>
      <c r="D44" s="27" t="s">
        <v>64</v>
      </c>
      <c r="E44" s="7">
        <f t="shared" si="1"/>
        <v>28519</v>
      </c>
      <c r="F44" s="7">
        <f>14485+328.44</f>
        <v>14813</v>
      </c>
      <c r="G44" s="7">
        <f>10335+617.04</f>
        <v>10952</v>
      </c>
      <c r="H44" s="7">
        <f>2345+408.98</f>
        <v>2754</v>
      </c>
      <c r="I44" s="7"/>
      <c r="J44" s="7"/>
      <c r="K44" s="9"/>
    </row>
    <row r="45" spans="1:11" s="19" customFormat="1" ht="15.75">
      <c r="A45" s="21" t="s">
        <v>11</v>
      </c>
      <c r="B45" s="21" t="s">
        <v>65</v>
      </c>
      <c r="C45" s="21" t="s">
        <v>9</v>
      </c>
      <c r="D45" s="26" t="s">
        <v>66</v>
      </c>
      <c r="E45" s="22">
        <f t="shared" si="1"/>
        <v>424530</v>
      </c>
      <c r="F45" s="22">
        <f aca="true" t="shared" si="8" ref="F45:K45">F46</f>
        <v>214655</v>
      </c>
      <c r="G45" s="22">
        <f t="shared" si="8"/>
        <v>174267</v>
      </c>
      <c r="H45" s="22">
        <f t="shared" si="8"/>
        <v>35608</v>
      </c>
      <c r="I45" s="22">
        <f t="shared" si="8"/>
        <v>0</v>
      </c>
      <c r="J45" s="22">
        <f t="shared" si="8"/>
        <v>0</v>
      </c>
      <c r="K45" s="22">
        <f t="shared" si="8"/>
        <v>0</v>
      </c>
    </row>
    <row r="46" spans="1:11" ht="15.75">
      <c r="A46" s="6" t="s">
        <v>9</v>
      </c>
      <c r="B46" s="6" t="s">
        <v>9</v>
      </c>
      <c r="C46" s="6" t="s">
        <v>67</v>
      </c>
      <c r="D46" s="27" t="s">
        <v>68</v>
      </c>
      <c r="E46" s="7">
        <f t="shared" si="1"/>
        <v>424530</v>
      </c>
      <c r="F46" s="7">
        <f>212209+2446</f>
        <v>214655</v>
      </c>
      <c r="G46" s="7">
        <f>164449+9818</f>
        <v>174267</v>
      </c>
      <c r="H46" s="7">
        <f>30321+5287</f>
        <v>35608</v>
      </c>
      <c r="I46" s="7">
        <v>0</v>
      </c>
      <c r="J46" s="7"/>
      <c r="K46" s="9"/>
    </row>
    <row r="47" spans="1:11" ht="15.75">
      <c r="A47" s="32" t="s">
        <v>69</v>
      </c>
      <c r="B47" s="32" t="s">
        <v>9</v>
      </c>
      <c r="C47" s="18" t="s">
        <v>9</v>
      </c>
      <c r="D47" s="26" t="s">
        <v>70</v>
      </c>
      <c r="E47" s="4">
        <f t="shared" si="1"/>
        <v>449071</v>
      </c>
      <c r="F47" s="4">
        <f aca="true" t="shared" si="9" ref="F47:K47">F48+F50+F52+F54</f>
        <v>156883</v>
      </c>
      <c r="G47" s="4">
        <f t="shared" si="9"/>
        <v>212120</v>
      </c>
      <c r="H47" s="4">
        <f t="shared" si="9"/>
        <v>39290</v>
      </c>
      <c r="I47" s="4">
        <f t="shared" si="9"/>
        <v>0</v>
      </c>
      <c r="J47" s="4">
        <f t="shared" si="9"/>
        <v>40778</v>
      </c>
      <c r="K47" s="4">
        <f t="shared" si="9"/>
        <v>0</v>
      </c>
    </row>
    <row r="48" spans="1:11" s="19" customFormat="1" ht="15.75">
      <c r="A48" s="21" t="s">
        <v>15</v>
      </c>
      <c r="B48" s="21" t="s">
        <v>11</v>
      </c>
      <c r="C48" s="21" t="s">
        <v>9</v>
      </c>
      <c r="D48" s="26" t="s">
        <v>71</v>
      </c>
      <c r="E48" s="22">
        <f t="shared" si="1"/>
        <v>69663</v>
      </c>
      <c r="F48" s="22">
        <f aca="true" t="shared" si="10" ref="F48:K48">F49</f>
        <v>0</v>
      </c>
      <c r="G48" s="22">
        <f t="shared" si="10"/>
        <v>53788</v>
      </c>
      <c r="H48" s="22">
        <f t="shared" si="10"/>
        <v>6077</v>
      </c>
      <c r="I48" s="22">
        <f t="shared" si="10"/>
        <v>0</v>
      </c>
      <c r="J48" s="22">
        <f t="shared" si="10"/>
        <v>9798</v>
      </c>
      <c r="K48" s="22">
        <f t="shared" si="10"/>
        <v>0</v>
      </c>
    </row>
    <row r="49" spans="1:11" ht="15.75">
      <c r="A49" s="6" t="s">
        <v>9</v>
      </c>
      <c r="B49" s="6" t="s">
        <v>9</v>
      </c>
      <c r="C49" s="6" t="s">
        <v>72</v>
      </c>
      <c r="D49" s="27" t="s">
        <v>73</v>
      </c>
      <c r="E49" s="7">
        <f t="shared" si="1"/>
        <v>69663</v>
      </c>
      <c r="F49" s="7">
        <v>0</v>
      </c>
      <c r="G49" s="7">
        <f>50758+3030</f>
        <v>53788</v>
      </c>
      <c r="H49" s="7">
        <f>5174+903</f>
        <v>6077</v>
      </c>
      <c r="I49" s="7"/>
      <c r="J49" s="7">
        <f>9357+441</f>
        <v>9798</v>
      </c>
      <c r="K49" s="9"/>
    </row>
    <row r="50" spans="1:11" s="19" customFormat="1" ht="15.75">
      <c r="A50" s="21" t="s">
        <v>15</v>
      </c>
      <c r="B50" s="21" t="s">
        <v>15</v>
      </c>
      <c r="C50" s="21" t="s">
        <v>9</v>
      </c>
      <c r="D50" s="26" t="s">
        <v>74</v>
      </c>
      <c r="E50" s="22">
        <f t="shared" si="1"/>
        <v>87059</v>
      </c>
      <c r="F50" s="22">
        <f aca="true" t="shared" si="11" ref="F50:K50">F51</f>
        <v>52990</v>
      </c>
      <c r="G50" s="22">
        <f t="shared" si="11"/>
        <v>27371</v>
      </c>
      <c r="H50" s="22">
        <f t="shared" si="11"/>
        <v>6698</v>
      </c>
      <c r="I50" s="22">
        <f t="shared" si="11"/>
        <v>0</v>
      </c>
      <c r="J50" s="22">
        <f t="shared" si="11"/>
        <v>0</v>
      </c>
      <c r="K50" s="22">
        <f t="shared" si="11"/>
        <v>0</v>
      </c>
    </row>
    <row r="51" spans="1:11" ht="15.75">
      <c r="A51" s="6" t="s">
        <v>9</v>
      </c>
      <c r="B51" s="6" t="s">
        <v>9</v>
      </c>
      <c r="C51" s="6" t="s">
        <v>75</v>
      </c>
      <c r="D51" s="27" t="s">
        <v>76</v>
      </c>
      <c r="E51" s="7">
        <f t="shared" si="1"/>
        <v>87059</v>
      </c>
      <c r="F51" s="7">
        <f>52387+603</f>
        <v>52990</v>
      </c>
      <c r="G51" s="7">
        <f>25829+1542</f>
        <v>27371</v>
      </c>
      <c r="H51" s="7">
        <f>5703+995</f>
        <v>6698</v>
      </c>
      <c r="I51" s="7"/>
      <c r="J51" s="7">
        <v>0</v>
      </c>
      <c r="K51" s="9"/>
    </row>
    <row r="52" spans="1:11" s="19" customFormat="1" ht="15.75">
      <c r="A52" s="21" t="s">
        <v>15</v>
      </c>
      <c r="B52" s="21" t="s">
        <v>23</v>
      </c>
      <c r="C52" s="21" t="s">
        <v>9</v>
      </c>
      <c r="D52" s="26" t="s">
        <v>77</v>
      </c>
      <c r="E52" s="22">
        <f t="shared" si="1"/>
        <v>261658</v>
      </c>
      <c r="F52" s="22">
        <f aca="true" t="shared" si="12" ref="F52:K52">F53</f>
        <v>103893</v>
      </c>
      <c r="G52" s="22">
        <f t="shared" si="12"/>
        <v>109022</v>
      </c>
      <c r="H52" s="22">
        <f t="shared" si="12"/>
        <v>23511</v>
      </c>
      <c r="I52" s="22">
        <f t="shared" si="12"/>
        <v>0</v>
      </c>
      <c r="J52" s="22">
        <f t="shared" si="12"/>
        <v>25232</v>
      </c>
      <c r="K52" s="22">
        <f t="shared" si="12"/>
        <v>0</v>
      </c>
    </row>
    <row r="53" spans="1:11" ht="15.75">
      <c r="A53" s="6" t="s">
        <v>9</v>
      </c>
      <c r="B53" s="6" t="s">
        <v>9</v>
      </c>
      <c r="C53" s="6" t="s">
        <v>78</v>
      </c>
      <c r="D53" s="27" t="s">
        <v>79</v>
      </c>
      <c r="E53" s="7">
        <f t="shared" si="1"/>
        <v>261658</v>
      </c>
      <c r="F53" s="7">
        <f>102709+1184</f>
        <v>103893</v>
      </c>
      <c r="G53" s="7">
        <f>102880+6142</f>
        <v>109022</v>
      </c>
      <c r="H53" s="7">
        <f>20020+3491</f>
        <v>23511</v>
      </c>
      <c r="I53" s="7"/>
      <c r="J53" s="7">
        <f>24097+1135</f>
        <v>25232</v>
      </c>
      <c r="K53" s="9"/>
    </row>
    <row r="54" spans="1:11" s="19" customFormat="1" ht="15.75">
      <c r="A54" s="21" t="s">
        <v>15</v>
      </c>
      <c r="B54" s="21" t="s">
        <v>55</v>
      </c>
      <c r="C54" s="21" t="s">
        <v>9</v>
      </c>
      <c r="D54" s="26" t="s">
        <v>80</v>
      </c>
      <c r="E54" s="22">
        <f t="shared" si="1"/>
        <v>30691</v>
      </c>
      <c r="F54" s="22">
        <f aca="true" t="shared" si="13" ref="F54:K54">F55</f>
        <v>0</v>
      </c>
      <c r="G54" s="22">
        <f t="shared" si="13"/>
        <v>21939</v>
      </c>
      <c r="H54" s="22">
        <f t="shared" si="13"/>
        <v>3004</v>
      </c>
      <c r="I54" s="22">
        <f t="shared" si="13"/>
        <v>0</v>
      </c>
      <c r="J54" s="22">
        <f t="shared" si="13"/>
        <v>5748</v>
      </c>
      <c r="K54" s="22">
        <f t="shared" si="13"/>
        <v>0</v>
      </c>
    </row>
    <row r="55" spans="1:11" ht="15.75">
      <c r="A55" s="6" t="s">
        <v>9</v>
      </c>
      <c r="B55" s="6" t="s">
        <v>9</v>
      </c>
      <c r="C55" s="6" t="s">
        <v>81</v>
      </c>
      <c r="D55" s="27" t="s">
        <v>82</v>
      </c>
      <c r="E55" s="7">
        <f t="shared" si="1"/>
        <v>30691</v>
      </c>
      <c r="F55" s="7"/>
      <c r="G55" s="7">
        <f>20703+1236</f>
        <v>21939</v>
      </c>
      <c r="H55" s="7">
        <f>2558+446</f>
        <v>3004</v>
      </c>
      <c r="I55" s="7"/>
      <c r="J55" s="7">
        <f>5489+259</f>
        <v>5748</v>
      </c>
      <c r="K55" s="9"/>
    </row>
    <row r="56" spans="1:11" ht="15.75">
      <c r="A56" s="32" t="s">
        <v>83</v>
      </c>
      <c r="B56" s="32" t="s">
        <v>9</v>
      </c>
      <c r="C56" s="18" t="s">
        <v>9</v>
      </c>
      <c r="D56" s="26" t="s">
        <v>84</v>
      </c>
      <c r="E56" s="4">
        <f t="shared" si="1"/>
        <v>6094265</v>
      </c>
      <c r="F56" s="4">
        <f aca="true" t="shared" si="14" ref="F56:K57">F57</f>
        <v>1586571</v>
      </c>
      <c r="G56" s="4">
        <f t="shared" si="14"/>
        <v>3312078</v>
      </c>
      <c r="H56" s="4">
        <f t="shared" si="14"/>
        <v>986338</v>
      </c>
      <c r="I56" s="4">
        <f t="shared" si="14"/>
        <v>0</v>
      </c>
      <c r="J56" s="4">
        <f t="shared" si="14"/>
        <v>209278</v>
      </c>
      <c r="K56" s="4">
        <f t="shared" si="14"/>
        <v>0</v>
      </c>
    </row>
    <row r="57" spans="1:11" s="19" customFormat="1" ht="15.75">
      <c r="A57" s="21" t="s">
        <v>55</v>
      </c>
      <c r="B57" s="21" t="s">
        <v>11</v>
      </c>
      <c r="C57" s="21" t="s">
        <v>9</v>
      </c>
      <c r="D57" s="26" t="s">
        <v>85</v>
      </c>
      <c r="E57" s="22">
        <f t="shared" si="1"/>
        <v>6094265</v>
      </c>
      <c r="F57" s="22">
        <f t="shared" si="14"/>
        <v>1586571</v>
      </c>
      <c r="G57" s="22">
        <f t="shared" si="14"/>
        <v>3312078</v>
      </c>
      <c r="H57" s="22">
        <f t="shared" si="14"/>
        <v>986338</v>
      </c>
      <c r="I57" s="22">
        <f t="shared" si="14"/>
        <v>0</v>
      </c>
      <c r="J57" s="22">
        <f t="shared" si="14"/>
        <v>209278</v>
      </c>
      <c r="K57" s="22">
        <f t="shared" si="14"/>
        <v>0</v>
      </c>
    </row>
    <row r="58" spans="1:11" ht="15.75">
      <c r="A58" s="6" t="s">
        <v>9</v>
      </c>
      <c r="B58" s="6" t="s">
        <v>9</v>
      </c>
      <c r="C58" s="6" t="s">
        <v>86</v>
      </c>
      <c r="D58" s="27" t="s">
        <v>87</v>
      </c>
      <c r="E58" s="7">
        <f t="shared" si="1"/>
        <v>6094265</v>
      </c>
      <c r="F58" s="7">
        <f>1566448+20123</f>
        <v>1586571</v>
      </c>
      <c r="G58" s="7">
        <f>3125482+186596</f>
        <v>3312078</v>
      </c>
      <c r="H58" s="7">
        <f>840082+146256</f>
        <v>986338</v>
      </c>
      <c r="I58" s="7"/>
      <c r="J58" s="7">
        <f>199863+9415</f>
        <v>209278</v>
      </c>
      <c r="K58" s="9"/>
    </row>
    <row r="59" spans="1:11" ht="31.5">
      <c r="A59" s="32" t="s">
        <v>88</v>
      </c>
      <c r="B59" s="32" t="s">
        <v>9</v>
      </c>
      <c r="C59" s="18" t="s">
        <v>9</v>
      </c>
      <c r="D59" s="26" t="s">
        <v>89</v>
      </c>
      <c r="E59" s="4">
        <f t="shared" si="1"/>
        <v>15728315</v>
      </c>
      <c r="F59" s="4">
        <f aca="true" t="shared" si="15" ref="F59:K59">F60+F62+F65+F67+F69+F71+F73</f>
        <v>3649837</v>
      </c>
      <c r="G59" s="4">
        <f t="shared" si="15"/>
        <v>7831709</v>
      </c>
      <c r="H59" s="4">
        <f t="shared" si="15"/>
        <v>3642866</v>
      </c>
      <c r="I59" s="4">
        <f t="shared" si="15"/>
        <v>0</v>
      </c>
      <c r="J59" s="4">
        <f t="shared" si="15"/>
        <v>603903</v>
      </c>
      <c r="K59" s="4">
        <f t="shared" si="15"/>
        <v>0</v>
      </c>
    </row>
    <row r="60" spans="1:11" s="19" customFormat="1" ht="15.75">
      <c r="A60" s="21" t="s">
        <v>58</v>
      </c>
      <c r="B60" s="21" t="s">
        <v>11</v>
      </c>
      <c r="C60" s="21" t="s">
        <v>9</v>
      </c>
      <c r="D60" s="26" t="s">
        <v>90</v>
      </c>
      <c r="E60" s="22">
        <f t="shared" si="1"/>
        <v>6318906</v>
      </c>
      <c r="F60" s="22">
        <f aca="true" t="shared" si="16" ref="F60:K60">F61</f>
        <v>2676131</v>
      </c>
      <c r="G60" s="22">
        <f t="shared" si="16"/>
        <v>2624795</v>
      </c>
      <c r="H60" s="22">
        <f t="shared" si="16"/>
        <v>886864</v>
      </c>
      <c r="I60" s="22">
        <f t="shared" si="16"/>
        <v>0</v>
      </c>
      <c r="J60" s="22">
        <f t="shared" si="16"/>
        <v>131116</v>
      </c>
      <c r="K60" s="22">
        <f t="shared" si="16"/>
        <v>0</v>
      </c>
    </row>
    <row r="61" spans="1:11" ht="15.75">
      <c r="A61" s="6" t="s">
        <v>9</v>
      </c>
      <c r="B61" s="6" t="s">
        <v>9</v>
      </c>
      <c r="C61" s="6" t="s">
        <v>91</v>
      </c>
      <c r="D61" s="27" t="s">
        <v>92</v>
      </c>
      <c r="E61" s="7">
        <f t="shared" si="1"/>
        <v>6318906</v>
      </c>
      <c r="F61" s="7">
        <f>2646090+30041</f>
        <v>2676131</v>
      </c>
      <c r="G61" s="7">
        <f>2476919+147876</f>
        <v>2624795</v>
      </c>
      <c r="H61" s="7">
        <f>755204+131660</f>
        <v>886864</v>
      </c>
      <c r="I61" s="7"/>
      <c r="J61" s="7">
        <f>125217+5899</f>
        <v>131116</v>
      </c>
      <c r="K61" s="9"/>
    </row>
    <row r="62" spans="1:11" s="19" customFormat="1" ht="31.5">
      <c r="A62" s="21" t="s">
        <v>58</v>
      </c>
      <c r="B62" s="21" t="s">
        <v>23</v>
      </c>
      <c r="C62" s="21" t="s">
        <v>9</v>
      </c>
      <c r="D62" s="26" t="s">
        <v>208</v>
      </c>
      <c r="E62" s="22">
        <f t="shared" si="1"/>
        <v>6909168</v>
      </c>
      <c r="F62" s="22">
        <f aca="true" t="shared" si="17" ref="F62:K62">F63+F64</f>
        <v>64824</v>
      </c>
      <c r="G62" s="22">
        <f t="shared" si="17"/>
        <v>3824708</v>
      </c>
      <c r="H62" s="22">
        <f t="shared" si="17"/>
        <v>2603038</v>
      </c>
      <c r="I62" s="22">
        <f t="shared" si="17"/>
        <v>0</v>
      </c>
      <c r="J62" s="22">
        <f t="shared" si="17"/>
        <v>416598</v>
      </c>
      <c r="K62" s="22">
        <f t="shared" si="17"/>
        <v>0</v>
      </c>
    </row>
    <row r="63" spans="1:11" ht="15.75">
      <c r="A63" s="6" t="s">
        <v>9</v>
      </c>
      <c r="B63" s="6" t="s">
        <v>9</v>
      </c>
      <c r="C63" s="6" t="s">
        <v>93</v>
      </c>
      <c r="D63" s="27" t="s">
        <v>94</v>
      </c>
      <c r="E63" s="7">
        <f t="shared" si="1"/>
        <v>101594</v>
      </c>
      <c r="F63" s="7">
        <f>57065+889</f>
        <v>57954</v>
      </c>
      <c r="G63" s="7">
        <f>36191+2161</f>
        <v>38352</v>
      </c>
      <c r="H63" s="7">
        <f>3344+582</f>
        <v>3926</v>
      </c>
      <c r="I63" s="7"/>
      <c r="J63" s="7">
        <f>1301+61</f>
        <v>1362</v>
      </c>
      <c r="K63" s="9"/>
    </row>
    <row r="64" spans="1:11" ht="15.75">
      <c r="A64" s="6" t="s">
        <v>9</v>
      </c>
      <c r="B64" s="6" t="s">
        <v>9</v>
      </c>
      <c r="C64" s="6" t="s">
        <v>95</v>
      </c>
      <c r="D64" s="27" t="s">
        <v>96</v>
      </c>
      <c r="E64" s="7">
        <f t="shared" si="1"/>
        <v>6807574</v>
      </c>
      <c r="F64" s="7">
        <f>6708+162</f>
        <v>6870</v>
      </c>
      <c r="G64" s="7">
        <f>3573040+213316</f>
        <v>3786356</v>
      </c>
      <c r="H64" s="7">
        <f>2213129+385983</f>
        <v>2599112</v>
      </c>
      <c r="I64" s="7"/>
      <c r="J64" s="7">
        <f>396554+18682</f>
        <v>415236</v>
      </c>
      <c r="K64" s="9"/>
    </row>
    <row r="65" spans="1:11" s="19" customFormat="1" ht="15.75">
      <c r="A65" s="21" t="s">
        <v>58</v>
      </c>
      <c r="B65" s="21" t="s">
        <v>58</v>
      </c>
      <c r="C65" s="21" t="s">
        <v>9</v>
      </c>
      <c r="D65" s="26" t="s">
        <v>97</v>
      </c>
      <c r="E65" s="22">
        <f t="shared" si="1"/>
        <v>1702593</v>
      </c>
      <c r="F65" s="22">
        <f aca="true" t="shared" si="18" ref="F65:K65">F66</f>
        <v>559655</v>
      </c>
      <c r="G65" s="22">
        <f t="shared" si="18"/>
        <v>1020362</v>
      </c>
      <c r="H65" s="22">
        <f t="shared" si="18"/>
        <v>98115</v>
      </c>
      <c r="I65" s="22">
        <f t="shared" si="18"/>
        <v>0</v>
      </c>
      <c r="J65" s="22">
        <f t="shared" si="18"/>
        <v>24461</v>
      </c>
      <c r="K65" s="22">
        <f t="shared" si="18"/>
        <v>0</v>
      </c>
    </row>
    <row r="66" spans="1:11" ht="15.75">
      <c r="A66" s="6" t="s">
        <v>9</v>
      </c>
      <c r="B66" s="6" t="s">
        <v>9</v>
      </c>
      <c r="C66" s="6" t="s">
        <v>98</v>
      </c>
      <c r="D66" s="27" t="s">
        <v>99</v>
      </c>
      <c r="E66" s="7">
        <f t="shared" si="1"/>
        <v>1702593</v>
      </c>
      <c r="F66" s="7">
        <f>549285+10370</f>
        <v>559655</v>
      </c>
      <c r="G66" s="7">
        <f>962877+57485</f>
        <v>1020362</v>
      </c>
      <c r="H66" s="7">
        <f>83550+14565</f>
        <v>98115</v>
      </c>
      <c r="I66" s="7"/>
      <c r="J66" s="7">
        <f>23361+1100</f>
        <v>24461</v>
      </c>
      <c r="K66" s="9"/>
    </row>
    <row r="67" spans="1:11" s="19" customFormat="1" ht="14.25" customHeight="1">
      <c r="A67" s="21" t="s">
        <v>58</v>
      </c>
      <c r="B67" s="21" t="s">
        <v>100</v>
      </c>
      <c r="C67" s="21" t="s">
        <v>9</v>
      </c>
      <c r="D67" s="26" t="s">
        <v>101</v>
      </c>
      <c r="E67" s="22">
        <f t="shared" si="1"/>
        <v>385743</v>
      </c>
      <c r="F67" s="22">
        <f aca="true" t="shared" si="19" ref="F67:K67">F68</f>
        <v>218156</v>
      </c>
      <c r="G67" s="22">
        <f t="shared" si="19"/>
        <v>148036</v>
      </c>
      <c r="H67" s="22">
        <f t="shared" si="19"/>
        <v>19551</v>
      </c>
      <c r="I67" s="22">
        <f t="shared" si="19"/>
        <v>0</v>
      </c>
      <c r="J67" s="22">
        <f t="shared" si="19"/>
        <v>0</v>
      </c>
      <c r="K67" s="22">
        <f t="shared" si="19"/>
        <v>0</v>
      </c>
    </row>
    <row r="68" spans="1:11" ht="15.75">
      <c r="A68" s="6" t="s">
        <v>9</v>
      </c>
      <c r="B68" s="6" t="s">
        <v>9</v>
      </c>
      <c r="C68" s="6" t="s">
        <v>102</v>
      </c>
      <c r="D68" s="27" t="s">
        <v>103</v>
      </c>
      <c r="E68" s="7">
        <f t="shared" si="1"/>
        <v>385743</v>
      </c>
      <c r="F68" s="7">
        <f>215670+2486</f>
        <v>218156</v>
      </c>
      <c r="G68" s="7">
        <f>139696+8340</f>
        <v>148036</v>
      </c>
      <c r="H68" s="7">
        <f>16647+2904</f>
        <v>19551</v>
      </c>
      <c r="I68" s="7"/>
      <c r="J68" s="7">
        <v>0</v>
      </c>
      <c r="K68" s="9"/>
    </row>
    <row r="69" spans="1:11" s="19" customFormat="1" ht="15.75">
      <c r="A69" s="21" t="s">
        <v>58</v>
      </c>
      <c r="B69" s="21" t="s">
        <v>62</v>
      </c>
      <c r="C69" s="21" t="s">
        <v>9</v>
      </c>
      <c r="D69" s="26" t="s">
        <v>104</v>
      </c>
      <c r="E69" s="22">
        <f t="shared" si="1"/>
        <v>149881</v>
      </c>
      <c r="F69" s="22">
        <f aca="true" t="shared" si="20" ref="F69:K69">F70</f>
        <v>43550</v>
      </c>
      <c r="G69" s="22">
        <f t="shared" si="20"/>
        <v>75453</v>
      </c>
      <c r="H69" s="22">
        <f t="shared" si="20"/>
        <v>11039</v>
      </c>
      <c r="I69" s="22">
        <f t="shared" si="20"/>
        <v>0</v>
      </c>
      <c r="J69" s="22">
        <f t="shared" si="20"/>
        <v>19839</v>
      </c>
      <c r="K69" s="22">
        <f t="shared" si="20"/>
        <v>0</v>
      </c>
    </row>
    <row r="70" spans="1:11" ht="15.75">
      <c r="A70" s="6" t="s">
        <v>9</v>
      </c>
      <c r="B70" s="6" t="s">
        <v>9</v>
      </c>
      <c r="C70" s="6" t="s">
        <v>105</v>
      </c>
      <c r="D70" s="27" t="s">
        <v>106</v>
      </c>
      <c r="E70" s="7">
        <f t="shared" si="1"/>
        <v>149881</v>
      </c>
      <c r="F70" s="7">
        <f>42340+1210</f>
        <v>43550</v>
      </c>
      <c r="G70" s="7">
        <f>71202+4251</f>
        <v>75453</v>
      </c>
      <c r="H70" s="7">
        <f>9399+1640</f>
        <v>11039</v>
      </c>
      <c r="I70" s="7"/>
      <c r="J70" s="7">
        <f>18946+893</f>
        <v>19839</v>
      </c>
      <c r="K70" s="9"/>
    </row>
    <row r="71" spans="1:11" s="19" customFormat="1" ht="15.75">
      <c r="A71" s="21" t="s">
        <v>58</v>
      </c>
      <c r="B71" s="21" t="s">
        <v>107</v>
      </c>
      <c r="C71" s="21" t="s">
        <v>9</v>
      </c>
      <c r="D71" s="26" t="s">
        <v>108</v>
      </c>
      <c r="E71" s="22">
        <f t="shared" si="1"/>
        <v>143247</v>
      </c>
      <c r="F71" s="22">
        <f aca="true" t="shared" si="21" ref="F71:K71">F72</f>
        <v>87521</v>
      </c>
      <c r="G71" s="22">
        <f t="shared" si="21"/>
        <v>48910</v>
      </c>
      <c r="H71" s="22">
        <f t="shared" si="21"/>
        <v>5766</v>
      </c>
      <c r="I71" s="22">
        <f t="shared" si="21"/>
        <v>0</v>
      </c>
      <c r="J71" s="22">
        <f t="shared" si="21"/>
        <v>1050</v>
      </c>
      <c r="K71" s="22">
        <f t="shared" si="21"/>
        <v>0</v>
      </c>
    </row>
    <row r="72" spans="1:11" ht="15.75">
      <c r="A72" s="6" t="s">
        <v>9</v>
      </c>
      <c r="B72" s="6" t="s">
        <v>9</v>
      </c>
      <c r="C72" s="6" t="s">
        <v>109</v>
      </c>
      <c r="D72" s="27" t="s">
        <v>110</v>
      </c>
      <c r="E72" s="7">
        <f t="shared" si="1"/>
        <v>143247</v>
      </c>
      <c r="F72" s="7">
        <f>86524+997</f>
        <v>87521</v>
      </c>
      <c r="G72" s="7">
        <f>46155+2755</f>
        <v>48910</v>
      </c>
      <c r="H72" s="7">
        <f>4910+856</f>
        <v>5766</v>
      </c>
      <c r="I72" s="7"/>
      <c r="J72" s="7">
        <f>1003+47</f>
        <v>1050</v>
      </c>
      <c r="K72" s="9"/>
    </row>
    <row r="73" spans="1:11" s="19" customFormat="1" ht="15.75">
      <c r="A73" s="21" t="s">
        <v>58</v>
      </c>
      <c r="B73" s="21" t="s">
        <v>111</v>
      </c>
      <c r="C73" s="21" t="s">
        <v>9</v>
      </c>
      <c r="D73" s="26" t="s">
        <v>112</v>
      </c>
      <c r="E73" s="22">
        <f t="shared" si="1"/>
        <v>118777</v>
      </c>
      <c r="F73" s="22">
        <f aca="true" t="shared" si="22" ref="F73:K73">F74</f>
        <v>0</v>
      </c>
      <c r="G73" s="22">
        <f t="shared" si="22"/>
        <v>89445</v>
      </c>
      <c r="H73" s="22">
        <f t="shared" si="22"/>
        <v>18493</v>
      </c>
      <c r="I73" s="22">
        <f t="shared" si="22"/>
        <v>0</v>
      </c>
      <c r="J73" s="22">
        <f t="shared" si="22"/>
        <v>10839</v>
      </c>
      <c r="K73" s="22">
        <f t="shared" si="22"/>
        <v>0</v>
      </c>
    </row>
    <row r="74" spans="1:11" ht="15.75">
      <c r="A74" s="6" t="s">
        <v>9</v>
      </c>
      <c r="B74" s="6" t="s">
        <v>9</v>
      </c>
      <c r="C74" s="6" t="s">
        <v>113</v>
      </c>
      <c r="D74" s="27" t="s">
        <v>114</v>
      </c>
      <c r="E74" s="7">
        <f t="shared" si="1"/>
        <v>118777</v>
      </c>
      <c r="F74" s="7">
        <v>0</v>
      </c>
      <c r="G74" s="7">
        <f>84406+5039</f>
        <v>89445</v>
      </c>
      <c r="H74" s="7">
        <f>15747+2746</f>
        <v>18493</v>
      </c>
      <c r="I74" s="7"/>
      <c r="J74" s="7">
        <f>10352+487</f>
        <v>10839</v>
      </c>
      <c r="K74" s="9"/>
    </row>
    <row r="75" spans="1:11" ht="31.5">
      <c r="A75" s="32" t="s">
        <v>115</v>
      </c>
      <c r="B75" s="32" t="s">
        <v>9</v>
      </c>
      <c r="C75" s="18" t="s">
        <v>9</v>
      </c>
      <c r="D75" s="26" t="s">
        <v>116</v>
      </c>
      <c r="E75" s="4">
        <f t="shared" si="1"/>
        <v>619310</v>
      </c>
      <c r="F75" s="4">
        <f aca="true" t="shared" si="23" ref="F75:K75">F76</f>
        <v>367297</v>
      </c>
      <c r="G75" s="4">
        <f t="shared" si="23"/>
        <v>160575</v>
      </c>
      <c r="H75" s="4">
        <f t="shared" si="23"/>
        <v>91210</v>
      </c>
      <c r="I75" s="4">
        <f t="shared" si="23"/>
        <v>0</v>
      </c>
      <c r="J75" s="4">
        <f t="shared" si="23"/>
        <v>228</v>
      </c>
      <c r="K75" s="4">
        <f t="shared" si="23"/>
        <v>0</v>
      </c>
    </row>
    <row r="76" spans="1:11" s="19" customFormat="1" ht="15.75">
      <c r="A76" s="21" t="s">
        <v>117</v>
      </c>
      <c r="B76" s="21" t="s">
        <v>15</v>
      </c>
      <c r="C76" s="21" t="s">
        <v>9</v>
      </c>
      <c r="D76" s="26" t="s">
        <v>118</v>
      </c>
      <c r="E76" s="22">
        <f aca="true" t="shared" si="24" ref="E76:E134">F76+G76+H76+I76+J76+K76</f>
        <v>619310</v>
      </c>
      <c r="F76" s="22">
        <f aca="true" t="shared" si="25" ref="F76:K76">F77+F78</f>
        <v>367297</v>
      </c>
      <c r="G76" s="22">
        <f t="shared" si="25"/>
        <v>160575</v>
      </c>
      <c r="H76" s="22">
        <f t="shared" si="25"/>
        <v>91210</v>
      </c>
      <c r="I76" s="22">
        <f t="shared" si="25"/>
        <v>0</v>
      </c>
      <c r="J76" s="22">
        <f t="shared" si="25"/>
        <v>228</v>
      </c>
      <c r="K76" s="22">
        <f t="shared" si="25"/>
        <v>0</v>
      </c>
    </row>
    <row r="77" spans="1:11" ht="15.75">
      <c r="A77" s="6" t="s">
        <v>9</v>
      </c>
      <c r="B77" s="6" t="s">
        <v>9</v>
      </c>
      <c r="C77" s="6" t="s">
        <v>37</v>
      </c>
      <c r="D77" s="27" t="s">
        <v>119</v>
      </c>
      <c r="E77" s="7">
        <f t="shared" si="24"/>
        <v>608915</v>
      </c>
      <c r="F77" s="7">
        <f>363112+4185</f>
        <v>367297</v>
      </c>
      <c r="G77" s="7">
        <f>141934+8474</f>
        <v>150408</v>
      </c>
      <c r="H77" s="7">
        <f>77675+13535</f>
        <v>91210</v>
      </c>
      <c r="I77" s="7"/>
      <c r="J77" s="7"/>
      <c r="K77" s="9"/>
    </row>
    <row r="78" spans="1:11" ht="31.5">
      <c r="A78" s="6" t="s">
        <v>9</v>
      </c>
      <c r="B78" s="6" t="s">
        <v>9</v>
      </c>
      <c r="C78" s="6" t="s">
        <v>47</v>
      </c>
      <c r="D78" s="27" t="s">
        <v>120</v>
      </c>
      <c r="E78" s="7">
        <f t="shared" si="24"/>
        <v>10395</v>
      </c>
      <c r="F78" s="7"/>
      <c r="G78" s="7">
        <f>9594+573</f>
        <v>10167</v>
      </c>
      <c r="H78" s="7"/>
      <c r="I78" s="7"/>
      <c r="J78" s="7">
        <f>217+11</f>
        <v>228</v>
      </c>
      <c r="K78" s="9"/>
    </row>
    <row r="79" spans="1:11" ht="47.25">
      <c r="A79" s="32" t="s">
        <v>121</v>
      </c>
      <c r="B79" s="32" t="s">
        <v>9</v>
      </c>
      <c r="C79" s="18" t="s">
        <v>9</v>
      </c>
      <c r="D79" s="26" t="s">
        <v>122</v>
      </c>
      <c r="E79" s="4">
        <f t="shared" si="24"/>
        <v>50284</v>
      </c>
      <c r="F79" s="4">
        <f aca="true" t="shared" si="26" ref="F79:K80">F80</f>
        <v>11078</v>
      </c>
      <c r="G79" s="4">
        <f t="shared" si="26"/>
        <v>38887</v>
      </c>
      <c r="H79" s="4">
        <f t="shared" si="26"/>
        <v>319</v>
      </c>
      <c r="I79" s="4">
        <f t="shared" si="26"/>
        <v>0</v>
      </c>
      <c r="J79" s="4">
        <f t="shared" si="26"/>
        <v>0</v>
      </c>
      <c r="K79" s="4">
        <f t="shared" si="26"/>
        <v>0</v>
      </c>
    </row>
    <row r="80" spans="1:11" s="19" customFormat="1" ht="15.75">
      <c r="A80" s="21" t="s">
        <v>107</v>
      </c>
      <c r="B80" s="21" t="s">
        <v>58</v>
      </c>
      <c r="C80" s="21" t="s">
        <v>9</v>
      </c>
      <c r="D80" s="26" t="s">
        <v>123</v>
      </c>
      <c r="E80" s="22">
        <f t="shared" si="24"/>
        <v>50284</v>
      </c>
      <c r="F80" s="22">
        <f t="shared" si="26"/>
        <v>11078</v>
      </c>
      <c r="G80" s="22">
        <f t="shared" si="26"/>
        <v>38887</v>
      </c>
      <c r="H80" s="22">
        <f t="shared" si="26"/>
        <v>319</v>
      </c>
      <c r="I80" s="22">
        <f t="shared" si="26"/>
        <v>0</v>
      </c>
      <c r="J80" s="22">
        <f t="shared" si="26"/>
        <v>0</v>
      </c>
      <c r="K80" s="22">
        <f t="shared" si="26"/>
        <v>0</v>
      </c>
    </row>
    <row r="81" spans="1:11" ht="15.75">
      <c r="A81" s="6" t="s">
        <v>9</v>
      </c>
      <c r="B81" s="6" t="s">
        <v>9</v>
      </c>
      <c r="C81" s="6" t="s">
        <v>37</v>
      </c>
      <c r="D81" s="27" t="s">
        <v>124</v>
      </c>
      <c r="E81" s="7">
        <f t="shared" si="24"/>
        <v>50284</v>
      </c>
      <c r="F81" s="7">
        <f>10687+391</f>
        <v>11078</v>
      </c>
      <c r="G81" s="7">
        <f>36696+2191</f>
        <v>38887</v>
      </c>
      <c r="H81" s="7">
        <f>271+48</f>
        <v>319</v>
      </c>
      <c r="I81" s="7">
        <v>0</v>
      </c>
      <c r="J81" s="7">
        <v>0</v>
      </c>
      <c r="K81" s="9"/>
    </row>
    <row r="82" spans="1:11" ht="15.75">
      <c r="A82" s="32" t="s">
        <v>125</v>
      </c>
      <c r="B82" s="32" t="s">
        <v>9</v>
      </c>
      <c r="C82" s="18" t="s">
        <v>9</v>
      </c>
      <c r="D82" s="26" t="s">
        <v>126</v>
      </c>
      <c r="E82" s="4">
        <f t="shared" si="24"/>
        <v>10224267</v>
      </c>
      <c r="F82" s="4">
        <f aca="true" t="shared" si="27" ref="F82:K82">F83+F87+F91+F95+F97</f>
        <v>6959436</v>
      </c>
      <c r="G82" s="4">
        <f t="shared" si="27"/>
        <v>2064249</v>
      </c>
      <c r="H82" s="4">
        <f t="shared" si="27"/>
        <v>1111091</v>
      </c>
      <c r="I82" s="4">
        <f t="shared" si="27"/>
        <v>0</v>
      </c>
      <c r="J82" s="4">
        <f t="shared" si="27"/>
        <v>89491</v>
      </c>
      <c r="K82" s="4">
        <f t="shared" si="27"/>
        <v>0</v>
      </c>
    </row>
    <row r="83" spans="1:11" s="19" customFormat="1" ht="15.75">
      <c r="A83" s="21" t="s">
        <v>111</v>
      </c>
      <c r="B83" s="21" t="s">
        <v>23</v>
      </c>
      <c r="C83" s="21" t="s">
        <v>9</v>
      </c>
      <c r="D83" s="26" t="s">
        <v>127</v>
      </c>
      <c r="E83" s="22">
        <f t="shared" si="24"/>
        <v>2712622</v>
      </c>
      <c r="F83" s="22">
        <f aca="true" t="shared" si="28" ref="F83:K83">F84+F85+F86</f>
        <v>1457465</v>
      </c>
      <c r="G83" s="22">
        <f t="shared" si="28"/>
        <v>673871</v>
      </c>
      <c r="H83" s="22">
        <f t="shared" si="28"/>
        <v>497369</v>
      </c>
      <c r="I83" s="22">
        <f t="shared" si="28"/>
        <v>0</v>
      </c>
      <c r="J83" s="22">
        <f t="shared" si="28"/>
        <v>83917</v>
      </c>
      <c r="K83" s="22">
        <f t="shared" si="28"/>
        <v>0</v>
      </c>
    </row>
    <row r="84" spans="1:11" ht="15.75">
      <c r="A84" s="6" t="s">
        <v>9</v>
      </c>
      <c r="B84" s="6" t="s">
        <v>9</v>
      </c>
      <c r="C84" s="6" t="s">
        <v>27</v>
      </c>
      <c r="D84" s="27" t="s">
        <v>128</v>
      </c>
      <c r="E84" s="7">
        <f t="shared" si="24"/>
        <v>966093</v>
      </c>
      <c r="F84" s="7">
        <f>595206+6859</f>
        <v>602065</v>
      </c>
      <c r="G84" s="7">
        <f>281683+16817</f>
        <v>298500</v>
      </c>
      <c r="H84" s="7">
        <f>23656+4102</f>
        <v>27758</v>
      </c>
      <c r="I84" s="7"/>
      <c r="J84" s="7">
        <f>36071+1699</f>
        <v>37770</v>
      </c>
      <c r="K84" s="9"/>
    </row>
    <row r="85" spans="1:11" ht="15.75">
      <c r="A85" s="6" t="s">
        <v>9</v>
      </c>
      <c r="B85" s="6" t="s">
        <v>9</v>
      </c>
      <c r="C85" s="6" t="s">
        <v>27</v>
      </c>
      <c r="D85" s="27" t="s">
        <v>129</v>
      </c>
      <c r="E85" s="7">
        <f t="shared" si="24"/>
        <v>1135650</v>
      </c>
      <c r="F85" s="7">
        <f>456060+11287</f>
        <v>467347</v>
      </c>
      <c r="G85" s="7">
        <f>211768+12642</f>
        <v>224410</v>
      </c>
      <c r="H85" s="7">
        <f>338890+58856</f>
        <v>397746</v>
      </c>
      <c r="I85" s="7"/>
      <c r="J85" s="7">
        <f>44070+2077</f>
        <v>46147</v>
      </c>
      <c r="K85" s="9"/>
    </row>
    <row r="86" spans="1:11" ht="15.75">
      <c r="A86" s="6" t="s">
        <v>9</v>
      </c>
      <c r="B86" s="6" t="s">
        <v>9</v>
      </c>
      <c r="C86" s="6" t="s">
        <v>31</v>
      </c>
      <c r="D86" s="27" t="s">
        <v>130</v>
      </c>
      <c r="E86" s="7">
        <f t="shared" si="24"/>
        <v>610879</v>
      </c>
      <c r="F86" s="7">
        <f>383631+4422</f>
        <v>388053</v>
      </c>
      <c r="G86" s="7">
        <f>142456+8505</f>
        <v>150961</v>
      </c>
      <c r="H86" s="7">
        <f>61193+10672</f>
        <v>71865</v>
      </c>
      <c r="I86" s="7"/>
      <c r="J86" s="7"/>
      <c r="K86" s="9"/>
    </row>
    <row r="87" spans="1:11" s="19" customFormat="1" ht="15.75">
      <c r="A87" s="21" t="s">
        <v>111</v>
      </c>
      <c r="B87" s="21" t="s">
        <v>55</v>
      </c>
      <c r="C87" s="21" t="s">
        <v>9</v>
      </c>
      <c r="D87" s="26" t="s">
        <v>131</v>
      </c>
      <c r="E87" s="22">
        <f t="shared" si="24"/>
        <v>4689251</v>
      </c>
      <c r="F87" s="22">
        <f aca="true" t="shared" si="29" ref="F87:K87">F88+F89+F90</f>
        <v>3690451</v>
      </c>
      <c r="G87" s="22">
        <f t="shared" si="29"/>
        <v>723648</v>
      </c>
      <c r="H87" s="22">
        <f t="shared" si="29"/>
        <v>275152</v>
      </c>
      <c r="I87" s="22">
        <f t="shared" si="29"/>
        <v>0</v>
      </c>
      <c r="J87" s="22">
        <f t="shared" si="29"/>
        <v>0</v>
      </c>
      <c r="K87" s="22">
        <f t="shared" si="29"/>
        <v>0</v>
      </c>
    </row>
    <row r="88" spans="1:11" ht="15.75">
      <c r="A88" s="6" t="s">
        <v>9</v>
      </c>
      <c r="B88" s="6" t="s">
        <v>9</v>
      </c>
      <c r="C88" s="6" t="s">
        <v>29</v>
      </c>
      <c r="D88" s="27" t="s">
        <v>132</v>
      </c>
      <c r="E88" s="7">
        <f t="shared" si="24"/>
        <v>193839</v>
      </c>
      <c r="F88" s="7">
        <f>152617+6104</f>
        <v>158721</v>
      </c>
      <c r="G88" s="7">
        <f>10707+639</f>
        <v>11346</v>
      </c>
      <c r="H88" s="7">
        <f>20241+3531</f>
        <v>23772</v>
      </c>
      <c r="I88" s="7"/>
      <c r="J88" s="7"/>
      <c r="K88" s="9"/>
    </row>
    <row r="89" spans="1:11" ht="15.75">
      <c r="A89" s="6"/>
      <c r="B89" s="6"/>
      <c r="C89" s="6" t="s">
        <v>31</v>
      </c>
      <c r="D89" s="27" t="s">
        <v>133</v>
      </c>
      <c r="E89" s="7">
        <f t="shared" si="24"/>
        <v>4294502</v>
      </c>
      <c r="F89" s="7">
        <f>3314025+44986</f>
        <v>3359011</v>
      </c>
      <c r="G89" s="7">
        <f>659777+39390</f>
        <v>699167</v>
      </c>
      <c r="H89" s="7">
        <f>201232+35092</f>
        <v>236324</v>
      </c>
      <c r="I89" s="7"/>
      <c r="J89" s="7"/>
      <c r="K89" s="9"/>
    </row>
    <row r="90" spans="1:11" ht="15.75">
      <c r="A90" s="6" t="s">
        <v>9</v>
      </c>
      <c r="B90" s="6" t="s">
        <v>9</v>
      </c>
      <c r="C90" s="6" t="s">
        <v>39</v>
      </c>
      <c r="D90" s="27" t="s">
        <v>209</v>
      </c>
      <c r="E90" s="7">
        <f t="shared" si="24"/>
        <v>200910</v>
      </c>
      <c r="F90" s="7">
        <f>170751+1968</f>
        <v>172719</v>
      </c>
      <c r="G90" s="7">
        <f>12395+740</f>
        <v>13135</v>
      </c>
      <c r="H90" s="7">
        <f>12820+2236</f>
        <v>15056</v>
      </c>
      <c r="I90" s="7"/>
      <c r="J90" s="7"/>
      <c r="K90" s="9"/>
    </row>
    <row r="91" spans="1:11" s="19" customFormat="1" ht="15.75">
      <c r="A91" s="21" t="s">
        <v>111</v>
      </c>
      <c r="B91" s="21" t="s">
        <v>58</v>
      </c>
      <c r="C91" s="21" t="s">
        <v>9</v>
      </c>
      <c r="D91" s="26" t="s">
        <v>134</v>
      </c>
      <c r="E91" s="22">
        <f t="shared" si="24"/>
        <v>2403168</v>
      </c>
      <c r="F91" s="22">
        <f aca="true" t="shared" si="30" ref="F91:K91">F92+F93+F94</f>
        <v>1600894</v>
      </c>
      <c r="G91" s="22">
        <f t="shared" si="30"/>
        <v>550867</v>
      </c>
      <c r="H91" s="22">
        <f t="shared" si="30"/>
        <v>251034</v>
      </c>
      <c r="I91" s="22">
        <f t="shared" si="30"/>
        <v>0</v>
      </c>
      <c r="J91" s="22">
        <f t="shared" si="30"/>
        <v>373</v>
      </c>
      <c r="K91" s="22">
        <f t="shared" si="30"/>
        <v>0</v>
      </c>
    </row>
    <row r="92" spans="1:11" ht="15.75">
      <c r="A92" s="6" t="s">
        <v>9</v>
      </c>
      <c r="B92" s="6" t="s">
        <v>9</v>
      </c>
      <c r="C92" s="6" t="s">
        <v>31</v>
      </c>
      <c r="D92" s="27" t="s">
        <v>135</v>
      </c>
      <c r="E92" s="7">
        <f t="shared" si="24"/>
        <v>0</v>
      </c>
      <c r="F92" s="7">
        <v>0</v>
      </c>
      <c r="G92" s="7">
        <v>0</v>
      </c>
      <c r="H92" s="7">
        <v>0</v>
      </c>
      <c r="I92" s="7"/>
      <c r="J92" s="7"/>
      <c r="K92" s="9"/>
    </row>
    <row r="93" spans="1:11" ht="15.75">
      <c r="A93" s="6" t="s">
        <v>9</v>
      </c>
      <c r="B93" s="6" t="s">
        <v>9</v>
      </c>
      <c r="C93" s="6" t="s">
        <v>136</v>
      </c>
      <c r="D93" s="27" t="s">
        <v>137</v>
      </c>
      <c r="E93" s="7">
        <f t="shared" si="24"/>
        <v>2167189</v>
      </c>
      <c r="F93" s="7">
        <f>1397120+19993</f>
        <v>1417113</v>
      </c>
      <c r="G93" s="7">
        <f>489716+21164</f>
        <v>510880</v>
      </c>
      <c r="H93" s="7">
        <f>218424+20399</f>
        <v>238823</v>
      </c>
      <c r="I93" s="7"/>
      <c r="J93" s="7">
        <v>373</v>
      </c>
      <c r="K93" s="9"/>
    </row>
    <row r="94" spans="1:11" ht="15.75">
      <c r="A94" s="6" t="s">
        <v>9</v>
      </c>
      <c r="B94" s="6" t="s">
        <v>9</v>
      </c>
      <c r="C94" s="6" t="s">
        <v>41</v>
      </c>
      <c r="D94" s="27" t="s">
        <v>138</v>
      </c>
      <c r="E94" s="7">
        <f t="shared" si="24"/>
        <v>235979</v>
      </c>
      <c r="F94" s="7">
        <f>178020+5761</f>
        <v>183781</v>
      </c>
      <c r="G94" s="7">
        <f>37734+2253</f>
        <v>39987</v>
      </c>
      <c r="H94" s="7">
        <f>10398+1813</f>
        <v>12211</v>
      </c>
      <c r="I94" s="7"/>
      <c r="J94" s="7"/>
      <c r="K94" s="9"/>
    </row>
    <row r="95" spans="1:11" s="19" customFormat="1" ht="31.5">
      <c r="A95" s="21" t="s">
        <v>111</v>
      </c>
      <c r="B95" s="21" t="s">
        <v>100</v>
      </c>
      <c r="C95" s="21" t="s">
        <v>9</v>
      </c>
      <c r="D95" s="26" t="s">
        <v>139</v>
      </c>
      <c r="E95" s="22">
        <f t="shared" si="24"/>
        <v>67345</v>
      </c>
      <c r="F95" s="22">
        <f aca="true" t="shared" si="31" ref="F95:K95">F96</f>
        <v>52352</v>
      </c>
      <c r="G95" s="22">
        <f t="shared" si="31"/>
        <v>9212</v>
      </c>
      <c r="H95" s="22">
        <f t="shared" si="31"/>
        <v>5781</v>
      </c>
      <c r="I95" s="22">
        <f t="shared" si="31"/>
        <v>0</v>
      </c>
      <c r="J95" s="22">
        <f t="shared" si="31"/>
        <v>0</v>
      </c>
      <c r="K95" s="22">
        <f t="shared" si="31"/>
        <v>0</v>
      </c>
    </row>
    <row r="96" spans="1:11" ht="31.5">
      <c r="A96" s="6" t="s">
        <v>9</v>
      </c>
      <c r="B96" s="6" t="s">
        <v>9</v>
      </c>
      <c r="C96" s="6" t="s">
        <v>31</v>
      </c>
      <c r="D96" s="27" t="s">
        <v>140</v>
      </c>
      <c r="E96" s="7">
        <f t="shared" si="24"/>
        <v>67345</v>
      </c>
      <c r="F96" s="7">
        <f>51755+597</f>
        <v>52352</v>
      </c>
      <c r="G96" s="7">
        <f>8693+519</f>
        <v>9212</v>
      </c>
      <c r="H96" s="7">
        <f>4923+858</f>
        <v>5781</v>
      </c>
      <c r="I96" s="7"/>
      <c r="J96" s="7"/>
      <c r="K96" s="9"/>
    </row>
    <row r="97" spans="1:11" s="19" customFormat="1" ht="15.75">
      <c r="A97" s="21" t="s">
        <v>111</v>
      </c>
      <c r="B97" s="21" t="s">
        <v>62</v>
      </c>
      <c r="C97" s="21" t="s">
        <v>9</v>
      </c>
      <c r="D97" s="26" t="s">
        <v>141</v>
      </c>
      <c r="E97" s="22">
        <f t="shared" si="24"/>
        <v>351881</v>
      </c>
      <c r="F97" s="22">
        <f aca="true" t="shared" si="32" ref="F97:K97">F98</f>
        <v>158274</v>
      </c>
      <c r="G97" s="22">
        <f t="shared" si="32"/>
        <v>106651</v>
      </c>
      <c r="H97" s="22">
        <f t="shared" si="32"/>
        <v>81755</v>
      </c>
      <c r="I97" s="22">
        <f t="shared" si="32"/>
        <v>0</v>
      </c>
      <c r="J97" s="22">
        <f t="shared" si="32"/>
        <v>5201</v>
      </c>
      <c r="K97" s="22">
        <f t="shared" si="32"/>
        <v>0</v>
      </c>
    </row>
    <row r="98" spans="1:11" ht="15.75">
      <c r="A98" s="6" t="s">
        <v>9</v>
      </c>
      <c r="B98" s="6" t="s">
        <v>9</v>
      </c>
      <c r="C98" s="6" t="s">
        <v>27</v>
      </c>
      <c r="D98" s="27" t="s">
        <v>142</v>
      </c>
      <c r="E98" s="7">
        <f t="shared" si="24"/>
        <v>351881</v>
      </c>
      <c r="F98" s="7">
        <f>149866+8408</f>
        <v>158274</v>
      </c>
      <c r="G98" s="7">
        <f>100643+6008</f>
        <v>106651</v>
      </c>
      <c r="H98" s="7">
        <f>69645+12110</f>
        <v>81755</v>
      </c>
      <c r="I98" s="7"/>
      <c r="J98" s="7">
        <f>4967+234</f>
        <v>5201</v>
      </c>
      <c r="K98" s="9"/>
    </row>
    <row r="99" spans="1:11" ht="31.5">
      <c r="A99" s="32" t="s">
        <v>143</v>
      </c>
      <c r="B99" s="32" t="s">
        <v>9</v>
      </c>
      <c r="C99" s="18" t="s">
        <v>9</v>
      </c>
      <c r="D99" s="26" t="s">
        <v>144</v>
      </c>
      <c r="E99" s="4">
        <f t="shared" si="24"/>
        <v>366616</v>
      </c>
      <c r="F99" s="4">
        <f aca="true" t="shared" si="33" ref="F99:K99">F100+F103</f>
        <v>235335</v>
      </c>
      <c r="G99" s="4">
        <f t="shared" si="33"/>
        <v>104639</v>
      </c>
      <c r="H99" s="4">
        <f t="shared" si="33"/>
        <v>22358</v>
      </c>
      <c r="I99" s="4">
        <f t="shared" si="33"/>
        <v>0</v>
      </c>
      <c r="J99" s="4">
        <f t="shared" si="33"/>
        <v>4284</v>
      </c>
      <c r="K99" s="4">
        <f t="shared" si="33"/>
        <v>0</v>
      </c>
    </row>
    <row r="100" spans="1:11" s="19" customFormat="1" ht="15.75">
      <c r="A100" s="21" t="s">
        <v>145</v>
      </c>
      <c r="B100" s="21" t="s">
        <v>15</v>
      </c>
      <c r="C100" s="21" t="s">
        <v>9</v>
      </c>
      <c r="D100" s="26" t="s">
        <v>146</v>
      </c>
      <c r="E100" s="22">
        <f t="shared" si="24"/>
        <v>297733</v>
      </c>
      <c r="F100" s="22">
        <f aca="true" t="shared" si="34" ref="F100:K100">F101+F102</f>
        <v>182781</v>
      </c>
      <c r="G100" s="22">
        <f t="shared" si="34"/>
        <v>90821</v>
      </c>
      <c r="H100" s="22">
        <f t="shared" si="34"/>
        <v>19847</v>
      </c>
      <c r="I100" s="22">
        <f t="shared" si="34"/>
        <v>0</v>
      </c>
      <c r="J100" s="22">
        <f t="shared" si="34"/>
        <v>4284</v>
      </c>
      <c r="K100" s="22">
        <f t="shared" si="34"/>
        <v>0</v>
      </c>
    </row>
    <row r="101" spans="1:11" ht="15.75">
      <c r="A101" s="6" t="s">
        <v>9</v>
      </c>
      <c r="B101" s="6" t="s">
        <v>9</v>
      </c>
      <c r="C101" s="6" t="s">
        <v>41</v>
      </c>
      <c r="D101" s="27" t="s">
        <v>147</v>
      </c>
      <c r="E101" s="7">
        <f t="shared" si="24"/>
        <v>272362</v>
      </c>
      <c r="F101" s="7">
        <f>181687+1094</f>
        <v>182781</v>
      </c>
      <c r="G101" s="7">
        <f>67846+4050</f>
        <v>71896</v>
      </c>
      <c r="H101" s="7">
        <f>15058+2627</f>
        <v>17685</v>
      </c>
      <c r="I101" s="7"/>
      <c r="J101" s="7"/>
      <c r="K101" s="9"/>
    </row>
    <row r="102" spans="1:11" ht="15.75">
      <c r="A102" s="6" t="s">
        <v>9</v>
      </c>
      <c r="B102" s="6" t="s">
        <v>9</v>
      </c>
      <c r="C102" s="6" t="s">
        <v>41</v>
      </c>
      <c r="D102" s="27" t="s">
        <v>148</v>
      </c>
      <c r="E102" s="7">
        <f t="shared" si="24"/>
        <v>25371</v>
      </c>
      <c r="F102" s="7">
        <v>0</v>
      </c>
      <c r="G102" s="7">
        <f>17859+1066</f>
        <v>18925</v>
      </c>
      <c r="H102" s="7">
        <f>1841+321</f>
        <v>2162</v>
      </c>
      <c r="I102" s="7"/>
      <c r="J102" s="7">
        <f>4092+192</f>
        <v>4284</v>
      </c>
      <c r="K102" s="9"/>
    </row>
    <row r="103" spans="1:11" s="19" customFormat="1" ht="31.5">
      <c r="A103" s="21" t="s">
        <v>145</v>
      </c>
      <c r="B103" s="21" t="s">
        <v>55</v>
      </c>
      <c r="C103" s="21" t="s">
        <v>9</v>
      </c>
      <c r="D103" s="26" t="s">
        <v>149</v>
      </c>
      <c r="E103" s="22">
        <f t="shared" si="24"/>
        <v>68883</v>
      </c>
      <c r="F103" s="22">
        <f aca="true" t="shared" si="35" ref="F103:K103">F104+F105</f>
        <v>52554</v>
      </c>
      <c r="G103" s="22">
        <f t="shared" si="35"/>
        <v>13818</v>
      </c>
      <c r="H103" s="22">
        <f t="shared" si="35"/>
        <v>2511</v>
      </c>
      <c r="I103" s="22">
        <f t="shared" si="35"/>
        <v>0</v>
      </c>
      <c r="J103" s="22">
        <f t="shared" si="35"/>
        <v>0</v>
      </c>
      <c r="K103" s="22">
        <f t="shared" si="35"/>
        <v>0</v>
      </c>
    </row>
    <row r="104" spans="1:11" ht="15.75">
      <c r="A104" s="6" t="s">
        <v>9</v>
      </c>
      <c r="B104" s="6" t="s">
        <v>9</v>
      </c>
      <c r="C104" s="6" t="s">
        <v>27</v>
      </c>
      <c r="D104" s="27" t="s">
        <v>150</v>
      </c>
      <c r="E104" s="7">
        <f t="shared" si="24"/>
        <v>2950</v>
      </c>
      <c r="F104" s="7">
        <v>0</v>
      </c>
      <c r="G104" s="7">
        <f>2305+137</f>
        <v>2442</v>
      </c>
      <c r="H104" s="7">
        <f>433+75</f>
        <v>508</v>
      </c>
      <c r="I104" s="7"/>
      <c r="J104" s="7"/>
      <c r="K104" s="9"/>
    </row>
    <row r="105" spans="1:11" ht="15.75">
      <c r="A105" s="6" t="s">
        <v>9</v>
      </c>
      <c r="B105" s="6" t="s">
        <v>9</v>
      </c>
      <c r="C105" s="6" t="s">
        <v>39</v>
      </c>
      <c r="D105" s="27" t="s">
        <v>151</v>
      </c>
      <c r="E105" s="7">
        <f t="shared" si="24"/>
        <v>65933</v>
      </c>
      <c r="F105" s="7">
        <f>51955+599</f>
        <v>52554</v>
      </c>
      <c r="G105" s="7">
        <f>10735+641</f>
        <v>11376</v>
      </c>
      <c r="H105" s="7">
        <f>1705+298</f>
        <v>2003</v>
      </c>
      <c r="I105" s="7"/>
      <c r="J105" s="7"/>
      <c r="K105" s="9"/>
    </row>
    <row r="106" spans="1:11" ht="15.75">
      <c r="A106" s="32" t="s">
        <v>152</v>
      </c>
      <c r="B106" s="32" t="s">
        <v>9</v>
      </c>
      <c r="C106" s="18" t="s">
        <v>9</v>
      </c>
      <c r="D106" s="26" t="s">
        <v>153</v>
      </c>
      <c r="E106" s="4">
        <f t="shared" si="24"/>
        <v>79952</v>
      </c>
      <c r="F106" s="4">
        <f aca="true" t="shared" si="36" ref="F106:K107">F107</f>
        <v>0</v>
      </c>
      <c r="G106" s="4">
        <f t="shared" si="36"/>
        <v>79952</v>
      </c>
      <c r="H106" s="4">
        <f t="shared" si="36"/>
        <v>0</v>
      </c>
      <c r="I106" s="4">
        <f t="shared" si="36"/>
        <v>0</v>
      </c>
      <c r="J106" s="4">
        <f t="shared" si="36"/>
        <v>0</v>
      </c>
      <c r="K106" s="4">
        <f t="shared" si="36"/>
        <v>0</v>
      </c>
    </row>
    <row r="107" spans="1:11" s="19" customFormat="1" ht="15.75">
      <c r="A107" s="21" t="s">
        <v>154</v>
      </c>
      <c r="B107" s="21" t="s">
        <v>11</v>
      </c>
      <c r="C107" s="21" t="s">
        <v>9</v>
      </c>
      <c r="D107" s="26" t="s">
        <v>155</v>
      </c>
      <c r="E107" s="22">
        <f t="shared" si="24"/>
        <v>79952</v>
      </c>
      <c r="F107" s="22">
        <f t="shared" si="36"/>
        <v>0</v>
      </c>
      <c r="G107" s="22">
        <f t="shared" si="36"/>
        <v>79952</v>
      </c>
      <c r="H107" s="22">
        <f t="shared" si="36"/>
        <v>0</v>
      </c>
      <c r="I107" s="22">
        <f t="shared" si="36"/>
        <v>0</v>
      </c>
      <c r="J107" s="22">
        <f t="shared" si="36"/>
        <v>0</v>
      </c>
      <c r="K107" s="22">
        <f t="shared" si="36"/>
        <v>0</v>
      </c>
    </row>
    <row r="108" spans="1:11" ht="15.75">
      <c r="A108" s="6" t="s">
        <v>9</v>
      </c>
      <c r="B108" s="6" t="s">
        <v>9</v>
      </c>
      <c r="C108" s="6" t="s">
        <v>42</v>
      </c>
      <c r="D108" s="27" t="s">
        <v>156</v>
      </c>
      <c r="E108" s="7">
        <f t="shared" si="24"/>
        <v>79952</v>
      </c>
      <c r="F108" s="7">
        <v>0</v>
      </c>
      <c r="G108" s="7">
        <f>75448+4504</f>
        <v>79952</v>
      </c>
      <c r="H108" s="7">
        <v>0</v>
      </c>
      <c r="I108" s="7">
        <v>0</v>
      </c>
      <c r="J108" s="7">
        <v>0</v>
      </c>
      <c r="K108" s="9"/>
    </row>
    <row r="109" spans="1:11" ht="15.75">
      <c r="A109" s="32" t="s">
        <v>157</v>
      </c>
      <c r="B109" s="32" t="s">
        <v>9</v>
      </c>
      <c r="C109" s="18" t="s">
        <v>9</v>
      </c>
      <c r="D109" s="26" t="s">
        <v>158</v>
      </c>
      <c r="E109" s="4">
        <f t="shared" si="24"/>
        <v>22612734</v>
      </c>
      <c r="F109" s="4">
        <f aca="true" t="shared" si="37" ref="F109:K109">F110+F112+F115</f>
        <v>11541585</v>
      </c>
      <c r="G109" s="4">
        <f t="shared" si="37"/>
        <v>6304549</v>
      </c>
      <c r="H109" s="4">
        <f t="shared" si="37"/>
        <v>4535587</v>
      </c>
      <c r="I109" s="4">
        <f t="shared" si="37"/>
        <v>0</v>
      </c>
      <c r="J109" s="4">
        <f t="shared" si="37"/>
        <v>231013</v>
      </c>
      <c r="K109" s="4">
        <f t="shared" si="37"/>
        <v>0</v>
      </c>
    </row>
    <row r="110" spans="1:11" s="19" customFormat="1" ht="15.75">
      <c r="A110" s="21" t="s">
        <v>159</v>
      </c>
      <c r="B110" s="21" t="s">
        <v>11</v>
      </c>
      <c r="C110" s="21" t="s">
        <v>9</v>
      </c>
      <c r="D110" s="26" t="s">
        <v>160</v>
      </c>
      <c r="E110" s="22">
        <f t="shared" si="24"/>
        <v>19489162</v>
      </c>
      <c r="F110" s="22">
        <f aca="true" t="shared" si="38" ref="F110:K110">F111</f>
        <v>9552649</v>
      </c>
      <c r="G110" s="22">
        <f t="shared" si="38"/>
        <v>5678544</v>
      </c>
      <c r="H110" s="22">
        <f t="shared" si="38"/>
        <v>4117238</v>
      </c>
      <c r="I110" s="22">
        <f t="shared" si="38"/>
        <v>0</v>
      </c>
      <c r="J110" s="22">
        <f t="shared" si="38"/>
        <v>140731</v>
      </c>
      <c r="K110" s="22">
        <f t="shared" si="38"/>
        <v>0</v>
      </c>
    </row>
    <row r="111" spans="1:11" ht="15.75">
      <c r="A111" s="6" t="s">
        <v>9</v>
      </c>
      <c r="B111" s="6" t="s">
        <v>9</v>
      </c>
      <c r="C111" s="6" t="s">
        <v>29</v>
      </c>
      <c r="D111" s="27" t="s">
        <v>160</v>
      </c>
      <c r="E111" s="7">
        <f t="shared" si="24"/>
        <v>19489162</v>
      </c>
      <c r="F111" s="7">
        <f>9368605+184044</f>
        <v>9552649</v>
      </c>
      <c r="G111" s="7">
        <f>5358626+319918</f>
        <v>5678544</v>
      </c>
      <c r="H111" s="7">
        <f>3505674+611564</f>
        <v>4117238</v>
      </c>
      <c r="I111" s="7"/>
      <c r="J111" s="7">
        <f>136167+4564</f>
        <v>140731</v>
      </c>
      <c r="K111" s="9"/>
    </row>
    <row r="112" spans="1:11" s="19" customFormat="1" ht="31.5">
      <c r="A112" s="21" t="s">
        <v>159</v>
      </c>
      <c r="B112" s="21" t="s">
        <v>15</v>
      </c>
      <c r="C112" s="21" t="s">
        <v>9</v>
      </c>
      <c r="D112" s="26" t="s">
        <v>161</v>
      </c>
      <c r="E112" s="22">
        <f t="shared" si="24"/>
        <v>2360152</v>
      </c>
      <c r="F112" s="22">
        <f aca="true" t="shared" si="39" ref="F112:K112">F113+F114</f>
        <v>1485073</v>
      </c>
      <c r="G112" s="22">
        <f t="shared" si="39"/>
        <v>501139</v>
      </c>
      <c r="H112" s="22">
        <f t="shared" si="39"/>
        <v>320321</v>
      </c>
      <c r="I112" s="22">
        <f t="shared" si="39"/>
        <v>0</v>
      </c>
      <c r="J112" s="22">
        <f t="shared" si="39"/>
        <v>53619</v>
      </c>
      <c r="K112" s="22">
        <f t="shared" si="39"/>
        <v>0</v>
      </c>
    </row>
    <row r="113" spans="1:11" ht="15.75">
      <c r="A113" s="6" t="s">
        <v>9</v>
      </c>
      <c r="B113" s="6" t="s">
        <v>9</v>
      </c>
      <c r="C113" s="6" t="s">
        <v>29</v>
      </c>
      <c r="D113" s="27" t="s">
        <v>162</v>
      </c>
      <c r="E113" s="7">
        <f t="shared" si="24"/>
        <v>2106020</v>
      </c>
      <c r="F113" s="7">
        <f>1318508+38304</f>
        <v>1356812</v>
      </c>
      <c r="G113" s="7">
        <f>378740+22611</f>
        <v>401351</v>
      </c>
      <c r="H113" s="7">
        <f>250544+43694</f>
        <v>294238</v>
      </c>
      <c r="I113" s="7"/>
      <c r="J113" s="7">
        <f>51207+2412</f>
        <v>53619</v>
      </c>
      <c r="K113" s="9"/>
    </row>
    <row r="114" spans="1:11" ht="15.75">
      <c r="A114" s="6" t="s">
        <v>9</v>
      </c>
      <c r="B114" s="6" t="s">
        <v>9</v>
      </c>
      <c r="C114" s="6" t="s">
        <v>29</v>
      </c>
      <c r="D114" s="27" t="s">
        <v>163</v>
      </c>
      <c r="E114" s="7">
        <f t="shared" si="24"/>
        <v>254132</v>
      </c>
      <c r="F114" s="7">
        <f>125589+2672</f>
        <v>128261</v>
      </c>
      <c r="G114" s="7">
        <f>94166+5622</f>
        <v>99788</v>
      </c>
      <c r="H114" s="7">
        <f>22209+3874</f>
        <v>26083</v>
      </c>
      <c r="I114" s="7"/>
      <c r="J114" s="7"/>
      <c r="K114" s="9"/>
    </row>
    <row r="115" spans="1:11" s="19" customFormat="1" ht="31.5">
      <c r="A115" s="21" t="s">
        <v>159</v>
      </c>
      <c r="B115" s="21" t="s">
        <v>23</v>
      </c>
      <c r="C115" s="21" t="s">
        <v>9</v>
      </c>
      <c r="D115" s="26" t="s">
        <v>164</v>
      </c>
      <c r="E115" s="22">
        <f t="shared" si="24"/>
        <v>763420</v>
      </c>
      <c r="F115" s="22">
        <f aca="true" t="shared" si="40" ref="F115:K115">F116+F117</f>
        <v>503863</v>
      </c>
      <c r="G115" s="22">
        <f t="shared" si="40"/>
        <v>124866</v>
      </c>
      <c r="H115" s="22">
        <f t="shared" si="40"/>
        <v>98028</v>
      </c>
      <c r="I115" s="22">
        <f t="shared" si="40"/>
        <v>0</v>
      </c>
      <c r="J115" s="22">
        <f t="shared" si="40"/>
        <v>36663</v>
      </c>
      <c r="K115" s="22">
        <f t="shared" si="40"/>
        <v>0</v>
      </c>
    </row>
    <row r="116" spans="1:11" ht="15.75">
      <c r="A116" s="6" t="s">
        <v>9</v>
      </c>
      <c r="B116" s="6" t="s">
        <v>9</v>
      </c>
      <c r="C116" s="6" t="s">
        <v>27</v>
      </c>
      <c r="D116" s="27" t="s">
        <v>165</v>
      </c>
      <c r="E116" s="7">
        <f t="shared" si="24"/>
        <v>170290</v>
      </c>
      <c r="F116" s="7">
        <v>0</v>
      </c>
      <c r="G116" s="7">
        <f>68294+4077</f>
        <v>72371</v>
      </c>
      <c r="H116" s="7">
        <f>55146+9618</f>
        <v>64764</v>
      </c>
      <c r="I116" s="7"/>
      <c r="J116" s="7">
        <f>31663+1492</f>
        <v>33155</v>
      </c>
      <c r="K116" s="9"/>
    </row>
    <row r="117" spans="1:11" ht="15.75">
      <c r="A117" s="6" t="s">
        <v>9</v>
      </c>
      <c r="B117" s="6" t="s">
        <v>9</v>
      </c>
      <c r="C117" s="6" t="s">
        <v>29</v>
      </c>
      <c r="D117" s="27" t="s">
        <v>166</v>
      </c>
      <c r="E117" s="7">
        <f t="shared" si="24"/>
        <v>593130</v>
      </c>
      <c r="F117" s="7">
        <f>495812+8051</f>
        <v>503863</v>
      </c>
      <c r="G117" s="7">
        <f>49538+2957</f>
        <v>52495</v>
      </c>
      <c r="H117" s="7">
        <f>28324+4940</f>
        <v>33264</v>
      </c>
      <c r="I117" s="7"/>
      <c r="J117" s="7">
        <f>3351+157</f>
        <v>3508</v>
      </c>
      <c r="K117" s="9"/>
    </row>
    <row r="118" spans="1:11" ht="15.75">
      <c r="A118" s="32" t="s">
        <v>167</v>
      </c>
      <c r="B118" s="32" t="s">
        <v>9</v>
      </c>
      <c r="C118" s="18" t="s">
        <v>9</v>
      </c>
      <c r="D118" s="26" t="s">
        <v>168</v>
      </c>
      <c r="E118" s="4">
        <f t="shared" si="24"/>
        <v>1893565</v>
      </c>
      <c r="F118" s="4">
        <f aca="true" t="shared" si="41" ref="F118:K118">F119</f>
        <v>779937</v>
      </c>
      <c r="G118" s="4">
        <f t="shared" si="41"/>
        <v>414977</v>
      </c>
      <c r="H118" s="4">
        <f t="shared" si="41"/>
        <v>671833</v>
      </c>
      <c r="I118" s="4">
        <f t="shared" si="41"/>
        <v>0</v>
      </c>
      <c r="J118" s="4">
        <f t="shared" si="41"/>
        <v>26818</v>
      </c>
      <c r="K118" s="4">
        <f t="shared" si="41"/>
        <v>0</v>
      </c>
    </row>
    <row r="119" spans="1:11" s="19" customFormat="1" ht="15.75">
      <c r="A119" s="21" t="s">
        <v>169</v>
      </c>
      <c r="B119" s="21" t="s">
        <v>23</v>
      </c>
      <c r="C119" s="21" t="s">
        <v>9</v>
      </c>
      <c r="D119" s="26" t="s">
        <v>170</v>
      </c>
      <c r="E119" s="22">
        <f t="shared" si="24"/>
        <v>1893565</v>
      </c>
      <c r="F119" s="22">
        <f aca="true" t="shared" si="42" ref="F119:K119">F120+F121+F122</f>
        <v>779937</v>
      </c>
      <c r="G119" s="22">
        <f t="shared" si="42"/>
        <v>414977</v>
      </c>
      <c r="H119" s="22">
        <f t="shared" si="42"/>
        <v>671833</v>
      </c>
      <c r="I119" s="22">
        <f t="shared" si="42"/>
        <v>0</v>
      </c>
      <c r="J119" s="22">
        <f t="shared" si="42"/>
        <v>26818</v>
      </c>
      <c r="K119" s="22">
        <f t="shared" si="42"/>
        <v>0</v>
      </c>
    </row>
    <row r="120" spans="1:11" ht="15.75">
      <c r="A120" s="6" t="s">
        <v>9</v>
      </c>
      <c r="B120" s="6" t="s">
        <v>9</v>
      </c>
      <c r="C120" s="6" t="s">
        <v>27</v>
      </c>
      <c r="D120" s="27" t="s">
        <v>171</v>
      </c>
      <c r="E120" s="7">
        <f t="shared" si="24"/>
        <v>120268</v>
      </c>
      <c r="F120" s="7">
        <f>29259+1641</f>
        <v>30900</v>
      </c>
      <c r="G120" s="7">
        <f>46648+2785</f>
        <v>49433</v>
      </c>
      <c r="H120" s="7">
        <f>25039+4367</f>
        <v>29406</v>
      </c>
      <c r="I120" s="7"/>
      <c r="J120" s="7">
        <f>10056+473</f>
        <v>10529</v>
      </c>
      <c r="K120" s="9"/>
    </row>
    <row r="121" spans="1:11" ht="15.75">
      <c r="A121" s="6" t="s">
        <v>9</v>
      </c>
      <c r="B121" s="6" t="s">
        <v>9</v>
      </c>
      <c r="C121" s="6" t="s">
        <v>27</v>
      </c>
      <c r="D121" s="27" t="s">
        <v>172</v>
      </c>
      <c r="E121" s="7">
        <f t="shared" si="24"/>
        <v>1770220</v>
      </c>
      <c r="F121" s="7">
        <f>722214+24801</f>
        <v>747015</v>
      </c>
      <c r="G121" s="7">
        <f>344255+20553</f>
        <v>364808</v>
      </c>
      <c r="H121" s="7">
        <f>546751+95357</f>
        <v>642108</v>
      </c>
      <c r="I121" s="7"/>
      <c r="J121" s="7">
        <f>15557+732</f>
        <v>16289</v>
      </c>
      <c r="K121" s="9"/>
    </row>
    <row r="122" spans="1:11" ht="31.5">
      <c r="A122" s="6" t="s">
        <v>9</v>
      </c>
      <c r="B122" s="6" t="s">
        <v>9</v>
      </c>
      <c r="C122" s="6" t="s">
        <v>27</v>
      </c>
      <c r="D122" s="27" t="s">
        <v>173</v>
      </c>
      <c r="E122" s="7">
        <f t="shared" si="24"/>
        <v>3077</v>
      </c>
      <c r="F122" s="7">
        <f>1999+23</f>
        <v>2022</v>
      </c>
      <c r="G122" s="7">
        <f>694+42</f>
        <v>736</v>
      </c>
      <c r="H122" s="7">
        <f>271+48</f>
        <v>319</v>
      </c>
      <c r="I122" s="7"/>
      <c r="J122" s="7">
        <v>0</v>
      </c>
      <c r="K122" s="9"/>
    </row>
    <row r="123" spans="1:11" s="19" customFormat="1" ht="31.5">
      <c r="A123" s="21" t="s">
        <v>169</v>
      </c>
      <c r="B123" s="21" t="s">
        <v>181</v>
      </c>
      <c r="C123" s="21" t="s">
        <v>9</v>
      </c>
      <c r="D123" s="26" t="s">
        <v>182</v>
      </c>
      <c r="E123" s="22">
        <f t="shared" si="24"/>
        <v>150721550</v>
      </c>
      <c r="F123" s="22">
        <f aca="true" t="shared" si="43" ref="F123:K123">F124</f>
        <v>0</v>
      </c>
      <c r="G123" s="22">
        <f t="shared" si="43"/>
        <v>0</v>
      </c>
      <c r="H123" s="22">
        <f t="shared" si="43"/>
        <v>0</v>
      </c>
      <c r="I123" s="22">
        <f t="shared" si="43"/>
        <v>150721550</v>
      </c>
      <c r="J123" s="22">
        <f t="shared" si="43"/>
        <v>0</v>
      </c>
      <c r="K123" s="22">
        <f t="shared" si="43"/>
        <v>0</v>
      </c>
    </row>
    <row r="124" spans="1:11" ht="15.75">
      <c r="A124" s="6" t="s">
        <v>9</v>
      </c>
      <c r="B124" s="6" t="s">
        <v>9</v>
      </c>
      <c r="C124" s="6" t="s">
        <v>51</v>
      </c>
      <c r="D124" s="27" t="s">
        <v>182</v>
      </c>
      <c r="E124" s="7">
        <f t="shared" si="24"/>
        <v>150721550</v>
      </c>
      <c r="F124" s="7"/>
      <c r="G124" s="7"/>
      <c r="H124" s="7"/>
      <c r="I124" s="7">
        <v>150721550</v>
      </c>
      <c r="J124" s="7"/>
      <c r="K124" s="9"/>
    </row>
    <row r="125" spans="1:11" ht="31.5">
      <c r="A125" s="32" t="s">
        <v>186</v>
      </c>
      <c r="B125" s="32"/>
      <c r="C125" s="18" t="s">
        <v>187</v>
      </c>
      <c r="D125" s="26" t="s">
        <v>188</v>
      </c>
      <c r="E125" s="4">
        <f t="shared" si="24"/>
        <v>1843485</v>
      </c>
      <c r="F125" s="4">
        <f aca="true" t="shared" si="44" ref="F125:K126">F126</f>
        <v>0</v>
      </c>
      <c r="G125" s="4">
        <f t="shared" si="44"/>
        <v>0</v>
      </c>
      <c r="H125" s="4">
        <f t="shared" si="44"/>
        <v>0</v>
      </c>
      <c r="I125" s="4">
        <f t="shared" si="44"/>
        <v>0</v>
      </c>
      <c r="J125" s="4">
        <f t="shared" si="44"/>
        <v>0</v>
      </c>
      <c r="K125" s="4">
        <f t="shared" si="44"/>
        <v>1843485</v>
      </c>
    </row>
    <row r="126" spans="1:11" ht="15.75">
      <c r="A126" s="17" t="s">
        <v>189</v>
      </c>
      <c r="B126" s="17" t="s">
        <v>11</v>
      </c>
      <c r="C126" s="18" t="s">
        <v>187</v>
      </c>
      <c r="D126" s="26" t="s">
        <v>190</v>
      </c>
      <c r="E126" s="4">
        <f t="shared" si="24"/>
        <v>1843485</v>
      </c>
      <c r="F126" s="4">
        <f t="shared" si="44"/>
        <v>0</v>
      </c>
      <c r="G126" s="4">
        <f t="shared" si="44"/>
        <v>0</v>
      </c>
      <c r="H126" s="4">
        <f t="shared" si="44"/>
        <v>0</v>
      </c>
      <c r="I126" s="4">
        <f t="shared" si="44"/>
        <v>0</v>
      </c>
      <c r="J126" s="4">
        <f t="shared" si="44"/>
        <v>0</v>
      </c>
      <c r="K126" s="4">
        <f t="shared" si="44"/>
        <v>1843485</v>
      </c>
    </row>
    <row r="127" spans="1:11" ht="31.5">
      <c r="A127" s="23"/>
      <c r="B127" s="23"/>
      <c r="C127" s="24">
        <v>150</v>
      </c>
      <c r="D127" s="27" t="s">
        <v>191</v>
      </c>
      <c r="E127" s="5">
        <f t="shared" si="24"/>
        <v>1843485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7">
        <v>1843485</v>
      </c>
    </row>
    <row r="128" spans="1:11" s="19" customFormat="1" ht="15.75">
      <c r="A128" s="21" t="s">
        <v>174</v>
      </c>
      <c r="B128" s="21" t="s">
        <v>9</v>
      </c>
      <c r="C128" s="21" t="s">
        <v>9</v>
      </c>
      <c r="D128" s="26" t="s">
        <v>175</v>
      </c>
      <c r="E128" s="22">
        <f t="shared" si="24"/>
        <v>41857</v>
      </c>
      <c r="F128" s="22">
        <f aca="true" t="shared" si="45" ref="F128:K129">F129</f>
        <v>32671</v>
      </c>
      <c r="G128" s="22">
        <f t="shared" si="45"/>
        <v>7672</v>
      </c>
      <c r="H128" s="22">
        <f t="shared" si="45"/>
        <v>1514</v>
      </c>
      <c r="I128" s="22">
        <f t="shared" si="45"/>
        <v>0</v>
      </c>
      <c r="J128" s="22">
        <f t="shared" si="45"/>
        <v>0</v>
      </c>
      <c r="K128" s="22">
        <f t="shared" si="45"/>
        <v>0</v>
      </c>
    </row>
    <row r="129" spans="1:11" s="19" customFormat="1" ht="15.75">
      <c r="A129" s="21" t="s">
        <v>176</v>
      </c>
      <c r="B129" s="21" t="s">
        <v>58</v>
      </c>
      <c r="C129" s="21" t="s">
        <v>9</v>
      </c>
      <c r="D129" s="26" t="s">
        <v>177</v>
      </c>
      <c r="E129" s="22">
        <f t="shared" si="24"/>
        <v>41857</v>
      </c>
      <c r="F129" s="22">
        <f t="shared" si="45"/>
        <v>32671</v>
      </c>
      <c r="G129" s="22">
        <f t="shared" si="45"/>
        <v>7672</v>
      </c>
      <c r="H129" s="22">
        <f t="shared" si="45"/>
        <v>1514</v>
      </c>
      <c r="I129" s="22">
        <f t="shared" si="45"/>
        <v>0</v>
      </c>
      <c r="J129" s="22">
        <f t="shared" si="45"/>
        <v>0</v>
      </c>
      <c r="K129" s="22">
        <f t="shared" si="45"/>
        <v>0</v>
      </c>
    </row>
    <row r="130" spans="1:11" ht="15.75">
      <c r="A130" s="6" t="s">
        <v>9</v>
      </c>
      <c r="B130" s="6" t="s">
        <v>9</v>
      </c>
      <c r="C130" s="6" t="s">
        <v>178</v>
      </c>
      <c r="D130" s="27" t="s">
        <v>179</v>
      </c>
      <c r="E130" s="22">
        <f t="shared" si="24"/>
        <v>41857</v>
      </c>
      <c r="F130" s="7">
        <f>32299+372</f>
        <v>32671</v>
      </c>
      <c r="G130" s="7">
        <f>7240+432</f>
        <v>7672</v>
      </c>
      <c r="H130" s="7">
        <f>1289+225</f>
        <v>1514</v>
      </c>
      <c r="I130" s="7">
        <v>0</v>
      </c>
      <c r="J130" s="7">
        <v>0</v>
      </c>
      <c r="K130" s="9"/>
    </row>
    <row r="131" spans="1:11" s="19" customFormat="1" ht="15.75">
      <c r="A131" s="21" t="s">
        <v>194</v>
      </c>
      <c r="B131" s="21" t="s">
        <v>9</v>
      </c>
      <c r="C131" s="21" t="s">
        <v>9</v>
      </c>
      <c r="D131" s="26" t="s">
        <v>193</v>
      </c>
      <c r="E131" s="22">
        <f aca="true" t="shared" si="46" ref="E131:K132">E132</f>
        <v>941168</v>
      </c>
      <c r="F131" s="22">
        <f t="shared" si="46"/>
        <v>3876</v>
      </c>
      <c r="G131" s="22">
        <f t="shared" si="46"/>
        <v>834175</v>
      </c>
      <c r="H131" s="22">
        <f t="shared" si="46"/>
        <v>50032</v>
      </c>
      <c r="I131" s="22">
        <f t="shared" si="46"/>
        <v>0</v>
      </c>
      <c r="J131" s="22">
        <f t="shared" si="46"/>
        <v>53085</v>
      </c>
      <c r="K131" s="22">
        <f t="shared" si="46"/>
        <v>0</v>
      </c>
    </row>
    <row r="132" spans="1:11" s="19" customFormat="1" ht="31.5">
      <c r="A132" s="21" t="s">
        <v>195</v>
      </c>
      <c r="B132" s="21" t="s">
        <v>55</v>
      </c>
      <c r="C132" s="21" t="s">
        <v>9</v>
      </c>
      <c r="D132" s="26" t="s">
        <v>197</v>
      </c>
      <c r="E132" s="22">
        <f t="shared" si="46"/>
        <v>941168</v>
      </c>
      <c r="F132" s="22">
        <f t="shared" si="46"/>
        <v>3876</v>
      </c>
      <c r="G132" s="22">
        <f t="shared" si="46"/>
        <v>834175</v>
      </c>
      <c r="H132" s="22">
        <f t="shared" si="46"/>
        <v>50032</v>
      </c>
      <c r="I132" s="22">
        <f t="shared" si="46"/>
        <v>0</v>
      </c>
      <c r="J132" s="22">
        <f t="shared" si="46"/>
        <v>53085</v>
      </c>
      <c r="K132" s="22">
        <f t="shared" si="46"/>
        <v>0</v>
      </c>
    </row>
    <row r="133" spans="1:11" ht="31.5">
      <c r="A133" s="6" t="s">
        <v>9</v>
      </c>
      <c r="B133" s="6" t="s">
        <v>9</v>
      </c>
      <c r="C133" s="6" t="s">
        <v>196</v>
      </c>
      <c r="D133" s="27" t="s">
        <v>197</v>
      </c>
      <c r="E133" s="22">
        <f t="shared" si="24"/>
        <v>941168</v>
      </c>
      <c r="F133" s="7">
        <v>3876</v>
      </c>
      <c r="G133" s="7">
        <v>834175</v>
      </c>
      <c r="H133" s="7">
        <v>50032</v>
      </c>
      <c r="I133" s="7">
        <v>0</v>
      </c>
      <c r="J133" s="7">
        <v>53085</v>
      </c>
      <c r="K133" s="9"/>
    </row>
    <row r="134" spans="1:11" s="19" customFormat="1" ht="15.75">
      <c r="A134" s="21"/>
      <c r="B134" s="21" t="s">
        <v>9</v>
      </c>
      <c r="C134" s="21" t="s">
        <v>9</v>
      </c>
      <c r="D134" s="26" t="s">
        <v>180</v>
      </c>
      <c r="E134" s="22">
        <f t="shared" si="24"/>
        <v>214727688</v>
      </c>
      <c r="F134" s="22">
        <f aca="true" t="shared" si="47" ref="F134:K134">F131+F128+F125+F118+F11+F109+F106+F99+F82+F79+F75+F59+F56+F47</f>
        <v>26482555</v>
      </c>
      <c r="G134" s="22">
        <f t="shared" si="47"/>
        <v>22922795</v>
      </c>
      <c r="H134" s="22">
        <f t="shared" si="47"/>
        <v>11372260</v>
      </c>
      <c r="I134" s="22">
        <f>I131+I128+I125+I118+I11+I109+I106+I99+I82+I79+I75+I59+I56+I47+I123</f>
        <v>150721550</v>
      </c>
      <c r="J134" s="22">
        <f t="shared" si="47"/>
        <v>1385043</v>
      </c>
      <c r="K134" s="22">
        <f t="shared" si="47"/>
        <v>1843485</v>
      </c>
    </row>
    <row r="135" ht="12.75">
      <c r="K135" s="11"/>
    </row>
  </sheetData>
  <sheetProtection/>
  <mergeCells count="26">
    <mergeCell ref="A11:B11"/>
    <mergeCell ref="A75:B75"/>
    <mergeCell ref="A59:B59"/>
    <mergeCell ref="A47:B47"/>
    <mergeCell ref="A56:B56"/>
    <mergeCell ref="A99:B99"/>
    <mergeCell ref="A82:B82"/>
    <mergeCell ref="A79:B79"/>
    <mergeCell ref="A125:B125"/>
    <mergeCell ref="A118:B118"/>
    <mergeCell ref="A109:B109"/>
    <mergeCell ref="A106:B106"/>
    <mergeCell ref="A5:J5"/>
    <mergeCell ref="A8:B8"/>
    <mergeCell ref="A9:A10"/>
    <mergeCell ref="B9:B10"/>
    <mergeCell ref="C8:C10"/>
    <mergeCell ref="D8:D10"/>
    <mergeCell ref="F8:F9"/>
    <mergeCell ref="G8:G9"/>
    <mergeCell ref="H8:H9"/>
    <mergeCell ref="K8:K9"/>
    <mergeCell ref="E7:K7"/>
    <mergeCell ref="E8:E10"/>
    <mergeCell ref="I8:I9"/>
    <mergeCell ref="J8:J9"/>
  </mergeCells>
  <printOptions horizontalCentered="1"/>
  <pageMargins left="0.3937007874015748" right="0.3937007874015748" top="0.7874015748031497" bottom="0.3937007874015748" header="0" footer="0"/>
  <pageSetup firstPageNumber="238" useFirstPageNumber="1" horizontalDpi="600" verticalDpi="6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201k-1</cp:lastModifiedBy>
  <cp:lastPrinted>2019-12-23T06:59:49Z</cp:lastPrinted>
  <dcterms:created xsi:type="dcterms:W3CDTF">2018-08-10T07:02:11Z</dcterms:created>
  <dcterms:modified xsi:type="dcterms:W3CDTF">2019-12-24T14:22:38Z</dcterms:modified>
  <cp:category/>
  <cp:version/>
  <cp:contentType/>
  <cp:contentStatus/>
</cp:coreProperties>
</file>