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612" sheetId="1" r:id="rId1"/>
  </sheets>
  <definedNames>
    <definedName name="_xlnm.Print_Titles" localSheetId="0">'1612'!$13:$13</definedName>
  </definedNames>
  <calcPr calcId="152511"/>
</workbook>
</file>

<file path=xl/calcChain.xml><?xml version="1.0" encoding="utf-8"?>
<calcChain xmlns="http://schemas.openxmlformats.org/spreadsheetml/2006/main">
  <c r="C61" i="1" l="1"/>
  <c r="E62" i="1"/>
  <c r="J62" i="1" l="1"/>
  <c r="I62" i="1"/>
  <c r="H62" i="1"/>
  <c r="G62" i="1"/>
  <c r="F62" i="1"/>
  <c r="D62" i="1"/>
  <c r="C62" i="1"/>
  <c r="F49" i="1"/>
  <c r="G49" i="1"/>
  <c r="H49" i="1"/>
  <c r="I49" i="1"/>
  <c r="J49" i="1"/>
  <c r="E49" i="1"/>
  <c r="D49" i="1"/>
  <c r="C49" i="1"/>
  <c r="H48" i="1"/>
  <c r="K57" i="1" l="1"/>
  <c r="F43" i="1"/>
  <c r="F42" i="1"/>
  <c r="D17" i="1"/>
  <c r="E17" i="1"/>
  <c r="F17" i="1"/>
  <c r="G17" i="1"/>
  <c r="H17" i="1"/>
  <c r="I17" i="1"/>
  <c r="J17" i="1"/>
  <c r="C17" i="1"/>
  <c r="K40" i="1"/>
  <c r="K39" i="1"/>
  <c r="K38" i="1"/>
  <c r="K37" i="1"/>
  <c r="K36" i="1"/>
  <c r="K35" i="1"/>
  <c r="K34" i="1"/>
  <c r="K33" i="1"/>
  <c r="J32" i="1"/>
  <c r="I32" i="1"/>
  <c r="H32" i="1"/>
  <c r="G32" i="1"/>
  <c r="F32" i="1"/>
  <c r="E32" i="1"/>
  <c r="D32" i="1"/>
  <c r="C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32" i="1" l="1"/>
  <c r="I16" i="1"/>
  <c r="I14" i="1" s="1"/>
  <c r="G16" i="1"/>
  <c r="G52" i="1" s="1"/>
  <c r="J16" i="1"/>
  <c r="J52" i="1" s="1"/>
  <c r="H16" i="1"/>
  <c r="H52" i="1" s="1"/>
  <c r="F16" i="1"/>
  <c r="D16" i="1"/>
  <c r="D52" i="1" s="1"/>
  <c r="G14" i="1"/>
  <c r="H14" i="1"/>
  <c r="D14" i="1"/>
  <c r="C16" i="1"/>
  <c r="K17" i="1"/>
  <c r="E16" i="1"/>
  <c r="D47" i="1"/>
  <c r="F47" i="1"/>
  <c r="G47" i="1"/>
  <c r="H47" i="1"/>
  <c r="I47" i="1"/>
  <c r="J47" i="1"/>
  <c r="K15" i="1"/>
  <c r="E48" i="1"/>
  <c r="E47" i="1" s="1"/>
  <c r="J44" i="1"/>
  <c r="I44" i="1"/>
  <c r="H44" i="1"/>
  <c r="G44" i="1"/>
  <c r="F44" i="1"/>
  <c r="E44" i="1"/>
  <c r="D44" i="1"/>
  <c r="C44" i="1"/>
  <c r="K51" i="1"/>
  <c r="K55" i="1"/>
  <c r="K50" i="1"/>
  <c r="K48" i="1"/>
  <c r="K60" i="1"/>
  <c r="K43" i="1"/>
  <c r="K42" i="1"/>
  <c r="K61" i="1"/>
  <c r="K62" i="1"/>
  <c r="K49" i="1"/>
  <c r="F14" i="1" l="1"/>
  <c r="F52" i="1"/>
  <c r="K16" i="1"/>
  <c r="F46" i="1"/>
  <c r="F54" i="1" s="1"/>
  <c r="F56" i="1" s="1"/>
  <c r="J14" i="1"/>
  <c r="J46" i="1"/>
  <c r="J54" i="1" s="1"/>
  <c r="J56" i="1" s="1"/>
  <c r="I52" i="1"/>
  <c r="I46" i="1" s="1"/>
  <c r="I54" i="1" s="1"/>
  <c r="I56" i="1" s="1"/>
  <c r="G46" i="1"/>
  <c r="G54" i="1" s="1"/>
  <c r="G56" i="1" s="1"/>
  <c r="D46" i="1"/>
  <c r="D54" i="1" s="1"/>
  <c r="D56" i="1" s="1"/>
  <c r="H46" i="1"/>
  <c r="H54" i="1" s="1"/>
  <c r="H56" i="1" s="1"/>
  <c r="E52" i="1"/>
  <c r="E46" i="1" s="1"/>
  <c r="E14" i="1"/>
  <c r="C52" i="1"/>
  <c r="C14" i="1"/>
  <c r="K14" i="1" s="1"/>
  <c r="K44" i="1"/>
  <c r="H59" i="1"/>
  <c r="G59" i="1"/>
  <c r="C47" i="1"/>
  <c r="E59" i="1" l="1"/>
  <c r="E54" i="1"/>
  <c r="E56" i="1" s="1"/>
  <c r="J59" i="1"/>
  <c r="F59" i="1"/>
  <c r="I59" i="1"/>
  <c r="K52" i="1"/>
  <c r="D59" i="1"/>
  <c r="K47" i="1"/>
  <c r="C46" i="1"/>
  <c r="C54" i="1" l="1"/>
  <c r="C56" i="1" s="1"/>
  <c r="C59" i="1"/>
  <c r="K59" i="1" s="1"/>
  <c r="K46" i="1"/>
  <c r="K56" i="1" l="1"/>
  <c r="K54" i="1"/>
</calcChain>
</file>

<file path=xl/sharedStrings.xml><?xml version="1.0" encoding="utf-8"?>
<sst xmlns="http://schemas.openxmlformats.org/spreadsheetml/2006/main" count="110" uniqueCount="106">
  <si>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</si>
  <si>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</si>
  <si>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</si>
  <si>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</si>
  <si>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</si>
  <si>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</si>
  <si>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</si>
  <si>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</si>
  <si>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</si>
  <si>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</si>
  <si>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1.</t>
  </si>
  <si>
    <t>ДОХОДЫ местных бюджетов, из них</t>
  </si>
  <si>
    <t>1.1</t>
  </si>
  <si>
    <t>имеющие целевое назначение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</si>
  <si>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</si>
  <si>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</si>
  <si>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</si>
  <si>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</si>
  <si>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</si>
  <si>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</si>
  <si>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</si>
  <si>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3.</t>
  </si>
  <si>
    <t>ПРЕДЕЛЬНЫЙ ДЕФИЦИТ местных бюджетов</t>
  </si>
  <si>
    <t>4.</t>
  </si>
  <si>
    <t>Источники покрытия дефицита, из них:</t>
  </si>
  <si>
    <t xml:space="preserve">ДОТАЦИИ (трансферты) из  РБ </t>
  </si>
  <si>
    <t>ПРЕДЕЛЬНЫЕ РАСХОДЫ местных бюджетов, из них: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</si>
  <si>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</si>
  <si>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</si>
  <si>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</si>
  <si>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</si>
  <si>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</si>
  <si>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</si>
  <si>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</si>
  <si>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</si>
  <si>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>ОСТАТКИ по состоянию на 1 января 2020 года всего, в том числе:</t>
  </si>
  <si>
    <t>6.3</t>
  </si>
  <si>
    <t>3.1</t>
  </si>
  <si>
    <t>3.2</t>
  </si>
  <si>
    <t>3.1.1</t>
  </si>
  <si>
    <t>3.1.2</t>
  </si>
  <si>
    <t>3.1.2.1</t>
  </si>
  <si>
    <t>3.1.2.2</t>
  </si>
  <si>
    <t>5.</t>
  </si>
  <si>
    <t>6.</t>
  </si>
  <si>
    <t>за счет целевых источников</t>
  </si>
  <si>
    <t>6.1</t>
  </si>
  <si>
    <t>6.2</t>
  </si>
  <si>
    <t>1.2</t>
  </si>
  <si>
    <t>1.2.1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</si>
  <si>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</si>
  <si>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</si>
  <si>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</si>
  <si>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</si>
  <si>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</si>
  <si>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налог на содержание жилищного фонда, объектов социально-культурной сферы и иные цели</t>
  </si>
  <si>
    <t>1.2.1.4</t>
  </si>
  <si>
    <t>целевой сбор землеустроителей</t>
  </si>
  <si>
    <t>1.2.1.5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</si>
  <si>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</si>
  <si>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1.2.1.6</t>
  </si>
  <si>
    <t>средства  от приватизации</t>
  </si>
  <si>
    <t>1.2.1.7</t>
  </si>
  <si>
    <t>средства, направляемые на кредитование крестьянских (фермерских) хозяйств (и проценты)</t>
  </si>
  <si>
    <t>1.2.1.8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</si>
  <si>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</si>
  <si>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1.2.1.9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</si>
  <si>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</si>
  <si>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1.2.1.10</t>
  </si>
  <si>
    <t>1.2.1.11</t>
  </si>
  <si>
    <t>фонд социального развития</t>
  </si>
  <si>
    <t>1.2.1.12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</si>
  <si>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</si>
  <si>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</si>
  <si>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</si>
  <si>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</si>
  <si>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</si>
  <si>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средства из РБ  на развитие дорожной отрасли, в том числе: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</si>
  <si>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</si>
  <si>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</si>
  <si>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</si>
  <si>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</si>
  <si>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</si>
  <si>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</si>
  <si>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</si>
  <si>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</si>
  <si>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1.2.4.5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</si>
  <si>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</si>
  <si>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</si>
  <si>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</si>
  <si>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</si>
  <si>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</si>
  <si>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* секретно</t>
  </si>
  <si>
    <t xml:space="preserve"> целевые сборы и платежи всего, в том числе:</t>
  </si>
  <si>
    <t>расходы по социально защищенным статьям</t>
  </si>
  <si>
    <t>расходы к распределению (очищенные)</t>
  </si>
  <si>
    <t>приобретение ГСМ для обеспечения работы милиции общественной безопасности (местной милиции)</t>
  </si>
  <si>
    <t>средства из резервных фондов  Президента и Правительства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</si>
  <si>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</si>
  <si>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</si>
  <si>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6</t>
  </si>
  <si>
    <t>(руб.)</t>
  </si>
  <si>
    <t xml:space="preserve"> не имеющие целевого назначения  (очищенные)</t>
  </si>
  <si>
    <t xml:space="preserve"> имеющие целевое назначение, в том числе:</t>
  </si>
  <si>
    <t xml:space="preserve">фонд экономического развития </t>
  </si>
  <si>
    <t>ремонтные работы дорог от пер. Западный до                                        ул. Правды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</si>
</sst>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horizontal="right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vertical="center" wrapText="1"/>
    </xf>
    <xf numFmtId="3" fontId="8" fillId="0" borderId="4" xfId="1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14" fillId="0" borderId="4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left" vertical="center" wrapText="1"/>
    </xf>
    <xf numFmtId="3" fontId="14" fillId="0" borderId="4" xfId="1" applyNumberFormat="1" applyFont="1" applyBorder="1"/>
    <xf numFmtId="3" fontId="2" fillId="0" borderId="4" xfId="1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1"/>
  <sheetViews>
    <sheetView tabSelected="1" zoomScale="90" zoomScaleNormal="90" workbookViewId="0">
      <pane xSplit="11" ySplit="13" topLeftCell="M60" activePane="bottomRight" state="frozenSplit"/>
      <selection pane="topRight" activeCell="G1" sqref="G1"/>
      <selection pane="bottomLeft" activeCell="A13" sqref="A13"/>
      <selection pane="bottomRight" activeCell="B38" sqref="B38"/>
    </sheetView>
  </sheetViews>
  <sheetFormatPr defaultRowHeight="15" x14ac:dyDescent="0.25"/>
  <cols>
    <col min="1" max="1" width="8.5703125" bestFit="1" customWidth="1"/>
    <col min="2" max="2" width="46.5703125" customWidth="1"/>
    <col min="3" max="3" width="13" bestFit="1" customWidth="1"/>
    <col min="4" max="4" width="13.140625" bestFit="1" customWidth="1"/>
    <col min="5" max="6" width="13" bestFit="1" customWidth="1"/>
    <col min="7" max="7" width="12.42578125" bestFit="1" customWidth="1"/>
    <col min="8" max="8" width="13" bestFit="1" customWidth="1"/>
    <col min="9" max="9" width="15.5703125" bestFit="1" customWidth="1"/>
    <col min="10" max="10" width="11.85546875" bestFit="1" customWidth="1"/>
    <col min="11" max="11" width="14.85546875" bestFit="1" customWidth="1"/>
    <col min="12" max="12" width="11.42578125" bestFit="1" customWidth="1"/>
  </cols>
  <sheetData>
    <row r="1" spans="1:33" ht="15.75" x14ac:dyDescent="0.25">
      <c r="K1" s="16" t="s">
        <v>100</v>
      </c>
    </row>
    <row r="2" spans="1:33" ht="15.75" x14ac:dyDescent="0.25">
      <c r="K2" s="16" t="s">
        <v>32</v>
      </c>
    </row>
    <row r="3" spans="1:33" ht="15.75" x14ac:dyDescent="0.25">
      <c r="K3" s="52" t="s">
        <v>98</v>
      </c>
    </row>
    <row r="4" spans="1:33" ht="15.75" x14ac:dyDescent="0.25">
      <c r="K4" s="52" t="s">
        <v>99</v>
      </c>
    </row>
    <row r="5" spans="1:33" ht="15.75" x14ac:dyDescent="0.25">
      <c r="K5" s="16" t="s">
        <v>34</v>
      </c>
    </row>
    <row r="6" spans="1:33" ht="15.75" x14ac:dyDescent="0.25">
      <c r="K6" s="16"/>
    </row>
    <row r="7" spans="1:33" ht="18.75" x14ac:dyDescent="0.3">
      <c r="A7" s="15"/>
      <c r="B7" s="40"/>
      <c r="C7" s="15"/>
      <c r="D7" s="15"/>
      <c r="E7" s="15"/>
      <c r="F7" s="15"/>
      <c r="G7" s="15"/>
      <c r="H7" s="15"/>
      <c r="I7" s="15"/>
      <c r="J7" s="15"/>
      <c r="K7" s="16" t="s">
        <v>31</v>
      </c>
    </row>
    <row r="8" spans="1:33" ht="15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6" t="s">
        <v>32</v>
      </c>
    </row>
    <row r="9" spans="1:33" ht="15.75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6" t="s">
        <v>34</v>
      </c>
    </row>
    <row r="10" spans="1:33" ht="15.7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33" ht="16.5" x14ac:dyDescent="0.25">
      <c r="A11" s="54" t="s">
        <v>33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33" ht="16.5" thickBo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53" t="s">
        <v>101</v>
      </c>
    </row>
    <row r="13" spans="1:33" s="6" customFormat="1" ht="24" customHeight="1" thickBot="1" x14ac:dyDescent="0.3">
      <c r="A13" s="1"/>
      <c r="B13" s="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4" t="s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6" customFormat="1" ht="31.5" x14ac:dyDescent="0.25">
      <c r="A14" s="17" t="s">
        <v>10</v>
      </c>
      <c r="B14" s="18" t="s">
        <v>35</v>
      </c>
      <c r="C14" s="19">
        <f>SUM(C15:C16)</f>
        <v>16824561</v>
      </c>
      <c r="D14" s="19">
        <f t="shared" ref="D14:J14" si="0">SUM(D15:D16)</f>
        <v>2640717</v>
      </c>
      <c r="E14" s="19">
        <f t="shared" si="0"/>
        <v>7194680</v>
      </c>
      <c r="F14" s="19">
        <f t="shared" si="0"/>
        <v>7995917</v>
      </c>
      <c r="G14" s="19">
        <f t="shared" si="0"/>
        <v>9115542</v>
      </c>
      <c r="H14" s="19">
        <f t="shared" si="0"/>
        <v>5245990</v>
      </c>
      <c r="I14" s="19">
        <f t="shared" si="0"/>
        <v>3398777</v>
      </c>
      <c r="J14" s="19">
        <f t="shared" si="0"/>
        <v>1743935</v>
      </c>
      <c r="K14" s="21">
        <f>SUM(C14:J14)</f>
        <v>54160119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s="6" customFormat="1" ht="31.5" x14ac:dyDescent="0.25">
      <c r="A15" s="17" t="s">
        <v>12</v>
      </c>
      <c r="B15" s="50" t="s">
        <v>102</v>
      </c>
      <c r="C15" s="20">
        <v>7552279</v>
      </c>
      <c r="D15" s="20">
        <v>788988</v>
      </c>
      <c r="E15" s="20">
        <v>3969519</v>
      </c>
      <c r="F15" s="20">
        <v>2689060</v>
      </c>
      <c r="G15" s="20">
        <v>2972295</v>
      </c>
      <c r="H15" s="20">
        <v>2278536</v>
      </c>
      <c r="I15" s="20">
        <v>403528</v>
      </c>
      <c r="J15" s="20">
        <v>81769</v>
      </c>
      <c r="K15" s="21">
        <f>SUM(C15:J15)</f>
        <v>20735974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6" customFormat="1" ht="31.5" x14ac:dyDescent="0.25">
      <c r="A16" s="17" t="s">
        <v>48</v>
      </c>
      <c r="B16" s="50" t="s">
        <v>103</v>
      </c>
      <c r="C16" s="20">
        <f>SUM(C17+C30+C31+C32+C40)</f>
        <v>9272282</v>
      </c>
      <c r="D16" s="20">
        <f t="shared" ref="D16:J16" si="1">SUM(D17+D30+D31+D32+D40)</f>
        <v>1851729</v>
      </c>
      <c r="E16" s="20">
        <f t="shared" si="1"/>
        <v>3225161</v>
      </c>
      <c r="F16" s="20">
        <f t="shared" si="1"/>
        <v>5306857</v>
      </c>
      <c r="G16" s="20">
        <f t="shared" si="1"/>
        <v>6143247</v>
      </c>
      <c r="H16" s="20">
        <f t="shared" si="1"/>
        <v>2967454</v>
      </c>
      <c r="I16" s="20">
        <f t="shared" si="1"/>
        <v>2995249</v>
      </c>
      <c r="J16" s="20">
        <f t="shared" si="1"/>
        <v>1662166</v>
      </c>
      <c r="K16" s="21">
        <f>SUM(C16:J16)</f>
        <v>33424145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s="6" customFormat="1" ht="31.5" x14ac:dyDescent="0.25">
      <c r="A17" s="41" t="s">
        <v>49</v>
      </c>
      <c r="B17" s="42" t="s">
        <v>93</v>
      </c>
      <c r="C17" s="43">
        <f>SUM(C18:C29)</f>
        <v>1950893</v>
      </c>
      <c r="D17" s="43">
        <f t="shared" ref="D17:J17" si="2">SUM(D18:D29)</f>
        <v>1303799</v>
      </c>
      <c r="E17" s="43">
        <f t="shared" si="2"/>
        <v>1965827</v>
      </c>
      <c r="F17" s="43">
        <f t="shared" si="2"/>
        <v>3357782</v>
      </c>
      <c r="G17" s="43">
        <f t="shared" si="2"/>
        <v>3147290</v>
      </c>
      <c r="H17" s="43">
        <f t="shared" si="2"/>
        <v>1589874</v>
      </c>
      <c r="I17" s="43">
        <f t="shared" si="2"/>
        <v>1969472</v>
      </c>
      <c r="J17" s="43">
        <f t="shared" si="2"/>
        <v>983295</v>
      </c>
      <c r="K17" s="45">
        <f>SUM(C17:J17)</f>
        <v>16268232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6" customFormat="1" ht="31.5" x14ac:dyDescent="0.25">
      <c r="A18" s="41" t="s">
        <v>50</v>
      </c>
      <c r="B18" s="42" t="s">
        <v>51</v>
      </c>
      <c r="C18" s="43">
        <v>16067</v>
      </c>
      <c r="D18" s="43"/>
      <c r="E18" s="43"/>
      <c r="F18" s="43">
        <v>341010</v>
      </c>
      <c r="G18" s="43">
        <v>355958</v>
      </c>
      <c r="H18" s="43">
        <v>368219</v>
      </c>
      <c r="I18" s="43">
        <v>206570</v>
      </c>
      <c r="J18" s="43">
        <v>214431</v>
      </c>
      <c r="K18" s="45">
        <f t="shared" ref="K18:K40" si="3">SUM(C18:J18)</f>
        <v>1502255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6" customFormat="1" ht="47.25" x14ac:dyDescent="0.25">
      <c r="A19" s="41" t="s">
        <v>52</v>
      </c>
      <c r="B19" s="42" t="s">
        <v>53</v>
      </c>
      <c r="C19" s="43">
        <v>2429</v>
      </c>
      <c r="D19" s="43"/>
      <c r="E19" s="43">
        <v>10978</v>
      </c>
      <c r="F19" s="43">
        <v>839787</v>
      </c>
      <c r="G19" s="43">
        <v>100063</v>
      </c>
      <c r="H19" s="43">
        <v>5878</v>
      </c>
      <c r="I19" s="43">
        <v>332324</v>
      </c>
      <c r="J19" s="43">
        <v>154211</v>
      </c>
      <c r="K19" s="45">
        <f t="shared" si="3"/>
        <v>1445670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s="6" customFormat="1" ht="47.25" x14ac:dyDescent="0.25">
      <c r="A20" s="41" t="s">
        <v>54</v>
      </c>
      <c r="B20" s="42" t="s">
        <v>55</v>
      </c>
      <c r="C20" s="43">
        <v>987531</v>
      </c>
      <c r="D20" s="43">
        <v>1189415</v>
      </c>
      <c r="E20" s="43">
        <v>1726465</v>
      </c>
      <c r="F20" s="43">
        <v>1262973</v>
      </c>
      <c r="G20" s="43">
        <v>1259544</v>
      </c>
      <c r="H20" s="43">
        <v>400566</v>
      </c>
      <c r="I20" s="43">
        <v>252904</v>
      </c>
      <c r="J20" s="43">
        <v>139157</v>
      </c>
      <c r="K20" s="45">
        <f t="shared" si="3"/>
        <v>7218555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6" customFormat="1" ht="15.75" x14ac:dyDescent="0.25">
      <c r="A21" s="41" t="s">
        <v>56</v>
      </c>
      <c r="B21" s="42" t="s">
        <v>57</v>
      </c>
      <c r="C21" s="43"/>
      <c r="D21" s="43"/>
      <c r="E21" s="43">
        <v>1930</v>
      </c>
      <c r="F21" s="43"/>
      <c r="G21" s="43">
        <v>8684</v>
      </c>
      <c r="H21" s="43">
        <v>4020</v>
      </c>
      <c r="I21" s="43">
        <v>9771</v>
      </c>
      <c r="J21" s="43">
        <v>11655</v>
      </c>
      <c r="K21" s="45">
        <f t="shared" si="3"/>
        <v>36060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s="6" customFormat="1" ht="94.5" x14ac:dyDescent="0.25">
      <c r="A22" s="41" t="s">
        <v>58</v>
      </c>
      <c r="B22" s="42" t="s">
        <v>59</v>
      </c>
      <c r="C22" s="43"/>
      <c r="D22" s="43"/>
      <c r="E22" s="43"/>
      <c r="F22" s="43">
        <v>11548</v>
      </c>
      <c r="G22" s="43"/>
      <c r="H22" s="43"/>
      <c r="I22" s="43"/>
      <c r="J22" s="43"/>
      <c r="K22" s="45">
        <f t="shared" si="3"/>
        <v>11548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s="6" customFormat="1" ht="15.75" x14ac:dyDescent="0.25">
      <c r="A23" s="41" t="s">
        <v>60</v>
      </c>
      <c r="B23" s="42" t="s">
        <v>61</v>
      </c>
      <c r="C23" s="43">
        <v>803441</v>
      </c>
      <c r="D23" s="43">
        <v>114384</v>
      </c>
      <c r="E23" s="43"/>
      <c r="F23" s="43">
        <v>28000</v>
      </c>
      <c r="G23" s="43">
        <v>1391413</v>
      </c>
      <c r="H23" s="43">
        <v>98719</v>
      </c>
      <c r="I23" s="43"/>
      <c r="J23" s="43"/>
      <c r="K23" s="45">
        <f t="shared" si="3"/>
        <v>2435957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6" customFormat="1" ht="47.25" x14ac:dyDescent="0.25">
      <c r="A24" s="41" t="s">
        <v>62</v>
      </c>
      <c r="B24" s="42" t="s">
        <v>63</v>
      </c>
      <c r="C24" s="43">
        <v>34999</v>
      </c>
      <c r="D24" s="43"/>
      <c r="E24" s="43"/>
      <c r="F24" s="43">
        <v>541915</v>
      </c>
      <c r="G24" s="43"/>
      <c r="H24" s="43">
        <v>646395</v>
      </c>
      <c r="I24" s="43">
        <v>1004322</v>
      </c>
      <c r="J24" s="43">
        <v>352498</v>
      </c>
      <c r="K24" s="45">
        <f t="shared" si="3"/>
        <v>2580129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s="6" customFormat="1" ht="63" x14ac:dyDescent="0.25">
      <c r="A25" s="41" t="s">
        <v>64</v>
      </c>
      <c r="B25" s="42" t="s">
        <v>65</v>
      </c>
      <c r="C25" s="43"/>
      <c r="D25" s="43"/>
      <c r="E25" s="43"/>
      <c r="F25" s="43">
        <v>24746</v>
      </c>
      <c r="G25" s="43"/>
      <c r="H25" s="43">
        <v>7143</v>
      </c>
      <c r="I25" s="43">
        <v>81778</v>
      </c>
      <c r="J25" s="43">
        <v>12246</v>
      </c>
      <c r="K25" s="46">
        <f t="shared" si="3"/>
        <v>125913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6" customFormat="1" ht="63" x14ac:dyDescent="0.25">
      <c r="A26" s="41" t="s">
        <v>66</v>
      </c>
      <c r="B26" s="42" t="s">
        <v>67</v>
      </c>
      <c r="C26" s="43">
        <v>106426</v>
      </c>
      <c r="D26" s="43"/>
      <c r="E26" s="43">
        <v>152189</v>
      </c>
      <c r="F26" s="43">
        <v>307803</v>
      </c>
      <c r="G26" s="43">
        <v>31628</v>
      </c>
      <c r="H26" s="43">
        <v>58934</v>
      </c>
      <c r="I26" s="43">
        <v>55175</v>
      </c>
      <c r="J26" s="43">
        <v>99097</v>
      </c>
      <c r="K26" s="46">
        <f t="shared" si="3"/>
        <v>811252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6" customFormat="1" ht="94.5" x14ac:dyDescent="0.25">
      <c r="A27" s="41" t="s">
        <v>68</v>
      </c>
      <c r="B27" s="42" t="s">
        <v>59</v>
      </c>
      <c r="C27" s="43"/>
      <c r="D27" s="43"/>
      <c r="E27" s="43"/>
      <c r="F27" s="43"/>
      <c r="G27" s="43"/>
      <c r="H27" s="43"/>
      <c r="I27" s="43"/>
      <c r="J27" s="43"/>
      <c r="K27" s="46">
        <f t="shared" si="3"/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6" customFormat="1" ht="15.75" x14ac:dyDescent="0.25">
      <c r="A28" s="41" t="s">
        <v>69</v>
      </c>
      <c r="B28" s="42" t="s">
        <v>70</v>
      </c>
      <c r="C28" s="43"/>
      <c r="D28" s="43"/>
      <c r="E28" s="43">
        <v>53519</v>
      </c>
      <c r="F28" s="43"/>
      <c r="G28" s="43"/>
      <c r="H28" s="43"/>
      <c r="I28" s="43">
        <v>21078</v>
      </c>
      <c r="J28" s="43"/>
      <c r="K28" s="46">
        <f t="shared" si="3"/>
        <v>74597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6" customFormat="1" ht="15.75" x14ac:dyDescent="0.25">
      <c r="A29" s="41" t="s">
        <v>71</v>
      </c>
      <c r="B29" s="42" t="s">
        <v>104</v>
      </c>
      <c r="C29" s="43"/>
      <c r="D29" s="43"/>
      <c r="E29" s="43">
        <v>20746</v>
      </c>
      <c r="F29" s="43"/>
      <c r="G29" s="43"/>
      <c r="H29" s="43"/>
      <c r="I29" s="43">
        <v>5550</v>
      </c>
      <c r="J29" s="43"/>
      <c r="K29" s="46">
        <f t="shared" si="3"/>
        <v>26296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6" customFormat="1" ht="15.75" x14ac:dyDescent="0.25">
      <c r="A30" s="41" t="s">
        <v>72</v>
      </c>
      <c r="B30" s="42" t="s">
        <v>73</v>
      </c>
      <c r="C30" s="47">
        <v>1488853</v>
      </c>
      <c r="D30" s="47">
        <v>284101</v>
      </c>
      <c r="E30" s="47">
        <v>938747</v>
      </c>
      <c r="F30" s="47">
        <v>917835</v>
      </c>
      <c r="G30" s="47">
        <v>2158680</v>
      </c>
      <c r="H30" s="47">
        <v>501201</v>
      </c>
      <c r="I30" s="47">
        <v>255472</v>
      </c>
      <c r="J30" s="47">
        <v>300723</v>
      </c>
      <c r="K30" s="46">
        <f t="shared" si="3"/>
        <v>6845612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6" customFormat="1" ht="15.75" x14ac:dyDescent="0.25">
      <c r="A31" s="41" t="s">
        <v>74</v>
      </c>
      <c r="B31" s="42" t="s">
        <v>75</v>
      </c>
      <c r="C31" s="47">
        <v>21442</v>
      </c>
      <c r="D31" s="47">
        <v>212528</v>
      </c>
      <c r="E31" s="47">
        <v>6633</v>
      </c>
      <c r="F31" s="47">
        <v>411530</v>
      </c>
      <c r="G31" s="47">
        <v>158571</v>
      </c>
      <c r="H31" s="47">
        <v>648970</v>
      </c>
      <c r="I31" s="47">
        <v>432635</v>
      </c>
      <c r="J31" s="47">
        <v>258700</v>
      </c>
      <c r="K31" s="46">
        <f t="shared" si="3"/>
        <v>2151009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6" customFormat="1" ht="31.5" x14ac:dyDescent="0.25">
      <c r="A32" s="41" t="s">
        <v>76</v>
      </c>
      <c r="B32" s="48" t="s">
        <v>77</v>
      </c>
      <c r="C32" s="43">
        <f>SUM(C33:C39)</f>
        <v>811094</v>
      </c>
      <c r="D32" s="43">
        <f t="shared" ref="D32:J32" si="4">SUM(D33:D39)</f>
        <v>51301</v>
      </c>
      <c r="E32" s="43">
        <f t="shared" si="4"/>
        <v>313954</v>
      </c>
      <c r="F32" s="43">
        <f t="shared" si="4"/>
        <v>619710</v>
      </c>
      <c r="G32" s="43">
        <f t="shared" si="4"/>
        <v>678706</v>
      </c>
      <c r="H32" s="43">
        <f t="shared" si="4"/>
        <v>227409</v>
      </c>
      <c r="I32" s="43">
        <f t="shared" si="4"/>
        <v>337670</v>
      </c>
      <c r="J32" s="43">
        <f t="shared" si="4"/>
        <v>119448</v>
      </c>
      <c r="K32" s="45">
        <f t="shared" si="3"/>
        <v>3159292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6" customFormat="1" ht="47.25" x14ac:dyDescent="0.25">
      <c r="A33" s="41" t="s">
        <v>78</v>
      </c>
      <c r="B33" s="42" t="s">
        <v>79</v>
      </c>
      <c r="C33" s="47"/>
      <c r="D33" s="47"/>
      <c r="E33" s="47"/>
      <c r="F33" s="47">
        <v>619708</v>
      </c>
      <c r="G33" s="47"/>
      <c r="H33" s="47">
        <v>227409</v>
      </c>
      <c r="I33" s="47">
        <v>176366</v>
      </c>
      <c r="J33" s="47">
        <v>9</v>
      </c>
      <c r="K33" s="46">
        <f t="shared" si="3"/>
        <v>1023492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s="6" customFormat="1" ht="47.25" x14ac:dyDescent="0.25">
      <c r="A34" s="41" t="s">
        <v>80</v>
      </c>
      <c r="B34" s="42" t="s">
        <v>81</v>
      </c>
      <c r="C34" s="47">
        <v>464227</v>
      </c>
      <c r="D34" s="47"/>
      <c r="E34" s="47"/>
      <c r="F34" s="47"/>
      <c r="G34" s="47">
        <v>632893</v>
      </c>
      <c r="H34" s="47"/>
      <c r="I34" s="47">
        <v>161304</v>
      </c>
      <c r="J34" s="47">
        <v>7269</v>
      </c>
      <c r="K34" s="46">
        <f t="shared" si="3"/>
        <v>1265693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6" customFormat="1" ht="15.75" x14ac:dyDescent="0.25">
      <c r="A35" s="41" t="s">
        <v>82</v>
      </c>
      <c r="B35" s="42" t="s">
        <v>83</v>
      </c>
      <c r="C35" s="47">
        <v>866</v>
      </c>
      <c r="D35" s="47">
        <v>22768</v>
      </c>
      <c r="E35" s="47">
        <v>313953</v>
      </c>
      <c r="F35" s="47">
        <v>2</v>
      </c>
      <c r="G35" s="47">
        <v>45813</v>
      </c>
      <c r="H35" s="47"/>
      <c r="I35" s="47"/>
      <c r="J35" s="47">
        <v>12650</v>
      </c>
      <c r="K35" s="46">
        <f t="shared" si="3"/>
        <v>396052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6" customFormat="1" ht="31.5" x14ac:dyDescent="0.25">
      <c r="A36" s="41" t="s">
        <v>84</v>
      </c>
      <c r="B36" s="42" t="s">
        <v>85</v>
      </c>
      <c r="C36" s="47"/>
      <c r="D36" s="47"/>
      <c r="E36" s="47"/>
      <c r="F36" s="47"/>
      <c r="G36" s="47"/>
      <c r="H36" s="47"/>
      <c r="I36" s="47"/>
      <c r="J36" s="47"/>
      <c r="K36" s="46">
        <f t="shared" si="3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6" customFormat="1" ht="31.5" x14ac:dyDescent="0.25">
      <c r="A37" s="41" t="s">
        <v>86</v>
      </c>
      <c r="B37" s="42" t="s">
        <v>105</v>
      </c>
      <c r="C37" s="47">
        <v>346001</v>
      </c>
      <c r="D37" s="47"/>
      <c r="E37" s="47"/>
      <c r="F37" s="47"/>
      <c r="G37" s="47"/>
      <c r="H37" s="47"/>
      <c r="I37" s="47"/>
      <c r="J37" s="47"/>
      <c r="K37" s="46">
        <f t="shared" si="3"/>
        <v>346001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6" customFormat="1" ht="31.5" x14ac:dyDescent="0.25">
      <c r="A38" s="41" t="s">
        <v>87</v>
      </c>
      <c r="B38" s="42" t="s">
        <v>88</v>
      </c>
      <c r="C38" s="47"/>
      <c r="D38" s="47"/>
      <c r="E38" s="47"/>
      <c r="F38" s="47"/>
      <c r="G38" s="47"/>
      <c r="H38" s="47"/>
      <c r="I38" s="47"/>
      <c r="J38" s="47"/>
      <c r="K38" s="46">
        <f t="shared" si="3"/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6" customFormat="1" ht="31.5" x14ac:dyDescent="0.25">
      <c r="A39" s="41" t="s">
        <v>89</v>
      </c>
      <c r="B39" s="42" t="s">
        <v>90</v>
      </c>
      <c r="C39" s="47"/>
      <c r="D39" s="47">
        <v>28533</v>
      </c>
      <c r="E39" s="47">
        <v>1</v>
      </c>
      <c r="F39" s="47"/>
      <c r="G39" s="47"/>
      <c r="H39" s="47"/>
      <c r="I39" s="47"/>
      <c r="J39" s="47">
        <v>99520</v>
      </c>
      <c r="K39" s="46">
        <f t="shared" si="3"/>
        <v>128054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6" customFormat="1" ht="15.75" x14ac:dyDescent="0.25">
      <c r="A40" s="41" t="s">
        <v>91</v>
      </c>
      <c r="B40" s="49" t="s">
        <v>92</v>
      </c>
      <c r="C40" s="43">
        <v>5000000</v>
      </c>
      <c r="D40" s="44"/>
      <c r="E40" s="44"/>
      <c r="F40" s="44"/>
      <c r="G40" s="44"/>
      <c r="H40" s="44"/>
      <c r="I40" s="44"/>
      <c r="J40" s="44"/>
      <c r="K40" s="46">
        <f t="shared" si="3"/>
        <v>5000000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" customFormat="1" ht="7.5" customHeight="1" x14ac:dyDescent="0.25">
      <c r="A41" s="41"/>
      <c r="B41" s="49"/>
      <c r="C41" s="43"/>
      <c r="D41" s="44"/>
      <c r="E41" s="44"/>
      <c r="F41" s="44"/>
      <c r="G41" s="44"/>
      <c r="H41" s="44"/>
      <c r="I41" s="44"/>
      <c r="J41" s="44"/>
      <c r="K41" s="4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8" customFormat="1" ht="15.75" x14ac:dyDescent="0.25">
      <c r="A42" s="17" t="s">
        <v>15</v>
      </c>
      <c r="B42" s="18" t="s">
        <v>11</v>
      </c>
      <c r="C42" s="19">
        <v>329396975</v>
      </c>
      <c r="D42" s="20">
        <v>34127851</v>
      </c>
      <c r="E42" s="20">
        <v>248113512</v>
      </c>
      <c r="F42" s="20">
        <f>209721674-9748292</f>
        <v>199973382</v>
      </c>
      <c r="G42" s="20">
        <v>88978882</v>
      </c>
      <c r="H42" s="20">
        <v>124948061</v>
      </c>
      <c r="I42" s="20">
        <v>70974361</v>
      </c>
      <c r="J42" s="20">
        <v>39423185</v>
      </c>
      <c r="K42" s="21">
        <f>SUM(C42:J42)</f>
        <v>1135936209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35" customFormat="1" ht="15.75" x14ac:dyDescent="0.25">
      <c r="A43" s="29" t="s">
        <v>17</v>
      </c>
      <c r="B43" s="31" t="s">
        <v>13</v>
      </c>
      <c r="C43" s="32">
        <v>47474868</v>
      </c>
      <c r="D43" s="32">
        <v>9138485</v>
      </c>
      <c r="E43" s="32">
        <v>27874188</v>
      </c>
      <c r="F43" s="32">
        <f>21778646-1206017</f>
        <v>20572629</v>
      </c>
      <c r="G43" s="32">
        <v>7576533</v>
      </c>
      <c r="H43" s="32">
        <v>16302131</v>
      </c>
      <c r="I43" s="32">
        <v>13052138</v>
      </c>
      <c r="J43" s="32">
        <v>7681291</v>
      </c>
      <c r="K43" s="33">
        <f>SUM(C43:J43)</f>
        <v>149672263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8" customFormat="1" ht="15.75" x14ac:dyDescent="0.25">
      <c r="A44" s="29" t="s">
        <v>18</v>
      </c>
      <c r="B44" s="30" t="s">
        <v>14</v>
      </c>
      <c r="C44" s="32">
        <f t="shared" ref="C44:J44" si="5">C42-C43</f>
        <v>281922107</v>
      </c>
      <c r="D44" s="32">
        <f t="shared" si="5"/>
        <v>24989366</v>
      </c>
      <c r="E44" s="32">
        <f t="shared" si="5"/>
        <v>220239324</v>
      </c>
      <c r="F44" s="32">
        <f t="shared" si="5"/>
        <v>179400753</v>
      </c>
      <c r="G44" s="32">
        <f t="shared" si="5"/>
        <v>81402349</v>
      </c>
      <c r="H44" s="32">
        <f t="shared" si="5"/>
        <v>108645930</v>
      </c>
      <c r="I44" s="32">
        <f t="shared" si="5"/>
        <v>57922223</v>
      </c>
      <c r="J44" s="32">
        <f t="shared" si="5"/>
        <v>31741894</v>
      </c>
      <c r="K44" s="33">
        <f>SUM(C44:J44)</f>
        <v>986263946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8" customFormat="1" ht="6.75" customHeight="1" x14ac:dyDescent="0.25">
      <c r="A45" s="17"/>
      <c r="B45" s="18"/>
      <c r="C45" s="20"/>
      <c r="D45" s="20"/>
      <c r="E45" s="20"/>
      <c r="F45" s="20"/>
      <c r="G45" s="20"/>
      <c r="H45" s="20"/>
      <c r="I45" s="20"/>
      <c r="J45" s="20"/>
      <c r="K45" s="2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8" customFormat="1" ht="15.75" x14ac:dyDescent="0.25">
      <c r="A46" s="17" t="s">
        <v>21</v>
      </c>
      <c r="B46" s="18" t="s">
        <v>16</v>
      </c>
      <c r="C46" s="20">
        <f>SUM(C47+C52)</f>
        <v>346221536</v>
      </c>
      <c r="D46" s="20">
        <f t="shared" ref="D46:J46" si="6">SUM(D47+D52)</f>
        <v>36768568</v>
      </c>
      <c r="E46" s="20">
        <f t="shared" si="6"/>
        <v>255308192</v>
      </c>
      <c r="F46" s="20">
        <f t="shared" si="6"/>
        <v>219568814</v>
      </c>
      <c r="G46" s="20">
        <f t="shared" si="6"/>
        <v>111792649</v>
      </c>
      <c r="H46" s="20">
        <f t="shared" si="6"/>
        <v>178946716</v>
      </c>
      <c r="I46" s="20">
        <f t="shared" si="6"/>
        <v>114305218</v>
      </c>
      <c r="J46" s="20">
        <f t="shared" si="6"/>
        <v>63774422</v>
      </c>
      <c r="K46" s="21">
        <f t="shared" ref="K46:K52" si="7">SUM(C46:J46)</f>
        <v>1326686115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8" customFormat="1" ht="15.75" x14ac:dyDescent="0.25">
      <c r="A47" s="17" t="s">
        <v>37</v>
      </c>
      <c r="B47" s="18" t="s">
        <v>95</v>
      </c>
      <c r="C47" s="20">
        <f>SUM(C48:C49)</f>
        <v>289474386</v>
      </c>
      <c r="D47" s="20">
        <f t="shared" ref="D47:J47" si="8">SUM(D48:D49)</f>
        <v>25778354</v>
      </c>
      <c r="E47" s="20">
        <f t="shared" si="8"/>
        <v>224208843</v>
      </c>
      <c r="F47" s="20">
        <f t="shared" si="8"/>
        <v>193689328</v>
      </c>
      <c r="G47" s="20">
        <f t="shared" si="8"/>
        <v>98066709</v>
      </c>
      <c r="H47" s="20">
        <f t="shared" si="8"/>
        <v>159677131</v>
      </c>
      <c r="I47" s="20">
        <f t="shared" si="8"/>
        <v>98257831</v>
      </c>
      <c r="J47" s="20">
        <f t="shared" si="8"/>
        <v>54430965</v>
      </c>
      <c r="K47" s="21">
        <f t="shared" si="7"/>
        <v>1143583547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35" customFormat="1" ht="15.75" x14ac:dyDescent="0.25">
      <c r="A48" s="29" t="s">
        <v>39</v>
      </c>
      <c r="B48" s="31" t="s">
        <v>94</v>
      </c>
      <c r="C48" s="32">
        <v>252648294</v>
      </c>
      <c r="D48" s="32">
        <v>22417947</v>
      </c>
      <c r="E48" s="32">
        <f>197885112+3456121</f>
        <v>201341233</v>
      </c>
      <c r="F48" s="32">
        <v>173230810</v>
      </c>
      <c r="G48" s="32">
        <v>87617042</v>
      </c>
      <c r="H48" s="32">
        <f>142603440+382582</f>
        <v>142986022</v>
      </c>
      <c r="I48" s="32">
        <v>87665424</v>
      </c>
      <c r="J48" s="32">
        <v>48471887</v>
      </c>
      <c r="K48" s="33">
        <f t="shared" si="7"/>
        <v>1016378659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s="35" customFormat="1" ht="15.75" x14ac:dyDescent="0.25">
      <c r="A49" s="29" t="s">
        <v>40</v>
      </c>
      <c r="B49" s="31" t="s">
        <v>19</v>
      </c>
      <c r="C49" s="32">
        <f>29273813+C15</f>
        <v>36826092</v>
      </c>
      <c r="D49" s="32">
        <f>2571419+D15</f>
        <v>3360407</v>
      </c>
      <c r="E49" s="32">
        <f>18898091+E15</f>
        <v>22867610</v>
      </c>
      <c r="F49" s="32">
        <f>20458518</f>
        <v>20458518</v>
      </c>
      <c r="G49" s="32">
        <f>10449667</f>
        <v>10449667</v>
      </c>
      <c r="H49" s="32">
        <f>16691109</f>
        <v>16691109</v>
      </c>
      <c r="I49" s="32">
        <f>10592407</f>
        <v>10592407</v>
      </c>
      <c r="J49" s="32">
        <f>5959078</f>
        <v>5959078</v>
      </c>
      <c r="K49" s="33">
        <f t="shared" si="7"/>
        <v>127204888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s="35" customFormat="1" ht="15.75" x14ac:dyDescent="0.25">
      <c r="A50" s="29" t="s">
        <v>41</v>
      </c>
      <c r="B50" s="31" t="s">
        <v>20</v>
      </c>
      <c r="C50" s="32">
        <v>217630</v>
      </c>
      <c r="D50" s="32">
        <v>53292</v>
      </c>
      <c r="E50" s="32">
        <v>285890</v>
      </c>
      <c r="F50" s="32">
        <v>1056667</v>
      </c>
      <c r="G50" s="32">
        <v>636558</v>
      </c>
      <c r="H50" s="32">
        <v>773880</v>
      </c>
      <c r="I50" s="32">
        <v>719524</v>
      </c>
      <c r="J50" s="32">
        <v>530227</v>
      </c>
      <c r="K50" s="33">
        <f t="shared" si="7"/>
        <v>4273668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s="35" customFormat="1" ht="47.25" x14ac:dyDescent="0.25">
      <c r="A51" s="29" t="s">
        <v>42</v>
      </c>
      <c r="B51" s="31" t="s">
        <v>96</v>
      </c>
      <c r="C51" s="32">
        <v>889015</v>
      </c>
      <c r="D51" s="32">
        <v>0</v>
      </c>
      <c r="E51" s="32">
        <v>858125</v>
      </c>
      <c r="F51" s="32">
        <v>240504</v>
      </c>
      <c r="G51" s="32">
        <v>183048</v>
      </c>
      <c r="H51" s="32">
        <v>218637</v>
      </c>
      <c r="I51" s="32">
        <v>119287</v>
      </c>
      <c r="J51" s="32">
        <v>52940</v>
      </c>
      <c r="K51" s="33">
        <f t="shared" si="7"/>
        <v>2561556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s="8" customFormat="1" ht="15.75" x14ac:dyDescent="0.25">
      <c r="A52" s="17" t="s">
        <v>38</v>
      </c>
      <c r="B52" s="18" t="s">
        <v>45</v>
      </c>
      <c r="C52" s="20">
        <f>52474868+C16-C40</f>
        <v>56747150</v>
      </c>
      <c r="D52" s="20">
        <f>9138485+D16</f>
        <v>10990214</v>
      </c>
      <c r="E52" s="20">
        <f>27874188+E16</f>
        <v>31099349</v>
      </c>
      <c r="F52" s="20">
        <f>21778646+F16-1206017</f>
        <v>25879486</v>
      </c>
      <c r="G52" s="20">
        <f>7576533+G16+6160</f>
        <v>13725940</v>
      </c>
      <c r="H52" s="20">
        <f>16302131+H16</f>
        <v>19269585</v>
      </c>
      <c r="I52" s="20">
        <f>13052138+I16</f>
        <v>16047387</v>
      </c>
      <c r="J52" s="20">
        <f>7681291+J16</f>
        <v>9343457</v>
      </c>
      <c r="K52" s="21">
        <f t="shared" si="7"/>
        <v>183102568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10" customFormat="1" ht="6.75" customHeight="1" x14ac:dyDescent="0.25">
      <c r="A53" s="22"/>
      <c r="B53" s="28"/>
      <c r="C53" s="23"/>
      <c r="D53" s="23"/>
      <c r="E53" s="23"/>
      <c r="F53" s="23"/>
      <c r="G53" s="23"/>
      <c r="H53" s="23"/>
      <c r="I53" s="23"/>
      <c r="J53" s="23"/>
      <c r="K53" s="2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8" customFormat="1" ht="31.5" x14ac:dyDescent="0.25">
      <c r="A54" s="17" t="s">
        <v>23</v>
      </c>
      <c r="B54" s="18" t="s">
        <v>22</v>
      </c>
      <c r="C54" s="20">
        <f t="shared" ref="C54:J54" si="9">C46-C14-C42</f>
        <v>0</v>
      </c>
      <c r="D54" s="20">
        <f t="shared" si="9"/>
        <v>0</v>
      </c>
      <c r="E54" s="20">
        <f t="shared" si="9"/>
        <v>0</v>
      </c>
      <c r="F54" s="20">
        <f t="shared" si="9"/>
        <v>11599515</v>
      </c>
      <c r="G54" s="20">
        <f t="shared" si="9"/>
        <v>13698225</v>
      </c>
      <c r="H54" s="20">
        <f t="shared" si="9"/>
        <v>48752665</v>
      </c>
      <c r="I54" s="20">
        <f t="shared" si="9"/>
        <v>39932080</v>
      </c>
      <c r="J54" s="20">
        <f t="shared" si="9"/>
        <v>22607302</v>
      </c>
      <c r="K54" s="21">
        <f>SUM(C54:J54)</f>
        <v>136589787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8" customFormat="1" ht="15.75" x14ac:dyDescent="0.25">
      <c r="A55" s="17" t="s">
        <v>43</v>
      </c>
      <c r="B55" s="18" t="s">
        <v>24</v>
      </c>
      <c r="C55" s="20"/>
      <c r="D55" s="20"/>
      <c r="E55" s="20"/>
      <c r="F55" s="20"/>
      <c r="G55" s="20"/>
      <c r="H55" s="20"/>
      <c r="I55" s="20"/>
      <c r="J55" s="20"/>
      <c r="K55" s="21">
        <f>SUM(C55:J55)</f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8" customFormat="1" ht="15.75" x14ac:dyDescent="0.25">
      <c r="A56" s="29" t="s">
        <v>27</v>
      </c>
      <c r="B56" s="31" t="s">
        <v>25</v>
      </c>
      <c r="C56" s="32">
        <f>C54-C57</f>
        <v>0</v>
      </c>
      <c r="D56" s="32">
        <f t="shared" ref="D56:J56" si="10">D54-D57</f>
        <v>0</v>
      </c>
      <c r="E56" s="32">
        <f t="shared" si="10"/>
        <v>0</v>
      </c>
      <c r="F56" s="32">
        <f t="shared" si="10"/>
        <v>11599515</v>
      </c>
      <c r="G56" s="32">
        <f t="shared" si="10"/>
        <v>13692065</v>
      </c>
      <c r="H56" s="32">
        <f t="shared" si="10"/>
        <v>48752665</v>
      </c>
      <c r="I56" s="32">
        <f t="shared" si="10"/>
        <v>39932080</v>
      </c>
      <c r="J56" s="32">
        <f t="shared" si="10"/>
        <v>22607302</v>
      </c>
      <c r="K56" s="21">
        <f>SUM(C56:J56)</f>
        <v>136583627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8" customFormat="1" ht="31.5" x14ac:dyDescent="0.25">
      <c r="A57" s="29" t="s">
        <v>27</v>
      </c>
      <c r="B57" s="51" t="s">
        <v>97</v>
      </c>
      <c r="C57" s="32"/>
      <c r="D57" s="32"/>
      <c r="E57" s="32"/>
      <c r="F57" s="32"/>
      <c r="G57" s="32">
        <v>6160</v>
      </c>
      <c r="H57" s="32"/>
      <c r="I57" s="32"/>
      <c r="J57" s="32"/>
      <c r="K57" s="21">
        <f>SUM(C57:J57)</f>
        <v>6160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s="12" customFormat="1" ht="4.5" customHeight="1" x14ac:dyDescent="0.2">
      <c r="A58" s="29"/>
      <c r="B58" s="30"/>
      <c r="C58" s="25"/>
      <c r="D58" s="25"/>
      <c r="E58" s="26"/>
      <c r="F58" s="26"/>
      <c r="G58" s="26"/>
      <c r="H58" s="26"/>
      <c r="I58" s="26"/>
      <c r="J58" s="26"/>
      <c r="K58" s="27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s="8" customFormat="1" ht="32.25" customHeight="1" x14ac:dyDescent="0.25">
      <c r="A59" s="17" t="s">
        <v>44</v>
      </c>
      <c r="B59" s="18" t="s">
        <v>26</v>
      </c>
      <c r="C59" s="20">
        <f t="shared" ref="C59:J59" si="11">C46+C60+C61+C62</f>
        <v>389192893</v>
      </c>
      <c r="D59" s="20">
        <f t="shared" si="11"/>
        <v>38101061</v>
      </c>
      <c r="E59" s="20">
        <f t="shared" si="11"/>
        <v>284836702</v>
      </c>
      <c r="F59" s="20">
        <f t="shared" si="11"/>
        <v>251971446</v>
      </c>
      <c r="G59" s="20">
        <f t="shared" si="11"/>
        <v>136434583</v>
      </c>
      <c r="H59" s="20">
        <f t="shared" si="11"/>
        <v>214205284</v>
      </c>
      <c r="I59" s="20">
        <f t="shared" si="11"/>
        <v>136030124</v>
      </c>
      <c r="J59" s="20">
        <f t="shared" si="11"/>
        <v>82200647</v>
      </c>
      <c r="K59" s="21">
        <f>SUM(C59:J59)</f>
        <v>1532972740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s="35" customFormat="1" ht="31.5" x14ac:dyDescent="0.25">
      <c r="A60" s="29" t="s">
        <v>46</v>
      </c>
      <c r="B60" s="31" t="s">
        <v>28</v>
      </c>
      <c r="C60" s="32">
        <v>2611436</v>
      </c>
      <c r="D60" s="32">
        <v>105726</v>
      </c>
      <c r="E60" s="32">
        <v>2304469</v>
      </c>
      <c r="F60" s="32">
        <v>1634532</v>
      </c>
      <c r="G60" s="32">
        <v>1192680</v>
      </c>
      <c r="H60" s="32">
        <v>1617405</v>
      </c>
      <c r="I60" s="32">
        <v>1169473</v>
      </c>
      <c r="J60" s="32">
        <v>1009669</v>
      </c>
      <c r="K60" s="33">
        <f>SUM(C60:J60)</f>
        <v>11645390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s="35" customFormat="1" ht="15.75" x14ac:dyDescent="0.25">
      <c r="A61" s="29" t="s">
        <v>47</v>
      </c>
      <c r="B61" s="31" t="s">
        <v>29</v>
      </c>
      <c r="C61" s="32">
        <f>1770000+2444513</f>
        <v>4214513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3">
        <f>SUM(C61:J61)</f>
        <v>4214513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s="35" customFormat="1" ht="32.25" thickBot="1" x14ac:dyDescent="0.3">
      <c r="A62" s="36" t="s">
        <v>36</v>
      </c>
      <c r="B62" s="37" t="s">
        <v>30</v>
      </c>
      <c r="C62" s="38">
        <f>35412234+733174</f>
        <v>36145408</v>
      </c>
      <c r="D62" s="38">
        <f>1200839+25928</f>
        <v>1226767</v>
      </c>
      <c r="E62" s="38">
        <f>26640757+583284</f>
        <v>27224041</v>
      </c>
      <c r="F62" s="38">
        <f>29272548+1495552</f>
        <v>30768100</v>
      </c>
      <c r="G62" s="38">
        <f>22651824+797430</f>
        <v>23449254</v>
      </c>
      <c r="H62" s="38">
        <f>32442216+1198947</f>
        <v>33641163</v>
      </c>
      <c r="I62" s="38">
        <f>19781821+773612</f>
        <v>20555433</v>
      </c>
      <c r="J62" s="38">
        <f>16788639+627917</f>
        <v>17416556</v>
      </c>
      <c r="K62" s="39">
        <f>SUM(C62:J62)</f>
        <v>190426722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4" spans="1:33" x14ac:dyDescent="0.25">
      <c r="A64" s="13"/>
    </row>
    <row r="83" spans="3:11" x14ac:dyDescent="0.25">
      <c r="C83" s="14"/>
      <c r="D83" s="14"/>
      <c r="E83" s="14"/>
      <c r="F83" s="14"/>
      <c r="G83" s="14"/>
      <c r="H83" s="14"/>
      <c r="I83" s="14"/>
      <c r="J83" s="14"/>
      <c r="K83" s="14"/>
    </row>
    <row r="84" spans="3:11" x14ac:dyDescent="0.25">
      <c r="C84" s="14"/>
      <c r="D84" s="14"/>
      <c r="E84" s="14"/>
      <c r="F84" s="14"/>
      <c r="G84" s="14"/>
      <c r="H84" s="14"/>
      <c r="I84" s="14"/>
      <c r="J84" s="14"/>
      <c r="K84" s="14"/>
    </row>
    <row r="85" spans="3:11" x14ac:dyDescent="0.25">
      <c r="C85" s="14"/>
      <c r="D85" s="14"/>
      <c r="E85" s="14"/>
      <c r="F85" s="14"/>
      <c r="G85" s="14"/>
      <c r="H85" s="14"/>
      <c r="I85" s="14"/>
      <c r="J85" s="14"/>
      <c r="K85" s="14"/>
    </row>
    <row r="86" spans="3:11" x14ac:dyDescent="0.25">
      <c r="C86" s="14"/>
      <c r="D86" s="14"/>
      <c r="E86" s="14"/>
      <c r="F86" s="14"/>
      <c r="G86" s="14"/>
      <c r="H86" s="14"/>
      <c r="I86" s="14"/>
      <c r="J86" s="14"/>
      <c r="K86" s="14"/>
    </row>
    <row r="87" spans="3:11" x14ac:dyDescent="0.25">
      <c r="C87" s="14"/>
      <c r="D87" s="14"/>
      <c r="E87" s="14"/>
      <c r="F87" s="14"/>
      <c r="G87" s="14"/>
      <c r="H87" s="14"/>
      <c r="I87" s="14"/>
      <c r="J87" s="14"/>
      <c r="K87" s="14"/>
    </row>
    <row r="88" spans="3:11" x14ac:dyDescent="0.25">
      <c r="C88" s="14"/>
      <c r="D88" s="14"/>
      <c r="E88" s="14"/>
      <c r="F88" s="14"/>
      <c r="G88" s="14"/>
      <c r="H88" s="14"/>
      <c r="I88" s="14"/>
      <c r="J88" s="14"/>
      <c r="K88" s="14"/>
    </row>
    <row r="89" spans="3:11" x14ac:dyDescent="0.25">
      <c r="C89" s="14"/>
      <c r="D89" s="14"/>
      <c r="E89" s="14"/>
      <c r="F89" s="14"/>
      <c r="G89" s="14"/>
      <c r="H89" s="14"/>
      <c r="I89" s="14"/>
      <c r="J89" s="14"/>
      <c r="K89" s="14"/>
    </row>
    <row r="90" spans="3:11" x14ac:dyDescent="0.25">
      <c r="C90" s="14"/>
      <c r="D90" s="14"/>
      <c r="E90" s="14"/>
      <c r="F90" s="14"/>
      <c r="G90" s="14"/>
      <c r="H90" s="14"/>
      <c r="I90" s="14"/>
      <c r="J90" s="14"/>
      <c r="K90" s="14"/>
    </row>
    <row r="91" spans="3:11" x14ac:dyDescent="0.25">
      <c r="C91" s="14"/>
      <c r="D91" s="14"/>
      <c r="E91" s="14"/>
      <c r="F91" s="14"/>
      <c r="G91" s="14"/>
      <c r="H91" s="14"/>
      <c r="I91" s="14"/>
      <c r="J91" s="14"/>
      <c r="K91" s="14"/>
    </row>
    <row r="92" spans="3:11" x14ac:dyDescent="0.25">
      <c r="C92" s="14"/>
      <c r="D92" s="14"/>
      <c r="E92" s="14"/>
      <c r="F92" s="14"/>
      <c r="G92" s="14"/>
      <c r="H92" s="14"/>
      <c r="I92" s="14"/>
      <c r="J92" s="14"/>
      <c r="K92" s="14"/>
    </row>
    <row r="93" spans="3:11" x14ac:dyDescent="0.25">
      <c r="C93" s="14"/>
      <c r="D93" s="14"/>
      <c r="E93" s="14"/>
      <c r="F93" s="14"/>
      <c r="G93" s="14"/>
      <c r="H93" s="14"/>
      <c r="I93" s="14"/>
      <c r="J93" s="14"/>
      <c r="K93" s="14"/>
    </row>
    <row r="94" spans="3:11" x14ac:dyDescent="0.25">
      <c r="C94" s="14"/>
      <c r="D94" s="14"/>
      <c r="E94" s="14"/>
      <c r="F94" s="14"/>
      <c r="G94" s="14"/>
      <c r="H94" s="14"/>
      <c r="I94" s="14"/>
      <c r="J94" s="14"/>
      <c r="K94" s="14"/>
    </row>
    <row r="95" spans="3:11" x14ac:dyDescent="0.25">
      <c r="C95" s="14"/>
      <c r="D95" s="14"/>
      <c r="E95" s="14"/>
      <c r="F95" s="14"/>
      <c r="G95" s="14"/>
      <c r="H95" s="14"/>
      <c r="I95" s="14"/>
      <c r="J95" s="14"/>
      <c r="K95" s="14"/>
    </row>
    <row r="96" spans="3:11" x14ac:dyDescent="0.25">
      <c r="C96" s="14"/>
      <c r="D96" s="14"/>
      <c r="E96" s="14"/>
      <c r="F96" s="14"/>
      <c r="G96" s="14"/>
      <c r="H96" s="14"/>
      <c r="I96" s="14"/>
      <c r="J96" s="14"/>
      <c r="K96" s="14"/>
    </row>
    <row r="97" spans="3:11" x14ac:dyDescent="0.25">
      <c r="C97" s="14"/>
      <c r="D97" s="14"/>
      <c r="E97" s="14"/>
      <c r="F97" s="14"/>
      <c r="G97" s="14"/>
      <c r="H97" s="14"/>
      <c r="I97" s="14"/>
      <c r="J97" s="14"/>
      <c r="K97" s="14"/>
    </row>
    <row r="98" spans="3:11" x14ac:dyDescent="0.25">
      <c r="C98" s="14"/>
      <c r="D98" s="14"/>
      <c r="E98" s="14"/>
      <c r="F98" s="14"/>
      <c r="G98" s="14"/>
      <c r="H98" s="14"/>
      <c r="I98" s="14"/>
      <c r="J98" s="14"/>
      <c r="K98" s="14"/>
    </row>
    <row r="99" spans="3:11" x14ac:dyDescent="0.25">
      <c r="C99" s="14"/>
      <c r="D99" s="14"/>
      <c r="E99" s="14"/>
      <c r="F99" s="14"/>
      <c r="G99" s="14"/>
      <c r="H99" s="14"/>
      <c r="I99" s="14"/>
      <c r="J99" s="14"/>
      <c r="K99" s="14"/>
    </row>
    <row r="100" spans="3:11" x14ac:dyDescent="0.25"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3:11" x14ac:dyDescent="0.25">
      <c r="C101" s="14"/>
    </row>
    <row r="102" spans="3:11" x14ac:dyDescent="0.25">
      <c r="C102" s="14"/>
    </row>
    <row r="103" spans="3:11" x14ac:dyDescent="0.25">
      <c r="C103" s="14"/>
    </row>
    <row r="104" spans="3:11" x14ac:dyDescent="0.25">
      <c r="C104" s="14"/>
    </row>
    <row r="105" spans="3:11" x14ac:dyDescent="0.25">
      <c r="C105" s="14"/>
    </row>
    <row r="106" spans="3:11" x14ac:dyDescent="0.25">
      <c r="C106" s="14"/>
    </row>
    <row r="107" spans="3:11" x14ac:dyDescent="0.25">
      <c r="C107" s="14"/>
    </row>
    <row r="108" spans="3:11" x14ac:dyDescent="0.25">
      <c r="C108" s="14"/>
    </row>
    <row r="109" spans="3:11" x14ac:dyDescent="0.25">
      <c r="C109" s="14"/>
    </row>
    <row r="110" spans="3:11" x14ac:dyDescent="0.25">
      <c r="C110" s="14"/>
    </row>
    <row r="111" spans="3:11" x14ac:dyDescent="0.25">
      <c r="C111" s="14"/>
    </row>
  </sheetData>
  <mergeCells count="1">
    <mergeCell ref="A11:K11"/>
  </mergeCells>
  <phoneticPr fontId="11" type="noConversion"/>
  <pageMargins left="0.23622047244094491" right="0.15748031496062992" top="0.82677165354330717" bottom="0.31496062992125984" header="0.19685039370078741" footer="0.19685039370078741"/>
  <pageSetup paperSize="9" scale="82" firstPageNumber="239" fitToHeight="5" orientation="landscape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1612</vt:lpstr>
      <vt:lpstr>'1612'!Заголовки_для_печати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2020-04-07T08:19:22Z</dcterms:modified>
</cp:coreProperties>
</file>