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6945" tabRatio="249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№1'!$A$1:$K$102</definedName>
  </definedNames>
  <calcPr fullCalcOnLoad="1"/>
</workbook>
</file>

<file path=xl/sharedStrings.xml><?xml version="1.0" encoding="utf-8"?>
<sst xmlns="http://schemas.openxmlformats.org/spreadsheetml/2006/main" count="90" uniqueCount="89">
  <si>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</si>
  <si>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</si>
  <si>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</si>
  <si>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</si>
  <si>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</si>
  <si>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</si>
  <si>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</si>
  <si>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</si>
  <si>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</si>
  <si>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</si>
  <si>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</si>
  <si>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</si>
  <si>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</si>
  <si>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</si>
  <si>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</si>
  <si>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</si>
  <si>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</si>
  <si>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</si>
  <si>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</si>
  <si>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</si>
  <si>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</si>
  <si>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</si>
  <si>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</si>
  <si>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</si>
  <si>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</si>
  <si>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</si>
  <si>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</si>
  <si>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</si>
  <si>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</si>
  <si>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</si>
  <si>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</si>
  <si>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</si>
  <si>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</si>
  <si>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</si>
  <si>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</si>
  <si>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</si>
  <si>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</si>
  <si>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</si>
  <si>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</si>
  <si>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</si>
  <si>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</si>
  <si>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</si>
  <si>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</si>
  <si>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</si>
  <si>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</si>
  <si>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</si>
  <si>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</si>
  <si>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</si>
  <si>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</si>
  <si>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</si>
  <si>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</si>
  <si>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</si>
  <si>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</si>
  <si>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</si>
  <si>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</si>
  <si>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</si>
  <si>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</si>
  <si>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</si>
  <si>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</si>
  <si>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</si>
  <si>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</si>
  <si>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</si>
  <si>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</si>
  <si>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</si>
  <si>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</si>
  <si>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</si>
  <si>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</si>
  <si>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</si>
  <si>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</si>
  <si>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</si>
  <si>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</si>
  <si>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</si>
  <si>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</si>
  <si>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</si>
  <si>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</si>
  <si>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</si>
  <si>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</si>
  <si>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</si>
  <si>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</si>
  <si>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"О республиканском бюджете на 2020 год"</t>
  </si>
  <si>
    <t>на 2020 год</t>
  </si>
  <si>
    <t>Налог с потенциально возможного к получению годового дохода для индивидуальных предпринимателей</t>
  </si>
  <si>
    <t>Налог с выручки индивидуальных предпринимателей, применяющих упрощенную систему налогообложения</t>
  </si>
  <si>
    <t>Фонд поддержки молодежи</t>
  </si>
  <si>
    <t>Прочие безвозмездные перечисления</t>
  </si>
  <si>
    <t>"О внесении изменений и дополнений</t>
  </si>
  <si>
    <t xml:space="preserve">в Закон Приднестровской Молдавской Республики </t>
  </si>
  <si>
    <t>к Закону Приднестровской Молдавской Республики</t>
  </si>
  <si>
    <t>Приложение № 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</si>
</sst>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р_._-;\-* #,##0_р_._-;_-* &quot;-&quot;??_р_._-;_-@_-"/>
    <numFmt numFmtId="179" formatCode="_(* #,##0.0_);_(* \(#,##0.0\);_(* &quot;-&quot;??_);_(@_)"/>
    <numFmt numFmtId="180" formatCode="_(* #,##0_);_(* \(#,##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29" xfId="0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169" fontId="5" fillId="0" borderId="12" xfId="62" applyNumberFormat="1" applyFont="1" applyFill="1" applyBorder="1" applyAlignment="1">
      <alignment horizontal="right" vertical="center"/>
    </xf>
    <xf numFmtId="169" fontId="5" fillId="0" borderId="12" xfId="0" applyNumberFormat="1" applyFont="1" applyFill="1" applyBorder="1" applyAlignment="1">
      <alignment horizontal="right" vertical="center"/>
    </xf>
    <xf numFmtId="178" fontId="5" fillId="0" borderId="12" xfId="62" applyNumberFormat="1" applyFont="1" applyFill="1" applyBorder="1" applyAlignment="1">
      <alignment horizontal="right" vertical="center"/>
    </xf>
    <xf numFmtId="178" fontId="5" fillId="33" borderId="12" xfId="62" applyNumberFormat="1" applyFont="1" applyFill="1" applyBorder="1" applyAlignment="1">
      <alignment horizontal="right" vertical="center"/>
    </xf>
    <xf numFmtId="178" fontId="11" fillId="33" borderId="12" xfId="62" applyNumberFormat="1" applyFont="1" applyFill="1" applyBorder="1" applyAlignment="1">
      <alignment horizontal="right" vertical="center"/>
    </xf>
    <xf numFmtId="178" fontId="11" fillId="33" borderId="12" xfId="0" applyNumberFormat="1" applyFont="1" applyFill="1" applyBorder="1" applyAlignment="1">
      <alignment horizontal="right" vertical="center"/>
    </xf>
    <xf numFmtId="169" fontId="5" fillId="33" borderId="21" xfId="62" applyNumberFormat="1" applyFont="1" applyFill="1" applyBorder="1" applyAlignment="1">
      <alignment horizontal="right" vertical="center"/>
    </xf>
    <xf numFmtId="169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33" borderId="16" xfId="62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69" fontId="11" fillId="0" borderId="12" xfId="62" applyNumberFormat="1" applyFont="1" applyFill="1" applyBorder="1" applyAlignment="1">
      <alignment horizontal="right" vertical="center"/>
    </xf>
    <xf numFmtId="178" fontId="11" fillId="0" borderId="12" xfId="0" applyNumberFormat="1" applyFont="1" applyFill="1" applyBorder="1" applyAlignment="1">
      <alignment horizontal="right" vertical="center"/>
    </xf>
    <xf numFmtId="169" fontId="11" fillId="0" borderId="16" xfId="62" applyNumberFormat="1" applyFont="1" applyFill="1" applyBorder="1" applyAlignment="1">
      <alignment horizontal="right" vertical="center"/>
    </xf>
    <xf numFmtId="169" fontId="11" fillId="0" borderId="19" xfId="62" applyNumberFormat="1" applyFont="1" applyFill="1" applyBorder="1" applyAlignment="1">
      <alignment horizontal="right" vertical="center"/>
    </xf>
    <xf numFmtId="169" fontId="5" fillId="0" borderId="19" xfId="62" applyNumberFormat="1" applyFont="1" applyFill="1" applyBorder="1" applyAlignment="1">
      <alignment horizontal="right" vertical="center"/>
    </xf>
    <xf numFmtId="169" fontId="11" fillId="0" borderId="27" xfId="62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69" fontId="5" fillId="0" borderId="10" xfId="62" applyNumberFormat="1" applyFont="1" applyFill="1" applyBorder="1" applyAlignment="1">
      <alignment horizontal="right" vertical="center"/>
    </xf>
    <xf numFmtId="178" fontId="5" fillId="0" borderId="10" xfId="62" applyNumberFormat="1" applyFont="1" applyFill="1" applyBorder="1" applyAlignment="1">
      <alignment horizontal="right" vertical="center"/>
    </xf>
    <xf numFmtId="169" fontId="5" fillId="0" borderId="16" xfId="62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69" fontId="5" fillId="33" borderId="19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69" fontId="5" fillId="33" borderId="12" xfId="0" applyNumberFormat="1" applyFont="1" applyFill="1" applyBorder="1" applyAlignment="1">
      <alignment horizontal="right" vertical="center"/>
    </xf>
    <xf numFmtId="169" fontId="5" fillId="0" borderId="16" xfId="0" applyNumberFormat="1" applyFont="1" applyFill="1" applyBorder="1" applyAlignment="1">
      <alignment horizontal="right" vertical="center"/>
    </xf>
    <xf numFmtId="169" fontId="5" fillId="33" borderId="12" xfId="62" applyNumberFormat="1" applyFont="1" applyFill="1" applyBorder="1" applyAlignment="1">
      <alignment horizontal="right" vertical="center"/>
    </xf>
    <xf numFmtId="178" fontId="5" fillId="33" borderId="1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69" fontId="5" fillId="0" borderId="21" xfId="62" applyNumberFormat="1" applyFont="1" applyFill="1" applyBorder="1" applyAlignment="1">
      <alignment horizontal="right" vertical="center"/>
    </xf>
    <xf numFmtId="178" fontId="5" fillId="0" borderId="25" xfId="62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 wrapText="1"/>
    </xf>
    <xf numFmtId="169" fontId="15" fillId="33" borderId="0" xfId="0" applyNumberFormat="1" applyFont="1" applyFill="1" applyAlignment="1">
      <alignment horizontal="left" vertical="center" wrapText="1"/>
    </xf>
    <xf numFmtId="0" fontId="10" fillId="0" borderId="24" xfId="0" applyFont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180" fontId="15" fillId="33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6"/>
  <sheetViews>
    <sheetView tabSelected="1" view="pageBreakPreview" zoomScale="90" zoomScaleNormal="80" zoomScaleSheetLayoutView="9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" sqref="K2"/>
    </sheetView>
  </sheetViews>
  <sheetFormatPr defaultColWidth="9.140625" defaultRowHeight="12.75"/>
  <cols>
    <col min="1" max="1" width="10.00390625" style="10" bestFit="1" customWidth="1"/>
    <col min="2" max="2" width="47.28125" style="13" customWidth="1"/>
    <col min="3" max="3" width="17.28125" style="13" customWidth="1"/>
    <col min="4" max="4" width="16.140625" style="13" customWidth="1"/>
    <col min="5" max="5" width="17.00390625" style="13" customWidth="1"/>
    <col min="6" max="6" width="16.00390625" style="13" customWidth="1"/>
    <col min="7" max="7" width="16.57421875" style="13" bestFit="1" customWidth="1"/>
    <col min="8" max="8" width="15.7109375" style="10" customWidth="1"/>
    <col min="9" max="9" width="16.7109375" style="10" bestFit="1" customWidth="1"/>
    <col min="10" max="10" width="16.140625" style="10" customWidth="1"/>
    <col min="11" max="11" width="18.140625" style="10" customWidth="1"/>
    <col min="12" max="12" width="14.8515625" style="81" bestFit="1" customWidth="1"/>
    <col min="13" max="13" width="14.28125" style="81" bestFit="1" customWidth="1"/>
    <col min="14" max="16384" width="9.140625" style="1" customWidth="1"/>
  </cols>
  <sheetData>
    <row r="1" spans="1:12" ht="18" customHeight="1">
      <c r="A1" s="90"/>
      <c r="B1" s="90"/>
      <c r="C1" s="90"/>
      <c r="D1" s="90"/>
      <c r="E1" s="90"/>
      <c r="F1" s="90"/>
      <c r="G1" s="90"/>
      <c r="H1" s="90"/>
      <c r="I1" s="91"/>
      <c r="J1" s="91"/>
      <c r="K1" s="91" t="s">
        <v>88</v>
      </c>
      <c r="L1" s="87"/>
    </row>
    <row r="2" spans="1:11" ht="16.5">
      <c r="A2" s="90"/>
      <c r="B2" s="90"/>
      <c r="C2" s="90"/>
      <c r="D2" s="90"/>
      <c r="E2" s="90"/>
      <c r="F2" s="90"/>
      <c r="G2" s="90"/>
      <c r="H2" s="90"/>
      <c r="I2" s="90"/>
      <c r="J2" s="92"/>
      <c r="K2" s="91" t="s">
        <v>87</v>
      </c>
    </row>
    <row r="3" spans="1:11" ht="16.5">
      <c r="A3" s="90"/>
      <c r="B3" s="90"/>
      <c r="C3" s="90"/>
      <c r="D3" s="90"/>
      <c r="E3" s="90"/>
      <c r="F3" s="90"/>
      <c r="G3" s="90"/>
      <c r="H3" s="90"/>
      <c r="I3" s="90"/>
      <c r="J3" s="91"/>
      <c r="K3" s="91" t="s">
        <v>85</v>
      </c>
    </row>
    <row r="4" spans="1:11" ht="16.5">
      <c r="A4" s="90"/>
      <c r="B4" s="90"/>
      <c r="C4" s="90"/>
      <c r="D4" s="90"/>
      <c r="E4" s="90"/>
      <c r="F4" s="90"/>
      <c r="G4" s="90"/>
      <c r="H4" s="90"/>
      <c r="I4" s="90"/>
      <c r="J4" s="91"/>
      <c r="K4" s="91" t="s">
        <v>86</v>
      </c>
    </row>
    <row r="5" spans="1:14" ht="16.5">
      <c r="A5" s="90"/>
      <c r="B5" s="90"/>
      <c r="C5" s="90"/>
      <c r="D5" s="90"/>
      <c r="E5" s="90"/>
      <c r="F5" s="90"/>
      <c r="G5" s="90"/>
      <c r="H5" s="90"/>
      <c r="I5" s="93" t="s">
        <v>79</v>
      </c>
      <c r="J5" s="94"/>
      <c r="K5" s="94"/>
      <c r="L5" s="89"/>
      <c r="M5" s="89"/>
      <c r="N5" s="88"/>
    </row>
    <row r="6" spans="1:14" ht="16.5">
      <c r="A6" s="90"/>
      <c r="B6" s="90"/>
      <c r="C6" s="90"/>
      <c r="D6" s="90"/>
      <c r="E6" s="90"/>
      <c r="F6" s="90"/>
      <c r="G6" s="90"/>
      <c r="H6" s="90"/>
      <c r="I6" s="91"/>
      <c r="J6" s="92"/>
      <c r="K6" s="92"/>
      <c r="L6" s="89"/>
      <c r="M6" s="89"/>
      <c r="N6" s="88"/>
    </row>
    <row r="7" spans="1:11" ht="18.75" customHeight="1">
      <c r="A7" s="96" t="s">
        <v>63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6.5">
      <c r="A8" s="96" t="s">
        <v>65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6.5">
      <c r="A9" s="96" t="s">
        <v>79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8.75">
      <c r="A11" s="95" t="s">
        <v>47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18.75">
      <c r="A12" s="95" t="s">
        <v>48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18.75">
      <c r="A13" s="95" t="s">
        <v>80</v>
      </c>
      <c r="B13" s="95"/>
      <c r="C13" s="95"/>
      <c r="D13" s="95"/>
      <c r="E13" s="95"/>
      <c r="F13" s="95"/>
      <c r="G13" s="95"/>
      <c r="H13" s="95"/>
      <c r="I13" s="95"/>
      <c r="J13" s="95"/>
      <c r="K13" s="14"/>
    </row>
    <row r="14" spans="1:11" ht="16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2" t="s">
        <v>64</v>
      </c>
    </row>
    <row r="15" spans="1:13" s="16" customFormat="1" ht="32.25" thickBot="1">
      <c r="A15" s="3" t="s">
        <v>5</v>
      </c>
      <c r="B15" s="4" t="s">
        <v>67</v>
      </c>
      <c r="C15" s="5" t="s">
        <v>51</v>
      </c>
      <c r="D15" s="5" t="s">
        <v>52</v>
      </c>
      <c r="E15" s="5" t="s">
        <v>53</v>
      </c>
      <c r="F15" s="5" t="s">
        <v>54</v>
      </c>
      <c r="G15" s="5" t="s">
        <v>55</v>
      </c>
      <c r="H15" s="5" t="s">
        <v>56</v>
      </c>
      <c r="I15" s="5" t="s">
        <v>57</v>
      </c>
      <c r="J15" s="5" t="s">
        <v>58</v>
      </c>
      <c r="K15" s="5" t="s">
        <v>59</v>
      </c>
      <c r="L15" s="82"/>
      <c r="M15" s="82"/>
    </row>
    <row r="16" spans="1:13" s="17" customFormat="1" ht="16.5" thickBot="1">
      <c r="A16" s="37">
        <v>1000000</v>
      </c>
      <c r="B16" s="38" t="s">
        <v>6</v>
      </c>
      <c r="C16" s="56">
        <f aca="true" t="shared" si="0" ref="C16:K16">SUM(C17+C27+C34+C36+C46+C51)</f>
        <v>879354722</v>
      </c>
      <c r="D16" s="56">
        <f t="shared" si="0"/>
        <v>167296374</v>
      </c>
      <c r="E16" s="56">
        <f t="shared" si="0"/>
        <v>256402271</v>
      </c>
      <c r="F16" s="56">
        <f t="shared" si="0"/>
        <v>201447473</v>
      </c>
      <c r="G16" s="56">
        <f t="shared" si="0"/>
        <v>90228702</v>
      </c>
      <c r="H16" s="56">
        <f t="shared" si="0"/>
        <v>113533044</v>
      </c>
      <c r="I16" s="56">
        <f t="shared" si="0"/>
        <v>56824344</v>
      </c>
      <c r="J16" s="56">
        <f t="shared" si="0"/>
        <v>33062255</v>
      </c>
      <c r="K16" s="57">
        <f t="shared" si="0"/>
        <v>1798149185</v>
      </c>
      <c r="L16" s="86"/>
      <c r="M16" s="83"/>
    </row>
    <row r="17" spans="1:13" s="17" customFormat="1" ht="15.75">
      <c r="A17" s="23">
        <v>1010000</v>
      </c>
      <c r="B17" s="39" t="s">
        <v>7</v>
      </c>
      <c r="C17" s="58">
        <f aca="true" t="shared" si="1" ref="C17:K17">C18+C19+C21+C23+C25+C22+C24</f>
        <v>602159306</v>
      </c>
      <c r="D17" s="58">
        <f t="shared" si="1"/>
        <v>157804112</v>
      </c>
      <c r="E17" s="58">
        <f t="shared" si="1"/>
        <v>207970698</v>
      </c>
      <c r="F17" s="58">
        <f t="shared" si="1"/>
        <v>148970978</v>
      </c>
      <c r="G17" s="58">
        <f t="shared" si="1"/>
        <v>66776513</v>
      </c>
      <c r="H17" s="58">
        <f t="shared" si="1"/>
        <v>78579273</v>
      </c>
      <c r="I17" s="58">
        <f t="shared" si="1"/>
        <v>39209552</v>
      </c>
      <c r="J17" s="58">
        <f t="shared" si="1"/>
        <v>24246192</v>
      </c>
      <c r="K17" s="58">
        <f t="shared" si="1"/>
        <v>1325716624</v>
      </c>
      <c r="L17" s="86"/>
      <c r="M17" s="83"/>
    </row>
    <row r="18" spans="1:13" s="17" customFormat="1" ht="22.5" customHeight="1">
      <c r="A18" s="6">
        <v>1010100</v>
      </c>
      <c r="B18" s="27" t="s">
        <v>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59">
        <f aca="true" t="shared" si="2" ref="K18:K25">SUM(C18+D18+E18+F18+G18+H18+I18+J18)</f>
        <v>0</v>
      </c>
      <c r="L18" s="86"/>
      <c r="M18" s="83"/>
    </row>
    <row r="19" spans="1:13" s="17" customFormat="1" ht="39" customHeight="1">
      <c r="A19" s="6">
        <v>1010200</v>
      </c>
      <c r="B19" s="27" t="s">
        <v>34</v>
      </c>
      <c r="C19" s="49">
        <f>410014260-4628630-24493488</f>
        <v>380892142</v>
      </c>
      <c r="D19" s="49">
        <f>137669895-8318440</f>
        <v>129351455</v>
      </c>
      <c r="E19" s="49">
        <f>121718584+4628630-7634441</f>
        <v>118712773</v>
      </c>
      <c r="F19" s="49">
        <f>92208963-10915130-4912325</f>
        <v>76381508</v>
      </c>
      <c r="G19" s="49">
        <f>43998417-2658700</f>
        <v>41339717</v>
      </c>
      <c r="H19" s="49">
        <f>51647065-3120818</f>
        <v>48526247</v>
      </c>
      <c r="I19" s="49">
        <f>20498386-1238644</f>
        <v>19259742</v>
      </c>
      <c r="J19" s="49">
        <f>14935070-902480</f>
        <v>14032590</v>
      </c>
      <c r="K19" s="59">
        <f t="shared" si="2"/>
        <v>828496174</v>
      </c>
      <c r="L19" s="86"/>
      <c r="M19" s="83"/>
    </row>
    <row r="20" spans="1:13" s="17" customFormat="1" ht="36.75" customHeight="1">
      <c r="A20" s="25">
        <v>1010290</v>
      </c>
      <c r="B20" s="26" t="s">
        <v>45</v>
      </c>
      <c r="C20" s="60">
        <f>126430480-4628630-7356736</f>
        <v>114445114</v>
      </c>
      <c r="D20" s="60">
        <f>28236292-1705450</f>
        <v>26530842</v>
      </c>
      <c r="E20" s="60">
        <f>16165291+4628630-1255936</f>
        <v>19537985</v>
      </c>
      <c r="F20" s="60">
        <f>9026882-2372855-401898</f>
        <v>6252129</v>
      </c>
      <c r="G20" s="60">
        <f>3017128-182232</f>
        <v>2834896</v>
      </c>
      <c r="H20" s="60">
        <f>5832809-352297</f>
        <v>5480512</v>
      </c>
      <c r="I20" s="60">
        <f>1887431-113999</f>
        <v>1773432</v>
      </c>
      <c r="J20" s="60">
        <f>1180090-71277</f>
        <v>1108813</v>
      </c>
      <c r="K20" s="61">
        <f t="shared" si="2"/>
        <v>177963723</v>
      </c>
      <c r="L20" s="86"/>
      <c r="M20" s="83"/>
    </row>
    <row r="21" spans="1:13" s="17" customFormat="1" ht="20.25" customHeight="1">
      <c r="A21" s="6">
        <v>1010400</v>
      </c>
      <c r="B21" s="27" t="s">
        <v>43</v>
      </c>
      <c r="C21" s="49">
        <f>3166800-356824</f>
        <v>2809976</v>
      </c>
      <c r="D21" s="49">
        <f>191400-21566</f>
        <v>169834</v>
      </c>
      <c r="E21" s="49">
        <f>1566000-176451</f>
        <v>1389549</v>
      </c>
      <c r="F21" s="49">
        <f>713400-80383</f>
        <v>633017</v>
      </c>
      <c r="G21" s="49">
        <f>469800-52935</f>
        <v>416865</v>
      </c>
      <c r="H21" s="49">
        <f>713400-80383</f>
        <v>633017</v>
      </c>
      <c r="I21" s="49">
        <f>191400-21567</f>
        <v>169833</v>
      </c>
      <c r="J21" s="49">
        <f>313200-35291</f>
        <v>277909</v>
      </c>
      <c r="K21" s="59">
        <f t="shared" si="2"/>
        <v>6500000</v>
      </c>
      <c r="L21" s="86"/>
      <c r="M21" s="83"/>
    </row>
    <row r="22" spans="1:13" s="17" customFormat="1" ht="47.25">
      <c r="A22" s="6">
        <v>1010500</v>
      </c>
      <c r="B22" s="27" t="s">
        <v>81</v>
      </c>
      <c r="C22" s="49">
        <f>5819869-727484</f>
        <v>5092385</v>
      </c>
      <c r="D22" s="49">
        <f>174887-21861</f>
        <v>153026</v>
      </c>
      <c r="E22" s="49">
        <f>3811604-476450</f>
        <v>3335154</v>
      </c>
      <c r="F22" s="49">
        <f>2984143-373018</f>
        <v>2611125</v>
      </c>
      <c r="G22" s="49">
        <f>1432119-179015</f>
        <v>1253104</v>
      </c>
      <c r="H22" s="49">
        <f>3063381-382922</f>
        <v>2680459</v>
      </c>
      <c r="I22" s="49">
        <f>2428519-303565</f>
        <v>2124954</v>
      </c>
      <c r="J22" s="49">
        <f>1069744-133718</f>
        <v>936026</v>
      </c>
      <c r="K22" s="59">
        <f t="shared" si="2"/>
        <v>18186233</v>
      </c>
      <c r="L22" s="86"/>
      <c r="M22" s="83"/>
    </row>
    <row r="23" spans="1:13" s="17" customFormat="1" ht="64.5" customHeight="1">
      <c r="A23" s="6">
        <v>1010600</v>
      </c>
      <c r="B23" s="27" t="s">
        <v>49</v>
      </c>
      <c r="C23" s="49">
        <f>9213010-1151626</f>
        <v>8061384</v>
      </c>
      <c r="D23" s="49">
        <f>149498-18687</f>
        <v>130811</v>
      </c>
      <c r="E23" s="49">
        <f>3404828-425604</f>
        <v>2979224</v>
      </c>
      <c r="F23" s="49">
        <f>801247-100156</f>
        <v>701091</v>
      </c>
      <c r="G23" s="49">
        <f>60926-7616</f>
        <v>53310</v>
      </c>
      <c r="H23" s="49">
        <f>963830-120479</f>
        <v>843351</v>
      </c>
      <c r="I23" s="49">
        <f>89526-11191</f>
        <v>78335</v>
      </c>
      <c r="J23" s="49">
        <f>5772-721</f>
        <v>5051</v>
      </c>
      <c r="K23" s="59">
        <f t="shared" si="2"/>
        <v>12852557</v>
      </c>
      <c r="L23" s="86"/>
      <c r="M23" s="83"/>
    </row>
    <row r="24" spans="1:13" s="17" customFormat="1" ht="46.5" customHeight="1">
      <c r="A24" s="6">
        <v>1010601</v>
      </c>
      <c r="B24" s="27" t="s">
        <v>82</v>
      </c>
      <c r="C24" s="49">
        <f>6166218+658178+1330085-1019310</f>
        <v>7135171</v>
      </c>
      <c r="D24" s="49">
        <f>11542+4341+57749-9204</f>
        <v>64428</v>
      </c>
      <c r="E24" s="49">
        <f>3210172+766582-497095</f>
        <v>3479659</v>
      </c>
      <c r="F24" s="49">
        <f>724772+633673-169805</f>
        <v>1188640</v>
      </c>
      <c r="G24" s="49">
        <f>794687+209621-125539</f>
        <v>878769</v>
      </c>
      <c r="H24" s="49">
        <f>710972+728748-179965</f>
        <v>1259755</v>
      </c>
      <c r="I24" s="49">
        <f>884030-298025-73251</f>
        <v>512754</v>
      </c>
      <c r="J24" s="49">
        <f>138252+47552-23225</f>
        <v>162579</v>
      </c>
      <c r="K24" s="59">
        <f t="shared" si="2"/>
        <v>14681755</v>
      </c>
      <c r="L24" s="86"/>
      <c r="M24" s="83"/>
    </row>
    <row r="25" spans="1:13" s="17" customFormat="1" ht="15.75">
      <c r="A25" s="6">
        <v>1010700</v>
      </c>
      <c r="B25" s="27" t="s">
        <v>9</v>
      </c>
      <c r="C25" s="49">
        <f>217475517+101396+11268-19419933</f>
        <v>198168248</v>
      </c>
      <c r="D25" s="49">
        <f>30666114+2976+2976-2737508</f>
        <v>27934558</v>
      </c>
      <c r="E25" s="49">
        <f>85645463+79942-7651066</f>
        <v>78074339</v>
      </c>
      <c r="F25" s="49">
        <f>73999006+67050-6610459</f>
        <v>67455597</v>
      </c>
      <c r="G25" s="49">
        <f>25063545+8944-2237741</f>
        <v>22834748</v>
      </c>
      <c r="H25" s="49">
        <f>26991480+59266-2414302</f>
        <v>24636444</v>
      </c>
      <c r="I25" s="49">
        <f>18726004+10148-1672218</f>
        <v>17063934</v>
      </c>
      <c r="J25" s="49">
        <f>9694563+2989-865515</f>
        <v>8832037</v>
      </c>
      <c r="K25" s="59">
        <f t="shared" si="2"/>
        <v>444999905</v>
      </c>
      <c r="L25" s="86"/>
      <c r="M25" s="83"/>
    </row>
    <row r="26" spans="1:13" s="17" customFormat="1" ht="15.75">
      <c r="A26" s="25"/>
      <c r="B26" s="27"/>
      <c r="C26" s="49"/>
      <c r="D26" s="49"/>
      <c r="E26" s="49"/>
      <c r="F26" s="49"/>
      <c r="G26" s="49"/>
      <c r="H26" s="49"/>
      <c r="I26" s="49"/>
      <c r="J26" s="49"/>
      <c r="K26" s="59"/>
      <c r="L26" s="86"/>
      <c r="M26" s="83"/>
    </row>
    <row r="27" spans="1:13" s="17" customFormat="1" ht="31.5">
      <c r="A27" s="6">
        <v>1020000</v>
      </c>
      <c r="B27" s="27" t="s">
        <v>46</v>
      </c>
      <c r="C27" s="49">
        <f>SUM(C28:C32)</f>
        <v>161632963</v>
      </c>
      <c r="D27" s="49">
        <f aca="true" t="shared" si="3" ref="D27:J27">SUM(D28:D32)</f>
        <v>118923</v>
      </c>
      <c r="E27" s="49">
        <f t="shared" si="3"/>
        <v>16137479</v>
      </c>
      <c r="F27" s="49">
        <f t="shared" si="3"/>
        <v>5050503</v>
      </c>
      <c r="G27" s="49">
        <f t="shared" si="3"/>
        <v>6372190</v>
      </c>
      <c r="H27" s="49">
        <f t="shared" si="3"/>
        <v>157684</v>
      </c>
      <c r="I27" s="49">
        <f t="shared" si="3"/>
        <v>33408</v>
      </c>
      <c r="J27" s="49">
        <f t="shared" si="3"/>
        <v>141083</v>
      </c>
      <c r="K27" s="59">
        <f>SUM(K28:K32)</f>
        <v>189644233</v>
      </c>
      <c r="L27" s="86"/>
      <c r="M27" s="83"/>
    </row>
    <row r="28" spans="1:13" s="17" customFormat="1" ht="15.75">
      <c r="A28" s="6">
        <v>1020100</v>
      </c>
      <c r="B28" s="27" t="s">
        <v>37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59">
        <f>SUM(C28+D28+E28+F28+G28+H28+I28+J28)</f>
        <v>0</v>
      </c>
      <c r="L28" s="86"/>
      <c r="M28" s="83"/>
    </row>
    <row r="29" spans="1:13" s="17" customFormat="1" ht="31.5">
      <c r="A29" s="6">
        <v>1020200</v>
      </c>
      <c r="B29" s="27" t="s">
        <v>38</v>
      </c>
      <c r="C29" s="49">
        <f>29397260-773253</f>
        <v>28624007</v>
      </c>
      <c r="D29" s="49">
        <v>0</v>
      </c>
      <c r="E29" s="49">
        <f>12580105-330902</f>
        <v>12249203</v>
      </c>
      <c r="F29" s="49">
        <f>130268-3427</f>
        <v>126841</v>
      </c>
      <c r="G29" s="49">
        <f>3950429-103911</f>
        <v>3846518</v>
      </c>
      <c r="H29" s="49">
        <f>20434-537</f>
        <v>19897</v>
      </c>
      <c r="I29" s="49">
        <v>0</v>
      </c>
      <c r="J29" s="49">
        <f>74766-1967</f>
        <v>72799</v>
      </c>
      <c r="K29" s="59">
        <f>SUM(C29+D29+E29+F29+G29+H29+I29+J29)</f>
        <v>44939265</v>
      </c>
      <c r="L29" s="86"/>
      <c r="M29" s="83"/>
    </row>
    <row r="30" spans="1:13" s="17" customFormat="1" ht="31.5">
      <c r="A30" s="6">
        <v>1020300</v>
      </c>
      <c r="B30" s="27" t="s">
        <v>39</v>
      </c>
      <c r="C30" s="49">
        <f>152030508-21180554</f>
        <v>130849954</v>
      </c>
      <c r="D30" s="49">
        <v>0</v>
      </c>
      <c r="E30" s="49">
        <f>4218028-587646</f>
        <v>3630382</v>
      </c>
      <c r="F30" s="49">
        <f>5497995-765969</f>
        <v>4732026</v>
      </c>
      <c r="G30" s="49">
        <f>2798537-389886</f>
        <v>2408651</v>
      </c>
      <c r="H30" s="49">
        <v>0</v>
      </c>
      <c r="I30" s="49">
        <v>0</v>
      </c>
      <c r="J30" s="49">
        <v>0</v>
      </c>
      <c r="K30" s="59">
        <f>SUM(C30+D30+E30+F30+G30+H30+I30+J30)</f>
        <v>141621013</v>
      </c>
      <c r="L30" s="86"/>
      <c r="M30" s="83"/>
    </row>
    <row r="31" spans="1:13" s="17" customFormat="1" ht="31.5">
      <c r="A31" s="6">
        <v>1020400</v>
      </c>
      <c r="B31" s="40" t="s">
        <v>62</v>
      </c>
      <c r="C31" s="49">
        <f>5942509-5239286-80563</f>
        <v>622660</v>
      </c>
      <c r="D31" s="49">
        <v>0</v>
      </c>
      <c r="E31" s="49">
        <v>0</v>
      </c>
      <c r="F31" s="49">
        <v>0</v>
      </c>
      <c r="G31" s="49">
        <f>54067-6194</f>
        <v>47873</v>
      </c>
      <c r="H31" s="49">
        <f>288574-284107-512</f>
        <v>3955</v>
      </c>
      <c r="I31" s="49">
        <v>0</v>
      </c>
      <c r="J31" s="49">
        <f>859-783</f>
        <v>76</v>
      </c>
      <c r="K31" s="59">
        <f>SUM(C31+D31+E31+F31+G31+H31+I31+J31)</f>
        <v>674564</v>
      </c>
      <c r="L31" s="86"/>
      <c r="M31" s="83"/>
    </row>
    <row r="32" spans="1:13" s="17" customFormat="1" ht="15.75">
      <c r="A32" s="6">
        <v>1020500</v>
      </c>
      <c r="B32" s="27" t="s">
        <v>10</v>
      </c>
      <c r="C32" s="49">
        <v>1536342</v>
      </c>
      <c r="D32" s="49">
        <v>118923</v>
      </c>
      <c r="E32" s="49">
        <v>257894</v>
      </c>
      <c r="F32" s="49">
        <v>191636</v>
      </c>
      <c r="G32" s="49">
        <v>69148</v>
      </c>
      <c r="H32" s="49">
        <v>133832</v>
      </c>
      <c r="I32" s="49">
        <v>33408</v>
      </c>
      <c r="J32" s="49">
        <v>68208</v>
      </c>
      <c r="K32" s="59">
        <f>SUM(C32+D32+E32+F32+G32+H32+I32+J32)</f>
        <v>2409391</v>
      </c>
      <c r="L32" s="86"/>
      <c r="M32" s="83"/>
    </row>
    <row r="33" spans="1:13" s="17" customFormat="1" ht="15.75">
      <c r="A33" s="6"/>
      <c r="B33" s="27"/>
      <c r="C33" s="49"/>
      <c r="D33" s="49"/>
      <c r="E33" s="49"/>
      <c r="F33" s="49"/>
      <c r="G33" s="49"/>
      <c r="H33" s="49"/>
      <c r="I33" s="49"/>
      <c r="J33" s="49"/>
      <c r="K33" s="59"/>
      <c r="L33" s="86"/>
      <c r="M33" s="83"/>
    </row>
    <row r="34" spans="1:13" s="17" customFormat="1" ht="15.75">
      <c r="A34" s="6">
        <v>1040000</v>
      </c>
      <c r="B34" s="27" t="s">
        <v>11</v>
      </c>
      <c r="C34" s="49">
        <f>3578932-8982</f>
        <v>3569950</v>
      </c>
      <c r="D34" s="49">
        <f>227751-572</f>
        <v>227179</v>
      </c>
      <c r="E34" s="49">
        <f>2827493-7096</f>
        <v>2820397</v>
      </c>
      <c r="F34" s="49">
        <f>1949112-4892</f>
        <v>1944220</v>
      </c>
      <c r="G34" s="49">
        <f>1621216-4069</f>
        <v>1617147</v>
      </c>
      <c r="H34" s="49">
        <f>2223099-5580</f>
        <v>2217519</v>
      </c>
      <c r="I34" s="49">
        <f>1183272-2970</f>
        <v>1180302</v>
      </c>
      <c r="J34" s="49">
        <f>736187-1848</f>
        <v>734339</v>
      </c>
      <c r="K34" s="59">
        <f>SUM(C34+D34+E34+F34+G34+H34+I34+J34)</f>
        <v>14311053</v>
      </c>
      <c r="L34" s="86"/>
      <c r="M34" s="83"/>
    </row>
    <row r="35" spans="1:13" s="17" customFormat="1" ht="15.75">
      <c r="A35" s="25"/>
      <c r="B35" s="26"/>
      <c r="C35" s="49"/>
      <c r="D35" s="49"/>
      <c r="E35" s="49"/>
      <c r="F35" s="49"/>
      <c r="G35" s="49"/>
      <c r="H35" s="49"/>
      <c r="I35" s="49"/>
      <c r="J35" s="49"/>
      <c r="K35" s="59"/>
      <c r="L35" s="86"/>
      <c r="M35" s="83"/>
    </row>
    <row r="36" spans="1:13" s="17" customFormat="1" ht="31.5">
      <c r="A36" s="6">
        <v>1050000</v>
      </c>
      <c r="B36" s="27" t="s">
        <v>12</v>
      </c>
      <c r="C36" s="49">
        <f>19671875-1986589</f>
        <v>17685286</v>
      </c>
      <c r="D36" s="49">
        <f>3392802-11496</f>
        <v>3381306</v>
      </c>
      <c r="E36" s="49">
        <f>10833579-1261011</f>
        <v>9572568</v>
      </c>
      <c r="F36" s="49">
        <f>40661029+674807-6725582</f>
        <v>34610254</v>
      </c>
      <c r="G36" s="49">
        <f>11006452-2375018</f>
        <v>8631434</v>
      </c>
      <c r="H36" s="49">
        <f>28593977+138988-6719639</f>
        <v>22013326</v>
      </c>
      <c r="I36" s="49">
        <f>17122966+853632-5420305</f>
        <v>12556293</v>
      </c>
      <c r="J36" s="49">
        <f>6158250+213980-1765057</f>
        <v>4607173</v>
      </c>
      <c r="K36" s="59">
        <f>SUM(C36+D36+E36+F36+G36+H36+I36+J36)</f>
        <v>113057640</v>
      </c>
      <c r="L36" s="86"/>
      <c r="M36" s="83"/>
    </row>
    <row r="37" spans="1:13" s="17" customFormat="1" ht="15.75">
      <c r="A37" s="6">
        <v>1050100</v>
      </c>
      <c r="B37" s="27" t="s">
        <v>13</v>
      </c>
      <c r="C37" s="49">
        <f>SUM(C38:C40)</f>
        <v>9750100</v>
      </c>
      <c r="D37" s="50">
        <f>SUM(D38:D40)</f>
        <v>94404</v>
      </c>
      <c r="E37" s="50">
        <f>SUM(E38:E40)</f>
        <v>7501631</v>
      </c>
      <c r="F37" s="50">
        <f aca="true" t="shared" si="4" ref="F37:K37">SUM(F38:F40)</f>
        <v>13909772</v>
      </c>
      <c r="G37" s="50">
        <f t="shared" si="4"/>
        <v>7424579</v>
      </c>
      <c r="H37" s="50">
        <f t="shared" si="4"/>
        <v>18686251</v>
      </c>
      <c r="I37" s="50">
        <f t="shared" si="4"/>
        <v>7728424</v>
      </c>
      <c r="J37" s="50">
        <f t="shared" si="4"/>
        <v>3190778</v>
      </c>
      <c r="K37" s="51">
        <f t="shared" si="4"/>
        <v>68285939</v>
      </c>
      <c r="L37" s="86"/>
      <c r="M37" s="83"/>
    </row>
    <row r="38" spans="1:13" s="17" customFormat="1" ht="31.5">
      <c r="A38" s="25">
        <v>1050101</v>
      </c>
      <c r="B38" s="26" t="s">
        <v>14</v>
      </c>
      <c r="C38" s="62">
        <f>596178-166575</f>
        <v>429603</v>
      </c>
      <c r="D38" s="62">
        <v>0</v>
      </c>
      <c r="E38" s="62">
        <f>1046989-292534</f>
        <v>754455</v>
      </c>
      <c r="F38" s="62">
        <f>8208115-2293390</f>
        <v>5914725</v>
      </c>
      <c r="G38" s="62">
        <f>7060597-1972768</f>
        <v>5087829</v>
      </c>
      <c r="H38" s="62">
        <f>14300125-3995530</f>
        <v>10304595</v>
      </c>
      <c r="I38" s="62">
        <f>7159171-2000310</f>
        <v>5158861</v>
      </c>
      <c r="J38" s="62">
        <f>2588003-723102</f>
        <v>1864901</v>
      </c>
      <c r="K38" s="61">
        <f aca="true" t="shared" si="5" ref="K38:K44">SUM(C38+D38+E38+F38+G38+H38+I38+J38)</f>
        <v>29514969</v>
      </c>
      <c r="L38" s="86"/>
      <c r="M38" s="83"/>
    </row>
    <row r="39" spans="1:13" s="17" customFormat="1" ht="31.5">
      <c r="A39" s="25">
        <v>1050102</v>
      </c>
      <c r="B39" s="26" t="s">
        <v>15</v>
      </c>
      <c r="C39" s="62">
        <f>10361623-1152113</f>
        <v>9209510</v>
      </c>
      <c r="D39" s="62">
        <f>103392-11496</f>
        <v>91896</v>
      </c>
      <c r="E39" s="62">
        <f>7426933-825804</f>
        <v>6601129</v>
      </c>
      <c r="F39" s="62">
        <f>8352745-928745</f>
        <v>7424000</v>
      </c>
      <c r="G39" s="62">
        <f>2371582-263697</f>
        <v>2107885</v>
      </c>
      <c r="H39" s="62">
        <f>8536183-949141</f>
        <v>7587042</v>
      </c>
      <c r="I39" s="62">
        <f>2405021-267415</f>
        <v>2137606</v>
      </c>
      <c r="J39" s="62">
        <f>911847-101389</f>
        <v>810458</v>
      </c>
      <c r="K39" s="61">
        <f t="shared" si="5"/>
        <v>35969526</v>
      </c>
      <c r="L39" s="86"/>
      <c r="M39" s="83"/>
    </row>
    <row r="40" spans="1:13" s="17" customFormat="1" ht="15.75">
      <c r="A40" s="25">
        <v>1050103</v>
      </c>
      <c r="B40" s="26" t="s">
        <v>16</v>
      </c>
      <c r="C40" s="60">
        <v>110987</v>
      </c>
      <c r="D40" s="60">
        <v>2508</v>
      </c>
      <c r="E40" s="60">
        <v>146047</v>
      </c>
      <c r="F40" s="60">
        <v>571047</v>
      </c>
      <c r="G40" s="60">
        <v>228865</v>
      </c>
      <c r="H40" s="60">
        <v>794614</v>
      </c>
      <c r="I40" s="60">
        <v>431957</v>
      </c>
      <c r="J40" s="60">
        <v>515419</v>
      </c>
      <c r="K40" s="61">
        <f t="shared" si="5"/>
        <v>2801444</v>
      </c>
      <c r="L40" s="86"/>
      <c r="M40" s="83"/>
    </row>
    <row r="41" spans="1:13" s="17" customFormat="1" ht="47.25">
      <c r="A41" s="6">
        <v>1050200</v>
      </c>
      <c r="B41" s="27" t="s">
        <v>41</v>
      </c>
      <c r="C41" s="49">
        <v>7051533</v>
      </c>
      <c r="D41" s="49">
        <v>3286902</v>
      </c>
      <c r="E41" s="49">
        <v>1682700</v>
      </c>
      <c r="F41" s="49">
        <v>1483527</v>
      </c>
      <c r="G41" s="49">
        <v>13914</v>
      </c>
      <c r="H41" s="49">
        <v>295504</v>
      </c>
      <c r="I41" s="49">
        <v>96005</v>
      </c>
      <c r="J41" s="49">
        <v>604887</v>
      </c>
      <c r="K41" s="59">
        <f t="shared" si="5"/>
        <v>14514972</v>
      </c>
      <c r="L41" s="86"/>
      <c r="M41" s="83"/>
    </row>
    <row r="42" spans="1:13" s="17" customFormat="1" ht="63">
      <c r="A42" s="6">
        <v>1050400</v>
      </c>
      <c r="B42" s="27" t="s">
        <v>66</v>
      </c>
      <c r="C42" s="49">
        <v>0</v>
      </c>
      <c r="D42" s="49">
        <v>0</v>
      </c>
      <c r="E42" s="49">
        <v>224854</v>
      </c>
      <c r="F42" s="49">
        <v>10990697</v>
      </c>
      <c r="G42" s="49">
        <v>775416</v>
      </c>
      <c r="H42" s="49">
        <v>672977</v>
      </c>
      <c r="I42" s="49">
        <v>1929754</v>
      </c>
      <c r="J42" s="49">
        <v>97044</v>
      </c>
      <c r="K42" s="59">
        <f t="shared" si="5"/>
        <v>14690742</v>
      </c>
      <c r="L42" s="86"/>
      <c r="M42" s="83"/>
    </row>
    <row r="43" spans="1:13" s="17" customFormat="1" ht="31.5">
      <c r="A43" s="6">
        <v>1051100</v>
      </c>
      <c r="B43" s="27" t="s">
        <v>40</v>
      </c>
      <c r="C43" s="49">
        <f>1133040-667881</f>
        <v>465159</v>
      </c>
      <c r="D43" s="49">
        <v>0</v>
      </c>
      <c r="E43" s="49">
        <f>227355-134016</f>
        <v>93339</v>
      </c>
      <c r="F43" s="49">
        <f>3890059+663807-2684318</f>
        <v>1869548</v>
      </c>
      <c r="G43" s="49">
        <f>164776-97129</f>
        <v>67647</v>
      </c>
      <c r="H43" s="49">
        <f>2655965+106823-1628550</f>
        <v>1134238</v>
      </c>
      <c r="I43" s="49">
        <f>4382436+830632-3072890</f>
        <v>2140178</v>
      </c>
      <c r="J43" s="49">
        <f>1371037+213030-933743</f>
        <v>650324</v>
      </c>
      <c r="K43" s="59">
        <f t="shared" si="5"/>
        <v>6420433</v>
      </c>
      <c r="L43" s="86"/>
      <c r="M43" s="83"/>
    </row>
    <row r="44" spans="1:13" s="17" customFormat="1" ht="31.5">
      <c r="A44" s="6">
        <v>1051200</v>
      </c>
      <c r="B44" s="27" t="s">
        <v>3</v>
      </c>
      <c r="C44" s="49">
        <v>0</v>
      </c>
      <c r="D44" s="49">
        <v>0</v>
      </c>
      <c r="E44" s="49">
        <f>75344-8634</f>
        <v>66710</v>
      </c>
      <c r="F44" s="49">
        <f>7147797-819086</f>
        <v>6328711</v>
      </c>
      <c r="G44" s="49">
        <f>361291-41401</f>
        <v>319890</v>
      </c>
      <c r="H44" s="49">
        <f>1277204-146358</f>
        <v>1130846</v>
      </c>
      <c r="I44" s="49">
        <f>695208-79666</f>
        <v>615542</v>
      </c>
      <c r="J44" s="49">
        <f>59471-6815</f>
        <v>52656</v>
      </c>
      <c r="K44" s="59">
        <f t="shared" si="5"/>
        <v>8514355</v>
      </c>
      <c r="L44" s="86"/>
      <c r="M44" s="83"/>
    </row>
    <row r="45" spans="1:13" s="17" customFormat="1" ht="15.75">
      <c r="A45" s="25"/>
      <c r="B45" s="26"/>
      <c r="C45" s="49"/>
      <c r="D45" s="60"/>
      <c r="E45" s="60"/>
      <c r="F45" s="60"/>
      <c r="G45" s="60"/>
      <c r="H45" s="60"/>
      <c r="I45" s="60"/>
      <c r="J45" s="60"/>
      <c r="K45" s="59"/>
      <c r="L45" s="86"/>
      <c r="M45" s="83"/>
    </row>
    <row r="46" spans="1:13" s="17" customFormat="1" ht="31.5">
      <c r="A46" s="6">
        <v>1060000</v>
      </c>
      <c r="B46" s="27" t="s">
        <v>17</v>
      </c>
      <c r="C46" s="49">
        <f>SUM(C47)</f>
        <v>63248102</v>
      </c>
      <c r="D46" s="49">
        <f aca="true" t="shared" si="6" ref="D46:J46">SUM(D47)</f>
        <v>0</v>
      </c>
      <c r="E46" s="49">
        <f t="shared" si="6"/>
        <v>6660298</v>
      </c>
      <c r="F46" s="49">
        <f t="shared" si="6"/>
        <v>1151328</v>
      </c>
      <c r="G46" s="49">
        <f t="shared" si="6"/>
        <v>529030</v>
      </c>
      <c r="H46" s="49">
        <f t="shared" si="6"/>
        <v>997713</v>
      </c>
      <c r="I46" s="49">
        <f t="shared" si="6"/>
        <v>0</v>
      </c>
      <c r="J46" s="49">
        <f t="shared" si="6"/>
        <v>347049</v>
      </c>
      <c r="K46" s="51">
        <f>SUM(C46:J46)</f>
        <v>72933520</v>
      </c>
      <c r="L46" s="86"/>
      <c r="M46" s="83"/>
    </row>
    <row r="47" spans="1:13" s="17" customFormat="1" ht="15.75">
      <c r="A47" s="6">
        <v>1060100</v>
      </c>
      <c r="B47" s="27" t="s">
        <v>18</v>
      </c>
      <c r="C47" s="49">
        <f>SUM(C48:C49)</f>
        <v>63248102</v>
      </c>
      <c r="D47" s="49">
        <f aca="true" t="shared" si="7" ref="D47:K47">SUM(D48:D49)</f>
        <v>0</v>
      </c>
      <c r="E47" s="49">
        <f t="shared" si="7"/>
        <v>6660298</v>
      </c>
      <c r="F47" s="49">
        <f t="shared" si="7"/>
        <v>1151328</v>
      </c>
      <c r="G47" s="49">
        <f t="shared" si="7"/>
        <v>529030</v>
      </c>
      <c r="H47" s="49">
        <f t="shared" si="7"/>
        <v>997713</v>
      </c>
      <c r="I47" s="49">
        <f t="shared" si="7"/>
        <v>0</v>
      </c>
      <c r="J47" s="49">
        <f t="shared" si="7"/>
        <v>347049</v>
      </c>
      <c r="K47" s="51">
        <f t="shared" si="7"/>
        <v>72933520</v>
      </c>
      <c r="L47" s="86"/>
      <c r="M47" s="83"/>
    </row>
    <row r="48" spans="1:13" s="17" customFormat="1" ht="15.75">
      <c r="A48" s="25">
        <v>1060101</v>
      </c>
      <c r="B48" s="26" t="s">
        <v>19</v>
      </c>
      <c r="C48" s="60">
        <f>59276867-369385-12370228-10501319+1244504</f>
        <v>37280439</v>
      </c>
      <c r="D48" s="60">
        <v>0</v>
      </c>
      <c r="E48" s="60">
        <f>10590047-65992-2209990-1876103+222336</f>
        <v>6660298</v>
      </c>
      <c r="F48" s="60">
        <f>1830642-11408-382029-324311+38434</f>
        <v>1151328</v>
      </c>
      <c r="G48" s="60">
        <f>841172-5242-175540-149020+17660</f>
        <v>529030</v>
      </c>
      <c r="H48" s="60">
        <f>1586390-9886-331057-281039+33305</f>
        <v>997713</v>
      </c>
      <c r="I48" s="60">
        <v>0</v>
      </c>
      <c r="J48" s="60">
        <f>551816-3438-115156-97758+11585</f>
        <v>347049</v>
      </c>
      <c r="K48" s="61">
        <f>SUM(C48+D48+E48+F48+G48+H48+I48+J48)</f>
        <v>46965857</v>
      </c>
      <c r="L48" s="86"/>
      <c r="M48" s="83"/>
    </row>
    <row r="49" spans="1:13" s="17" customFormat="1" ht="15.75">
      <c r="A49" s="25">
        <v>1060102</v>
      </c>
      <c r="B49" s="26" t="s">
        <v>20</v>
      </c>
      <c r="C49" s="60">
        <f>14651798+1774226+26790813-17249174</f>
        <v>25967663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1">
        <f>SUM(C49+D49+E49+F49+G49+H49+I49+J49)</f>
        <v>25967663</v>
      </c>
      <c r="L49" s="86"/>
      <c r="M49" s="83"/>
    </row>
    <row r="50" spans="1:13" s="17" customFormat="1" ht="15.75">
      <c r="A50" s="6"/>
      <c r="B50" s="27"/>
      <c r="C50" s="49"/>
      <c r="D50" s="60"/>
      <c r="E50" s="60"/>
      <c r="F50" s="60"/>
      <c r="G50" s="60"/>
      <c r="H50" s="60"/>
      <c r="I50" s="60"/>
      <c r="J50" s="60"/>
      <c r="K50" s="59"/>
      <c r="L50" s="86"/>
      <c r="M50" s="83"/>
    </row>
    <row r="51" spans="1:13" s="17" customFormat="1" ht="15.75">
      <c r="A51" s="6">
        <v>1400000</v>
      </c>
      <c r="B51" s="27" t="s">
        <v>21</v>
      </c>
      <c r="C51" s="49">
        <f>SUM(C52:C54)</f>
        <v>31059115</v>
      </c>
      <c r="D51" s="49">
        <f aca="true" t="shared" si="8" ref="D51:I51">SUM(D52:D54)</f>
        <v>5764854</v>
      </c>
      <c r="E51" s="49">
        <f t="shared" si="8"/>
        <v>13240831</v>
      </c>
      <c r="F51" s="49">
        <f t="shared" si="8"/>
        <v>9720190</v>
      </c>
      <c r="G51" s="49">
        <f t="shared" si="8"/>
        <v>6302388</v>
      </c>
      <c r="H51" s="49">
        <f t="shared" si="8"/>
        <v>9567529</v>
      </c>
      <c r="I51" s="49">
        <f t="shared" si="8"/>
        <v>3844789</v>
      </c>
      <c r="J51" s="52">
        <f>SUM(J52:J54)</f>
        <v>2986419</v>
      </c>
      <c r="K51" s="51">
        <f>SUM(K52:K54)</f>
        <v>82486115</v>
      </c>
      <c r="L51" s="86"/>
      <c r="M51" s="83"/>
    </row>
    <row r="52" spans="1:13" s="17" customFormat="1" ht="15.75">
      <c r="A52" s="25">
        <v>1400100</v>
      </c>
      <c r="B52" s="26" t="s">
        <v>42</v>
      </c>
      <c r="C52" s="60">
        <f>12290038-461543</f>
        <v>11828495</v>
      </c>
      <c r="D52" s="60">
        <f>293896-11039</f>
        <v>282857</v>
      </c>
      <c r="E52" s="60">
        <f>5077601-190685</f>
        <v>4886916</v>
      </c>
      <c r="F52" s="60">
        <f>4540829-170527</f>
        <v>4370302</v>
      </c>
      <c r="G52" s="60">
        <f>3341792-125499</f>
        <v>3216293</v>
      </c>
      <c r="H52" s="60">
        <f>3313855-124449</f>
        <v>3189406</v>
      </c>
      <c r="I52" s="60">
        <f>1198939-45024</f>
        <v>1153915</v>
      </c>
      <c r="J52" s="53">
        <f>1113638-41822</f>
        <v>1071816</v>
      </c>
      <c r="K52" s="61">
        <f>SUM(C52+D52+E52+F52+G52+H52+I52+J52)</f>
        <v>30000000</v>
      </c>
      <c r="L52" s="86"/>
      <c r="M52" s="83"/>
    </row>
    <row r="53" spans="1:13" s="17" customFormat="1" ht="15.75">
      <c r="A53" s="25">
        <v>1400400</v>
      </c>
      <c r="B53" s="26" t="s">
        <v>22</v>
      </c>
      <c r="C53" s="60">
        <f>20196053-965433</f>
        <v>19230620</v>
      </c>
      <c r="D53" s="60">
        <f>5830981-348984</f>
        <v>5481997</v>
      </c>
      <c r="E53" s="60">
        <f>8787147-433232</f>
        <v>8353915</v>
      </c>
      <c r="F53" s="60">
        <f>6824926-1206017-269021</f>
        <v>5349888</v>
      </c>
      <c r="G53" s="60">
        <f>3211929-125834</f>
        <v>3086095</v>
      </c>
      <c r="H53" s="60">
        <f>6610567-232444</f>
        <v>6378123</v>
      </c>
      <c r="I53" s="60">
        <f>2778150-87276</f>
        <v>2690874</v>
      </c>
      <c r="J53" s="53">
        <f>1975382-60779</f>
        <v>1914603</v>
      </c>
      <c r="K53" s="61">
        <f>SUM(C53+D53+E53+F53+G53+H53+I53+J53)</f>
        <v>52486115</v>
      </c>
      <c r="L53" s="86"/>
      <c r="M53" s="83"/>
    </row>
    <row r="54" spans="1:13" s="17" customFormat="1" ht="15.75">
      <c r="A54" s="25">
        <v>1400500</v>
      </c>
      <c r="B54" s="26" t="s">
        <v>50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54">
        <v>0</v>
      </c>
      <c r="K54" s="61">
        <f>SUM(C54+D54+E54+F54+G54+H54+I54+J54)</f>
        <v>0</v>
      </c>
      <c r="L54" s="86"/>
      <c r="M54" s="83"/>
    </row>
    <row r="55" spans="1:13" s="17" customFormat="1" ht="16.5" thickBot="1">
      <c r="A55" s="41"/>
      <c r="B55" s="42"/>
      <c r="C55" s="64"/>
      <c r="D55" s="65"/>
      <c r="E55" s="65"/>
      <c r="F55" s="65"/>
      <c r="G55" s="65"/>
      <c r="H55" s="65"/>
      <c r="I55" s="65"/>
      <c r="J55" s="65"/>
      <c r="K55" s="66"/>
      <c r="L55" s="86"/>
      <c r="M55" s="83"/>
    </row>
    <row r="56" spans="1:13" s="17" customFormat="1" ht="16.5" thickBot="1">
      <c r="A56" s="21">
        <v>2000000</v>
      </c>
      <c r="B56" s="22" t="s">
        <v>32</v>
      </c>
      <c r="C56" s="67">
        <f>C57+C65+C68+C70+C72+C74</f>
        <v>62692585</v>
      </c>
      <c r="D56" s="67">
        <f aca="true" t="shared" si="9" ref="D56:I56">D57+D65+D68+D70+D72+D74</f>
        <v>308438</v>
      </c>
      <c r="E56" s="67">
        <f t="shared" si="9"/>
        <v>12931429</v>
      </c>
      <c r="F56" s="67">
        <f t="shared" si="9"/>
        <v>7253419</v>
      </c>
      <c r="G56" s="67">
        <f t="shared" si="9"/>
        <v>3555507</v>
      </c>
      <c r="H56" s="67">
        <f t="shared" si="9"/>
        <v>3587024</v>
      </c>
      <c r="I56" s="67">
        <f t="shared" si="9"/>
        <v>5974631</v>
      </c>
      <c r="J56" s="67">
        <f>J57+J65+J68+J70+J72+J74</f>
        <v>3991940</v>
      </c>
      <c r="K56" s="68">
        <f>K57+K65+K68+K70+K72+K74</f>
        <v>100294973</v>
      </c>
      <c r="L56" s="86"/>
      <c r="M56" s="83"/>
    </row>
    <row r="57" spans="1:13" s="17" customFormat="1" ht="47.25">
      <c r="A57" s="23">
        <v>2010000</v>
      </c>
      <c r="B57" s="24" t="s">
        <v>0</v>
      </c>
      <c r="C57" s="69">
        <v>24616726</v>
      </c>
      <c r="D57" s="69">
        <v>121748</v>
      </c>
      <c r="E57" s="69">
        <v>4899514</v>
      </c>
      <c r="F57" s="69">
        <v>2156323</v>
      </c>
      <c r="G57" s="69">
        <v>943986</v>
      </c>
      <c r="H57" s="69">
        <v>1408931</v>
      </c>
      <c r="I57" s="69">
        <v>4593741</v>
      </c>
      <c r="J57" s="69">
        <v>2875563</v>
      </c>
      <c r="K57" s="59">
        <f>SUM(C57+D57+E57+F57+G57+H57+I57+J57)</f>
        <v>41616532</v>
      </c>
      <c r="L57" s="86"/>
      <c r="M57" s="83"/>
    </row>
    <row r="58" spans="1:13" s="17" customFormat="1" ht="47.25">
      <c r="A58" s="6">
        <v>2010200</v>
      </c>
      <c r="B58" s="27" t="s">
        <v>60</v>
      </c>
      <c r="C58" s="69">
        <v>3748248</v>
      </c>
      <c r="D58" s="69">
        <v>113046</v>
      </c>
      <c r="E58" s="69">
        <v>2596414</v>
      </c>
      <c r="F58" s="69">
        <v>1027971</v>
      </c>
      <c r="G58" s="69">
        <v>293888</v>
      </c>
      <c r="H58" s="69">
        <v>742191</v>
      </c>
      <c r="I58" s="69">
        <v>626073</v>
      </c>
      <c r="J58" s="69">
        <v>411963</v>
      </c>
      <c r="K58" s="59">
        <f aca="true" t="shared" si="10" ref="K58:K63">SUM(C58+D58+E58+F58+G58+H58+I58+J58)</f>
        <v>9559794</v>
      </c>
      <c r="L58" s="86"/>
      <c r="M58" s="83"/>
    </row>
    <row r="59" spans="1:13" s="17" customFormat="1" ht="31.5">
      <c r="A59" s="6">
        <v>2010300</v>
      </c>
      <c r="B59" s="27" t="s">
        <v>61</v>
      </c>
      <c r="C59" s="69">
        <v>5245257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59">
        <f t="shared" si="10"/>
        <v>5245257</v>
      </c>
      <c r="L59" s="86"/>
      <c r="M59" s="83"/>
    </row>
    <row r="60" spans="1:13" s="17" customFormat="1" ht="31.5">
      <c r="A60" s="6">
        <v>2010400</v>
      </c>
      <c r="B60" s="27" t="s">
        <v>68</v>
      </c>
      <c r="C60" s="69">
        <v>529132</v>
      </c>
      <c r="D60" s="69">
        <v>0</v>
      </c>
      <c r="E60" s="69">
        <v>418330</v>
      </c>
      <c r="F60" s="69">
        <v>934034</v>
      </c>
      <c r="G60" s="69">
        <v>337334</v>
      </c>
      <c r="H60" s="69">
        <v>548745</v>
      </c>
      <c r="I60" s="69">
        <v>3854494</v>
      </c>
      <c r="J60" s="69">
        <v>2093364</v>
      </c>
      <c r="K60" s="59">
        <f t="shared" si="10"/>
        <v>8715433</v>
      </c>
      <c r="L60" s="86"/>
      <c r="M60" s="83"/>
    </row>
    <row r="61" spans="1:13" s="17" customFormat="1" ht="31.5">
      <c r="A61" s="6">
        <v>2010500</v>
      </c>
      <c r="B61" s="27" t="s">
        <v>69</v>
      </c>
      <c r="C61" s="69">
        <v>24675</v>
      </c>
      <c r="D61" s="69">
        <v>0</v>
      </c>
      <c r="E61" s="69">
        <v>14565</v>
      </c>
      <c r="F61" s="69">
        <v>16730</v>
      </c>
      <c r="G61" s="69">
        <v>8034</v>
      </c>
      <c r="H61" s="69">
        <v>8394</v>
      </c>
      <c r="I61" s="69">
        <v>47610</v>
      </c>
      <c r="J61" s="69">
        <v>20766</v>
      </c>
      <c r="K61" s="59">
        <f t="shared" si="10"/>
        <v>140774</v>
      </c>
      <c r="L61" s="86"/>
      <c r="M61" s="83"/>
    </row>
    <row r="62" spans="1:13" s="17" customFormat="1" ht="31.5">
      <c r="A62" s="6">
        <v>2010900</v>
      </c>
      <c r="B62" s="27" t="s">
        <v>23</v>
      </c>
      <c r="C62" s="69">
        <v>4143896</v>
      </c>
      <c r="D62" s="69">
        <v>8702</v>
      </c>
      <c r="E62" s="69">
        <v>1788818</v>
      </c>
      <c r="F62" s="69">
        <v>109410</v>
      </c>
      <c r="G62" s="69">
        <v>233695</v>
      </c>
      <c r="H62" s="69">
        <v>86437</v>
      </c>
      <c r="I62" s="69">
        <v>64020</v>
      </c>
      <c r="J62" s="69">
        <v>343264</v>
      </c>
      <c r="K62" s="59">
        <f t="shared" si="10"/>
        <v>6778242</v>
      </c>
      <c r="L62" s="86"/>
      <c r="M62" s="83"/>
    </row>
    <row r="63" spans="1:13" s="17" customFormat="1" ht="31.5">
      <c r="A63" s="6">
        <v>2011000</v>
      </c>
      <c r="B63" s="27" t="s">
        <v>24</v>
      </c>
      <c r="C63" s="49">
        <v>10000000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59">
        <f t="shared" si="10"/>
        <v>10000000</v>
      </c>
      <c r="L63" s="86"/>
      <c r="M63" s="83"/>
    </row>
    <row r="64" spans="1:13" s="17" customFormat="1" ht="15.75">
      <c r="A64" s="6"/>
      <c r="B64" s="27"/>
      <c r="C64" s="49"/>
      <c r="D64" s="49"/>
      <c r="E64" s="49"/>
      <c r="F64" s="49">
        <v>0</v>
      </c>
      <c r="G64" s="49"/>
      <c r="H64" s="49"/>
      <c r="I64" s="49"/>
      <c r="J64" s="49"/>
      <c r="K64" s="59"/>
      <c r="L64" s="86"/>
      <c r="M64" s="83"/>
    </row>
    <row r="65" spans="1:13" s="17" customFormat="1" ht="47.25">
      <c r="A65" s="6">
        <v>2020000</v>
      </c>
      <c r="B65" s="27" t="s">
        <v>1</v>
      </c>
      <c r="C65" s="49">
        <f>4294675+16873262+1160000+88693</f>
        <v>22416630</v>
      </c>
      <c r="D65" s="49">
        <v>84542</v>
      </c>
      <c r="E65" s="49">
        <v>743634</v>
      </c>
      <c r="F65" s="49">
        <v>1623089</v>
      </c>
      <c r="G65" s="49">
        <v>186505</v>
      </c>
      <c r="H65" s="49">
        <v>118838</v>
      </c>
      <c r="I65" s="49">
        <v>80826</v>
      </c>
      <c r="J65" s="49">
        <v>89611</v>
      </c>
      <c r="K65" s="59">
        <f>SUM(C65+D65+E65+F65+G65+H65+I65+J65)</f>
        <v>25343675</v>
      </c>
      <c r="L65" s="86"/>
      <c r="M65" s="83"/>
    </row>
    <row r="66" spans="1:13" s="17" customFormat="1" ht="47.25">
      <c r="A66" s="25">
        <v>2020100</v>
      </c>
      <c r="B66" s="26" t="s">
        <v>2</v>
      </c>
      <c r="C66" s="60">
        <f>2250000+1160000+88693</f>
        <v>3498693</v>
      </c>
      <c r="D66" s="60">
        <v>69896</v>
      </c>
      <c r="E66" s="60">
        <v>500000</v>
      </c>
      <c r="F66" s="60">
        <v>1500000</v>
      </c>
      <c r="G66" s="60">
        <v>77000</v>
      </c>
      <c r="H66" s="60">
        <v>50000</v>
      </c>
      <c r="I66" s="60">
        <v>12000</v>
      </c>
      <c r="J66" s="60">
        <v>82997</v>
      </c>
      <c r="K66" s="61">
        <f>SUM(C66+D66+E66+F66+G66+H66+I66+J66)</f>
        <v>5790586</v>
      </c>
      <c r="L66" s="86"/>
      <c r="M66" s="83"/>
    </row>
    <row r="67" spans="1:13" s="17" customFormat="1" ht="15.75">
      <c r="A67" s="25"/>
      <c r="B67" s="26"/>
      <c r="C67" s="49"/>
      <c r="D67" s="60"/>
      <c r="E67" s="60"/>
      <c r="F67" s="60"/>
      <c r="G67" s="60"/>
      <c r="H67" s="60"/>
      <c r="I67" s="60"/>
      <c r="J67" s="60"/>
      <c r="K67" s="59"/>
      <c r="L67" s="86"/>
      <c r="M67" s="83"/>
    </row>
    <row r="68" spans="1:13" s="17" customFormat="1" ht="15.75">
      <c r="A68" s="6">
        <v>2060000</v>
      </c>
      <c r="B68" s="27" t="s">
        <v>25</v>
      </c>
      <c r="C68" s="49">
        <v>3439610</v>
      </c>
      <c r="D68" s="49">
        <v>44212</v>
      </c>
      <c r="E68" s="49">
        <v>832442</v>
      </c>
      <c r="F68" s="49">
        <v>684356</v>
      </c>
      <c r="G68" s="49">
        <v>470660</v>
      </c>
      <c r="H68" s="49">
        <v>528100</v>
      </c>
      <c r="I68" s="49">
        <v>240943</v>
      </c>
      <c r="J68" s="49">
        <v>222913</v>
      </c>
      <c r="K68" s="59">
        <f>SUM(C68+D68+E68+F68+G68+H68+I68+J68)</f>
        <v>6463236</v>
      </c>
      <c r="L68" s="86"/>
      <c r="M68" s="83"/>
    </row>
    <row r="69" spans="1:13" s="17" customFormat="1" ht="15.75">
      <c r="A69" s="25"/>
      <c r="B69" s="26"/>
      <c r="C69" s="49"/>
      <c r="D69" s="60"/>
      <c r="E69" s="60"/>
      <c r="F69" s="60">
        <v>0</v>
      </c>
      <c r="G69" s="60"/>
      <c r="H69" s="60"/>
      <c r="I69" s="60">
        <v>0</v>
      </c>
      <c r="J69" s="60"/>
      <c r="K69" s="59"/>
      <c r="L69" s="86"/>
      <c r="M69" s="83"/>
    </row>
    <row r="70" spans="1:13" s="17" customFormat="1" ht="15.75">
      <c r="A70" s="6">
        <v>2070000</v>
      </c>
      <c r="B70" s="27" t="s">
        <v>26</v>
      </c>
      <c r="C70" s="49">
        <v>11803428</v>
      </c>
      <c r="D70" s="49">
        <v>57936</v>
      </c>
      <c r="E70" s="49">
        <v>5713294</v>
      </c>
      <c r="F70" s="49">
        <v>2577792</v>
      </c>
      <c r="G70" s="49">
        <v>1626958</v>
      </c>
      <c r="H70" s="49">
        <v>1531155</v>
      </c>
      <c r="I70" s="49">
        <v>1059121</v>
      </c>
      <c r="J70" s="49">
        <v>696801</v>
      </c>
      <c r="K70" s="59">
        <f>SUM(C70+D70+E70+F70+G70+H70+I70+J70)</f>
        <v>25066485</v>
      </c>
      <c r="L70" s="86"/>
      <c r="M70" s="83"/>
    </row>
    <row r="71" spans="1:13" s="17" customFormat="1" ht="15.75">
      <c r="A71" s="25"/>
      <c r="B71" s="26"/>
      <c r="C71" s="49"/>
      <c r="D71" s="60"/>
      <c r="E71" s="60"/>
      <c r="F71" s="60"/>
      <c r="G71" s="60"/>
      <c r="H71" s="60"/>
      <c r="I71" s="60"/>
      <c r="J71" s="60"/>
      <c r="K71" s="59"/>
      <c r="L71" s="86"/>
      <c r="M71" s="83"/>
    </row>
    <row r="72" spans="1:13" s="17" customFormat="1" ht="31.5">
      <c r="A72" s="6">
        <v>2080000</v>
      </c>
      <c r="B72" s="27" t="s">
        <v>27</v>
      </c>
      <c r="C72" s="49">
        <v>416191</v>
      </c>
      <c r="D72" s="49">
        <v>0</v>
      </c>
      <c r="E72" s="49">
        <v>742545</v>
      </c>
      <c r="F72" s="49">
        <v>211859</v>
      </c>
      <c r="G72" s="49">
        <v>327398</v>
      </c>
      <c r="H72" s="49">
        <v>0</v>
      </c>
      <c r="I72" s="49">
        <v>0</v>
      </c>
      <c r="J72" s="49">
        <v>107052</v>
      </c>
      <c r="K72" s="59">
        <f>SUM(C72+D72+E72+F72+G72+H72+I72+J72)</f>
        <v>1805045</v>
      </c>
      <c r="L72" s="86"/>
      <c r="M72" s="83"/>
    </row>
    <row r="73" spans="1:13" s="17" customFormat="1" ht="15.75">
      <c r="A73" s="25"/>
      <c r="B73" s="26"/>
      <c r="C73" s="49"/>
      <c r="D73" s="60"/>
      <c r="E73" s="60"/>
      <c r="F73" s="60"/>
      <c r="G73" s="60"/>
      <c r="H73" s="60"/>
      <c r="I73" s="60"/>
      <c r="J73" s="60"/>
      <c r="K73" s="59"/>
      <c r="L73" s="86"/>
      <c r="M73" s="83"/>
    </row>
    <row r="74" spans="1:13" s="17" customFormat="1" ht="15.75">
      <c r="A74" s="6">
        <v>2090000</v>
      </c>
      <c r="B74" s="27" t="s">
        <v>28</v>
      </c>
      <c r="C74" s="49"/>
      <c r="D74" s="49"/>
      <c r="E74" s="49"/>
      <c r="F74" s="49"/>
      <c r="G74" s="49"/>
      <c r="H74" s="49"/>
      <c r="I74" s="49"/>
      <c r="J74" s="49"/>
      <c r="K74" s="59">
        <f>SUM(C74+D74+E74+F74+G74+H74+I74+J74)</f>
        <v>0</v>
      </c>
      <c r="L74" s="86"/>
      <c r="M74" s="83"/>
    </row>
    <row r="75" spans="1:13" s="17" customFormat="1" ht="16.5" thickBot="1">
      <c r="A75" s="28"/>
      <c r="B75" s="29"/>
      <c r="C75" s="64"/>
      <c r="D75" s="64"/>
      <c r="E75" s="64"/>
      <c r="F75" s="64"/>
      <c r="G75" s="64"/>
      <c r="H75" s="64"/>
      <c r="I75" s="64"/>
      <c r="J75" s="64"/>
      <c r="K75" s="70"/>
      <c r="L75" s="86"/>
      <c r="M75" s="83"/>
    </row>
    <row r="76" spans="1:13" s="17" customFormat="1" ht="16.5" thickBot="1">
      <c r="A76" s="43">
        <v>3000000</v>
      </c>
      <c r="B76" s="44" t="s">
        <v>75</v>
      </c>
      <c r="C76" s="68">
        <f>SUM(C77:C79)</f>
        <v>28296177</v>
      </c>
      <c r="D76" s="68">
        <f aca="true" t="shared" si="11" ref="D76:J76">SUM(D77:D79)</f>
        <v>0</v>
      </c>
      <c r="E76" s="68">
        <f t="shared" si="11"/>
        <v>0</v>
      </c>
      <c r="F76" s="68">
        <f t="shared" si="11"/>
        <v>0</v>
      </c>
      <c r="G76" s="68">
        <f t="shared" si="11"/>
        <v>0</v>
      </c>
      <c r="H76" s="68">
        <f t="shared" si="11"/>
        <v>0</v>
      </c>
      <c r="I76" s="68">
        <f t="shared" si="11"/>
        <v>0</v>
      </c>
      <c r="J76" s="68">
        <f t="shared" si="11"/>
        <v>0</v>
      </c>
      <c r="K76" s="57">
        <f>SUM(C76:J76)</f>
        <v>28296177</v>
      </c>
      <c r="L76" s="86"/>
      <c r="M76" s="83"/>
    </row>
    <row r="77" spans="1:13" s="17" customFormat="1" ht="18" customHeight="1">
      <c r="A77" s="45">
        <v>3010000</v>
      </c>
      <c r="B77" s="46" t="s">
        <v>76</v>
      </c>
      <c r="C77" s="71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f>SUM(C77:J77)</f>
        <v>0</v>
      </c>
      <c r="L77" s="86"/>
      <c r="M77" s="83"/>
    </row>
    <row r="78" spans="1:13" s="17" customFormat="1" ht="32.25" customHeight="1">
      <c r="A78" s="47" t="s">
        <v>77</v>
      </c>
      <c r="B78" s="48" t="s">
        <v>78</v>
      </c>
      <c r="C78" s="55">
        <f>0+11536817</f>
        <v>11536817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72">
        <f>SUM(C78:J78)</f>
        <v>11536817</v>
      </c>
      <c r="L78" s="86"/>
      <c r="M78" s="83"/>
    </row>
    <row r="79" spans="1:13" s="17" customFormat="1" ht="15.75">
      <c r="A79" s="84">
        <v>3060000</v>
      </c>
      <c r="B79" s="85" t="s">
        <v>84</v>
      </c>
      <c r="C79" s="76">
        <f>0+16759360</f>
        <v>16759360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4">
        <f>SUM(C79:J79)</f>
        <v>16759360</v>
      </c>
      <c r="L79" s="86"/>
      <c r="M79" s="83"/>
    </row>
    <row r="80" spans="1:13" s="17" customFormat="1" ht="16.5" thickBot="1">
      <c r="A80" s="19"/>
      <c r="B80" s="20"/>
      <c r="C80" s="64"/>
      <c r="D80" s="64"/>
      <c r="E80" s="64"/>
      <c r="F80" s="64"/>
      <c r="G80" s="64"/>
      <c r="H80" s="64"/>
      <c r="I80" s="64"/>
      <c r="J80" s="64"/>
      <c r="K80" s="73"/>
      <c r="L80" s="86"/>
      <c r="M80" s="83"/>
    </row>
    <row r="81" spans="1:13" s="17" customFormat="1" ht="16.5" thickBot="1">
      <c r="A81" s="21">
        <v>4000000</v>
      </c>
      <c r="B81" s="22" t="s">
        <v>29</v>
      </c>
      <c r="C81" s="67">
        <f aca="true" t="shared" si="12" ref="C81:J81">SUM(C82+C85+C89+C91+C93+C95+C97+C99)</f>
        <v>507688709</v>
      </c>
      <c r="D81" s="67">
        <f t="shared" si="12"/>
        <v>15765481</v>
      </c>
      <c r="E81" s="67">
        <f t="shared" si="12"/>
        <v>70921122</v>
      </c>
      <c r="F81" s="67">
        <f t="shared" si="12"/>
        <v>34794562</v>
      </c>
      <c r="G81" s="67">
        <f t="shared" si="12"/>
        <v>16118945</v>
      </c>
      <c r="H81" s="67">
        <f t="shared" si="12"/>
        <v>24080869</v>
      </c>
      <c r="I81" s="67">
        <f t="shared" si="12"/>
        <v>11753762</v>
      </c>
      <c r="J81" s="67">
        <f t="shared" si="12"/>
        <v>7118074</v>
      </c>
      <c r="K81" s="68">
        <f>SUM(K82+K85+K89+K93+K91+K95+K97+K99)</f>
        <v>688241524</v>
      </c>
      <c r="L81" s="86"/>
      <c r="M81" s="83"/>
    </row>
    <row r="82" spans="1:13" s="17" customFormat="1" ht="18.75" customHeight="1">
      <c r="A82" s="23">
        <v>4010000</v>
      </c>
      <c r="B82" s="24" t="s">
        <v>30</v>
      </c>
      <c r="C82" s="69">
        <f>143394701-3492857-13399378</f>
        <v>126502466</v>
      </c>
      <c r="D82" s="69">
        <f>11602335-1111237</f>
        <v>10491098</v>
      </c>
      <c r="E82" s="69">
        <f>16280783-1559325</f>
        <v>14721458</v>
      </c>
      <c r="F82" s="69">
        <f>12754927-949142-1130723</f>
        <v>10675062</v>
      </c>
      <c r="G82" s="69">
        <f>7207997-690360</f>
        <v>6517637</v>
      </c>
      <c r="H82" s="69">
        <f>3581692-189405-324903</f>
        <v>3067384</v>
      </c>
      <c r="I82" s="69">
        <f>1153466-110476</f>
        <v>1042990</v>
      </c>
      <c r="J82" s="69">
        <f>1330165-127399</f>
        <v>1202766</v>
      </c>
      <c r="K82" s="59">
        <f>SUM(C82+D82+E82+F82+G82+H82+I82+J82)</f>
        <v>174220861</v>
      </c>
      <c r="L82" s="86"/>
      <c r="M82" s="83"/>
    </row>
    <row r="83" spans="1:13" s="17" customFormat="1" ht="31.5">
      <c r="A83" s="25">
        <v>4010104</v>
      </c>
      <c r="B83" s="26" t="s">
        <v>44</v>
      </c>
      <c r="C83" s="62">
        <f>48703426-2944060</f>
        <v>45759366</v>
      </c>
      <c r="D83" s="62">
        <f>11294517-682738</f>
        <v>10611779</v>
      </c>
      <c r="E83" s="62">
        <f>8322603-503091</f>
        <v>7819512</v>
      </c>
      <c r="F83" s="62">
        <f>3596601-949142-160036</f>
        <v>2487423</v>
      </c>
      <c r="G83" s="62">
        <f>1315474-79519</f>
        <v>1235955</v>
      </c>
      <c r="H83" s="62">
        <f>2335075-141152</f>
        <v>2193923</v>
      </c>
      <c r="I83" s="62">
        <f>780744-47195</f>
        <v>733549</v>
      </c>
      <c r="J83" s="62">
        <f>480218-29028</f>
        <v>451190</v>
      </c>
      <c r="K83" s="61">
        <f>SUM(C83+D83+E83+F83+G83+H83+I83+J83)</f>
        <v>71292697</v>
      </c>
      <c r="L83" s="86"/>
      <c r="M83" s="83"/>
    </row>
    <row r="84" spans="1:13" s="17" customFormat="1" ht="15.75">
      <c r="A84" s="25"/>
      <c r="B84" s="26"/>
      <c r="C84" s="49"/>
      <c r="D84" s="60"/>
      <c r="E84" s="60"/>
      <c r="F84" s="60">
        <v>0</v>
      </c>
      <c r="G84" s="60"/>
      <c r="H84" s="60">
        <v>0</v>
      </c>
      <c r="I84" s="60">
        <v>0</v>
      </c>
      <c r="J84" s="60"/>
      <c r="K84" s="59">
        <f>SUM(C84+D84+E84+F84+G84+H84+I84+J84)</f>
        <v>0</v>
      </c>
      <c r="L84" s="86"/>
      <c r="M84" s="83"/>
    </row>
    <row r="85" spans="1:13" s="17" customFormat="1" ht="15.75">
      <c r="A85" s="6">
        <v>4020000</v>
      </c>
      <c r="B85" s="27" t="s">
        <v>4</v>
      </c>
      <c r="C85" s="49">
        <f>SUM(C86:C87)</f>
        <v>6190924</v>
      </c>
      <c r="D85" s="49">
        <f aca="true" t="shared" si="13" ref="D85:K85">SUM(D86:D87)</f>
        <v>2794704</v>
      </c>
      <c r="E85" s="49">
        <f t="shared" si="13"/>
        <v>2263406</v>
      </c>
      <c r="F85" s="49">
        <f t="shared" si="13"/>
        <v>3607856</v>
      </c>
      <c r="G85" s="49">
        <f t="shared" si="13"/>
        <v>844900</v>
      </c>
      <c r="H85" s="49">
        <f t="shared" si="13"/>
        <v>2464103</v>
      </c>
      <c r="I85" s="49">
        <f t="shared" si="13"/>
        <v>800729</v>
      </c>
      <c r="J85" s="49">
        <f t="shared" si="13"/>
        <v>541561</v>
      </c>
      <c r="K85" s="49">
        <f t="shared" si="13"/>
        <v>19508183</v>
      </c>
      <c r="L85" s="86"/>
      <c r="M85" s="83"/>
    </row>
    <row r="86" spans="1:13" s="17" customFormat="1" ht="31.5">
      <c r="A86" s="6">
        <v>4020100</v>
      </c>
      <c r="B86" s="27" t="s">
        <v>35</v>
      </c>
      <c r="C86" s="49">
        <f>2125141-113327</f>
        <v>2011814</v>
      </c>
      <c r="D86" s="49">
        <f>953228-50833</f>
        <v>902395</v>
      </c>
      <c r="E86" s="49">
        <f>668637-35656</f>
        <v>632981</v>
      </c>
      <c r="F86" s="49">
        <f>1195955-63777</f>
        <v>1132178</v>
      </c>
      <c r="G86" s="49">
        <f>317782-16946</f>
        <v>300836</v>
      </c>
      <c r="H86" s="49">
        <f>872781-46543</f>
        <v>826238</v>
      </c>
      <c r="I86" s="49">
        <f>280586-14963</f>
        <v>265623</v>
      </c>
      <c r="J86" s="49">
        <f>164050-8748</f>
        <v>155302</v>
      </c>
      <c r="K86" s="59">
        <f aca="true" t="shared" si="14" ref="K86:K91">SUM(C86+D86+E86+F86+G86+H86+I86+J86)</f>
        <v>6227367</v>
      </c>
      <c r="L86" s="86"/>
      <c r="M86" s="83"/>
    </row>
    <row r="87" spans="1:13" s="17" customFormat="1" ht="31.5">
      <c r="A87" s="6">
        <v>4020200</v>
      </c>
      <c r="B87" s="27" t="s">
        <v>36</v>
      </c>
      <c r="C87" s="50">
        <f>4906923-727813</f>
        <v>4179110</v>
      </c>
      <c r="D87" s="50">
        <f>2221864-329555</f>
        <v>1892309</v>
      </c>
      <c r="E87" s="50">
        <f>1914371-283946</f>
        <v>1630425</v>
      </c>
      <c r="F87" s="74">
        <f>2906829-431151</f>
        <v>2475678</v>
      </c>
      <c r="G87" s="75">
        <f>638816-94752</f>
        <v>544064</v>
      </c>
      <c r="H87" s="75">
        <f>1923107-285242</f>
        <v>1637865</v>
      </c>
      <c r="I87" s="75">
        <f>628297-93191</f>
        <v>535106</v>
      </c>
      <c r="J87" s="50">
        <f>453528-67269</f>
        <v>386259</v>
      </c>
      <c r="K87" s="75">
        <f>C87+D87+E87+F87+G87+H87+I87+J87</f>
        <v>13280816</v>
      </c>
      <c r="L87" s="86"/>
      <c r="M87" s="83"/>
    </row>
    <row r="88" spans="1:13" s="17" customFormat="1" ht="15.75">
      <c r="A88" s="25"/>
      <c r="B88" s="27"/>
      <c r="C88" s="49"/>
      <c r="D88" s="60"/>
      <c r="E88" s="60"/>
      <c r="F88" s="60">
        <v>0</v>
      </c>
      <c r="G88" s="60"/>
      <c r="H88" s="60">
        <v>0</v>
      </c>
      <c r="I88" s="60">
        <v>0</v>
      </c>
      <c r="J88" s="60"/>
      <c r="K88" s="59">
        <f t="shared" si="14"/>
        <v>0</v>
      </c>
      <c r="L88" s="86"/>
      <c r="M88" s="83"/>
    </row>
    <row r="89" spans="1:13" s="17" customFormat="1" ht="31.5">
      <c r="A89" s="6">
        <v>4040000</v>
      </c>
      <c r="B89" s="27" t="s">
        <v>31</v>
      </c>
      <c r="C89" s="49">
        <f>71696482-6769373</f>
        <v>64927109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59">
        <f t="shared" si="14"/>
        <v>64927109</v>
      </c>
      <c r="L89" s="86"/>
      <c r="M89" s="83"/>
    </row>
    <row r="90" spans="1:13" s="17" customFormat="1" ht="15.75">
      <c r="A90" s="6"/>
      <c r="B90" s="27"/>
      <c r="C90" s="49"/>
      <c r="D90" s="49"/>
      <c r="E90" s="49"/>
      <c r="F90" s="49"/>
      <c r="G90" s="49"/>
      <c r="H90" s="49"/>
      <c r="I90" s="49"/>
      <c r="J90" s="49"/>
      <c r="K90" s="59"/>
      <c r="L90" s="86"/>
      <c r="M90" s="83"/>
    </row>
    <row r="91" spans="1:13" s="17" customFormat="1" ht="15.75">
      <c r="A91" s="6">
        <v>4060000</v>
      </c>
      <c r="B91" s="27" t="s">
        <v>73</v>
      </c>
      <c r="C91" s="49">
        <f>20110000+238000</f>
        <v>20348000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59">
        <f t="shared" si="14"/>
        <v>20348000</v>
      </c>
      <c r="L91" s="86"/>
      <c r="M91" s="83"/>
    </row>
    <row r="92" spans="1:13" s="18" customFormat="1" ht="15.75">
      <c r="A92" s="6"/>
      <c r="B92" s="27"/>
      <c r="C92" s="49"/>
      <c r="D92" s="49"/>
      <c r="E92" s="49"/>
      <c r="F92" s="49"/>
      <c r="G92" s="49"/>
      <c r="H92" s="49"/>
      <c r="I92" s="49"/>
      <c r="J92" s="49"/>
      <c r="K92" s="59"/>
      <c r="L92" s="86"/>
      <c r="M92" s="83"/>
    </row>
    <row r="93" spans="1:13" s="18" customFormat="1" ht="78.75">
      <c r="A93" s="6">
        <v>4080000</v>
      </c>
      <c r="B93" s="27" t="s">
        <v>70</v>
      </c>
      <c r="C93" s="76">
        <f>527761-161590</f>
        <v>366171</v>
      </c>
      <c r="D93" s="76">
        <v>0</v>
      </c>
      <c r="E93" s="76">
        <f>712229-218071</f>
        <v>494158</v>
      </c>
      <c r="F93" s="76">
        <f>10228812-3131869</f>
        <v>7096943</v>
      </c>
      <c r="G93" s="76">
        <f>5150765-1577067</f>
        <v>3573698</v>
      </c>
      <c r="H93" s="76">
        <f>13476736-4126322</f>
        <v>9350414</v>
      </c>
      <c r="I93" s="76">
        <f>12438043-3808294</f>
        <v>8629749</v>
      </c>
      <c r="J93" s="76">
        <f>3119636-955174</f>
        <v>2164462</v>
      </c>
      <c r="K93" s="77">
        <f>SUM(C93+D93+E93+F93+G93+H93+I93+J93)</f>
        <v>31675595</v>
      </c>
      <c r="L93" s="86"/>
      <c r="M93" s="83"/>
    </row>
    <row r="94" spans="1:13" s="18" customFormat="1" ht="15.75">
      <c r="A94" s="28"/>
      <c r="B94" s="29"/>
      <c r="C94" s="49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70">
        <f>SUM(C94+D94+E94+F94+G94+H94+I94+J94)</f>
        <v>0</v>
      </c>
      <c r="L94" s="86"/>
      <c r="M94" s="83"/>
    </row>
    <row r="95" spans="1:13" s="18" customFormat="1" ht="15.75">
      <c r="A95" s="6">
        <v>4100000</v>
      </c>
      <c r="B95" s="27" t="s">
        <v>71</v>
      </c>
      <c r="C95" s="49">
        <f>227221497+12370228+10501319+5062325</f>
        <v>255155369</v>
      </c>
      <c r="D95" s="49">
        <f>2701623-221944</f>
        <v>2479679</v>
      </c>
      <c r="E95" s="49">
        <f>42498980+2209990+1876103+747300</f>
        <v>47332373</v>
      </c>
      <c r="F95" s="49">
        <f>11896013+382029+324311-243806</f>
        <v>12358547</v>
      </c>
      <c r="G95" s="49">
        <f>4395290+175540+149020-22438</f>
        <v>4697412</v>
      </c>
      <c r="H95" s="49">
        <f>7662173+331057+281039+9461</f>
        <v>8283730</v>
      </c>
      <c r="I95" s="49">
        <f>1396730-116436</f>
        <v>1280294</v>
      </c>
      <c r="J95" s="49">
        <f>2679325+115156+97758-1314</f>
        <v>2890925</v>
      </c>
      <c r="K95" s="59">
        <f>SUM(C95:J95)</f>
        <v>334478329</v>
      </c>
      <c r="L95" s="86"/>
      <c r="M95" s="83"/>
    </row>
    <row r="96" spans="1:13" s="18" customFormat="1" ht="15.75">
      <c r="A96" s="30"/>
      <c r="B96" s="31"/>
      <c r="C96" s="49"/>
      <c r="D96" s="64"/>
      <c r="E96" s="64"/>
      <c r="F96" s="64"/>
      <c r="G96" s="64"/>
      <c r="H96" s="64"/>
      <c r="I96" s="64"/>
      <c r="J96" s="64"/>
      <c r="K96" s="78"/>
      <c r="L96" s="86"/>
      <c r="M96" s="83"/>
    </row>
    <row r="97" spans="1:13" s="18" customFormat="1" ht="15.75">
      <c r="A97" s="6">
        <v>4110000</v>
      </c>
      <c r="B97" s="27" t="s">
        <v>74</v>
      </c>
      <c r="C97" s="49">
        <f>21206479+695031</f>
        <v>21901510</v>
      </c>
      <c r="D97" s="49">
        <v>0</v>
      </c>
      <c r="E97" s="49">
        <f>3788621+124170</f>
        <v>3912791</v>
      </c>
      <c r="F97" s="49">
        <f>654918+21464</f>
        <v>676382</v>
      </c>
      <c r="G97" s="49">
        <f>300932+9863</f>
        <v>310795</v>
      </c>
      <c r="H97" s="49">
        <f>567536+18601</f>
        <v>586137</v>
      </c>
      <c r="I97" s="49">
        <v>0</v>
      </c>
      <c r="J97" s="49">
        <f>197414+6470</f>
        <v>203884</v>
      </c>
      <c r="K97" s="59">
        <f>SUM(C97:J97)</f>
        <v>27591499</v>
      </c>
      <c r="L97" s="86"/>
      <c r="M97" s="83"/>
    </row>
    <row r="98" spans="1:13" s="18" customFormat="1" ht="15.75">
      <c r="A98" s="30"/>
      <c r="B98" s="31"/>
      <c r="C98" s="79"/>
      <c r="D98" s="79"/>
      <c r="E98" s="79"/>
      <c r="F98" s="79"/>
      <c r="G98" s="79"/>
      <c r="H98" s="79"/>
      <c r="I98" s="79"/>
      <c r="J98" s="79"/>
      <c r="K98" s="78"/>
      <c r="L98" s="86"/>
      <c r="M98" s="83"/>
    </row>
    <row r="99" spans="1:13" s="18" customFormat="1" ht="15.75">
      <c r="A99" s="32">
        <v>4120000</v>
      </c>
      <c r="B99" s="33" t="s">
        <v>83</v>
      </c>
      <c r="C99" s="49">
        <f>11906662+390498</f>
        <v>12297160</v>
      </c>
      <c r="D99" s="49">
        <v>0</v>
      </c>
      <c r="E99" s="49">
        <f>2127172+69764</f>
        <v>2196936</v>
      </c>
      <c r="F99" s="49">
        <f>367712+12060</f>
        <v>379772</v>
      </c>
      <c r="G99" s="49">
        <f>168962+5541</f>
        <v>174503</v>
      </c>
      <c r="H99" s="49">
        <f>318651+10450</f>
        <v>329101</v>
      </c>
      <c r="I99" s="49">
        <v>0</v>
      </c>
      <c r="J99" s="49">
        <f>110841+3635</f>
        <v>114476</v>
      </c>
      <c r="K99" s="59">
        <f>SUM(C99:J99)</f>
        <v>15491948</v>
      </c>
      <c r="L99" s="86"/>
      <c r="M99" s="83"/>
    </row>
    <row r="100" spans="1:13" s="18" customFormat="1" ht="16.5" thickBot="1">
      <c r="A100" s="30"/>
      <c r="B100" s="31"/>
      <c r="C100" s="79"/>
      <c r="D100" s="79"/>
      <c r="E100" s="79"/>
      <c r="F100" s="79"/>
      <c r="G100" s="79"/>
      <c r="H100" s="79"/>
      <c r="I100" s="79"/>
      <c r="J100" s="79"/>
      <c r="K100" s="78"/>
      <c r="L100" s="86"/>
      <c r="M100" s="83"/>
    </row>
    <row r="101" spans="1:13" s="18" customFormat="1" ht="32.25" thickBot="1">
      <c r="A101" s="21">
        <v>5000000</v>
      </c>
      <c r="B101" s="34" t="s">
        <v>33</v>
      </c>
      <c r="C101" s="67">
        <f>160177370+303433+7749506-7777474</f>
        <v>160452835</v>
      </c>
      <c r="D101" s="67">
        <f>7765610-505000</f>
        <v>7260610</v>
      </c>
      <c r="E101" s="67">
        <f>55236194-4110000</f>
        <v>51126194</v>
      </c>
      <c r="F101" s="67">
        <f>28529925+32300-163020-1290000</f>
        <v>27109205</v>
      </c>
      <c r="G101" s="67">
        <f>13155161-2918179</f>
        <v>10236982</v>
      </c>
      <c r="H101" s="67">
        <f>13654687-2131928</f>
        <v>11522759</v>
      </c>
      <c r="I101" s="67">
        <f>25140196+99587-2225500</f>
        <v>23014283</v>
      </c>
      <c r="J101" s="67">
        <f>6367109+300000-1119625</f>
        <v>5547484</v>
      </c>
      <c r="K101" s="57">
        <f>SUM(C101+D101+E101+F101+G101+H101+I101+J101)</f>
        <v>296270352</v>
      </c>
      <c r="L101" s="86"/>
      <c r="M101" s="83"/>
    </row>
    <row r="102" spans="1:13" ht="16.5" thickBot="1">
      <c r="A102" s="35"/>
      <c r="B102" s="36" t="s">
        <v>72</v>
      </c>
      <c r="C102" s="80">
        <f>SUM(C16+C56+C81+C101+C76)</f>
        <v>1638485028</v>
      </c>
      <c r="D102" s="80">
        <f aca="true" t="shared" si="15" ref="D102:J102">SUM(D16+D56+D81+D101)</f>
        <v>190630903</v>
      </c>
      <c r="E102" s="80">
        <f t="shared" si="15"/>
        <v>391381016</v>
      </c>
      <c r="F102" s="80">
        <f t="shared" si="15"/>
        <v>270604659</v>
      </c>
      <c r="G102" s="80">
        <f t="shared" si="15"/>
        <v>120140136</v>
      </c>
      <c r="H102" s="80">
        <f t="shared" si="15"/>
        <v>152723696</v>
      </c>
      <c r="I102" s="80">
        <f t="shared" si="15"/>
        <v>97567020</v>
      </c>
      <c r="J102" s="80">
        <f t="shared" si="15"/>
        <v>49719753</v>
      </c>
      <c r="K102" s="80">
        <f>SUM(K16+K56+K81+K101+K76)</f>
        <v>2911252211</v>
      </c>
      <c r="L102" s="86"/>
      <c r="M102" s="83"/>
    </row>
    <row r="103" spans="1:11" ht="12.75" customHeight="1">
      <c r="A103" s="1"/>
      <c r="B103" s="7"/>
      <c r="C103" s="8"/>
      <c r="D103" s="8"/>
      <c r="E103" s="8"/>
      <c r="F103" s="8"/>
      <c r="G103" s="8"/>
      <c r="H103" s="9"/>
      <c r="I103" s="9"/>
      <c r="J103" s="9"/>
      <c r="K103" s="9"/>
    </row>
    <row r="104" spans="1:7" ht="12.75" customHeight="1">
      <c r="A104" s="1"/>
      <c r="B104" s="7"/>
      <c r="C104" s="7"/>
      <c r="D104" s="7"/>
      <c r="E104" s="7"/>
      <c r="F104" s="7"/>
      <c r="G104" s="7"/>
    </row>
    <row r="105" spans="1:7" ht="12.75" customHeight="1">
      <c r="A105" s="1"/>
      <c r="B105" s="7"/>
      <c r="C105" s="7"/>
      <c r="D105" s="7"/>
      <c r="E105" s="7"/>
      <c r="F105" s="7"/>
      <c r="G105" s="7"/>
    </row>
    <row r="106" spans="1:7" ht="12.75" customHeight="1">
      <c r="A106" s="1"/>
      <c r="B106" s="7"/>
      <c r="C106" s="7"/>
      <c r="D106" s="7"/>
      <c r="E106" s="7"/>
      <c r="F106" s="7"/>
      <c r="G106" s="7"/>
    </row>
    <row r="107" spans="1:7" ht="12.75" customHeight="1">
      <c r="A107" s="1"/>
      <c r="B107" s="7"/>
      <c r="C107" s="7"/>
      <c r="D107" s="7"/>
      <c r="E107" s="7"/>
      <c r="F107" s="7"/>
      <c r="G107" s="7"/>
    </row>
    <row r="108" spans="1:7" ht="12.75" customHeight="1">
      <c r="A108" s="1"/>
      <c r="B108" s="7"/>
      <c r="C108" s="7"/>
      <c r="D108" s="7"/>
      <c r="E108" s="7"/>
      <c r="F108" s="7"/>
      <c r="G108" s="7"/>
    </row>
    <row r="109" spans="1:7" ht="12.75" customHeight="1">
      <c r="A109" s="1"/>
      <c r="B109" s="7"/>
      <c r="C109" s="7"/>
      <c r="D109" s="7"/>
      <c r="E109" s="7"/>
      <c r="F109" s="7"/>
      <c r="G109" s="7"/>
    </row>
    <row r="110" spans="1:7" ht="12.75" customHeight="1">
      <c r="A110" s="1"/>
      <c r="B110" s="7"/>
      <c r="C110" s="7"/>
      <c r="D110" s="7"/>
      <c r="E110" s="7"/>
      <c r="F110" s="7"/>
      <c r="G110" s="7"/>
    </row>
    <row r="111" spans="1:7" ht="12.75" customHeight="1">
      <c r="A111" s="1"/>
      <c r="B111" s="7"/>
      <c r="C111" s="7"/>
      <c r="D111" s="7"/>
      <c r="E111" s="7"/>
      <c r="F111" s="7"/>
      <c r="G111" s="7"/>
    </row>
    <row r="112" spans="1:7" ht="12.75" customHeight="1">
      <c r="A112" s="1"/>
      <c r="B112" s="7"/>
      <c r="C112" s="7"/>
      <c r="D112" s="7"/>
      <c r="E112" s="7"/>
      <c r="F112" s="7"/>
      <c r="G112" s="7"/>
    </row>
    <row r="113" spans="1:7" ht="12.75" customHeight="1">
      <c r="A113" s="1"/>
      <c r="B113" s="7"/>
      <c r="C113" s="7"/>
      <c r="D113" s="7"/>
      <c r="E113" s="7"/>
      <c r="F113" s="7"/>
      <c r="G113" s="7"/>
    </row>
    <row r="114" spans="1:7" ht="12.75" customHeight="1">
      <c r="A114" s="1"/>
      <c r="B114" s="7"/>
      <c r="C114" s="7"/>
      <c r="D114" s="7"/>
      <c r="E114" s="7"/>
      <c r="F114" s="7"/>
      <c r="G114" s="7"/>
    </row>
    <row r="115" spans="1:7" ht="12.75" customHeight="1">
      <c r="A115" s="1"/>
      <c r="B115" s="7"/>
      <c r="C115" s="7"/>
      <c r="D115" s="7"/>
      <c r="E115" s="7"/>
      <c r="F115" s="7"/>
      <c r="G115" s="7"/>
    </row>
    <row r="116" spans="1:7" ht="12.75" customHeight="1">
      <c r="A116" s="1"/>
      <c r="B116" s="7"/>
      <c r="C116" s="7"/>
      <c r="D116" s="7"/>
      <c r="E116" s="7"/>
      <c r="F116" s="7"/>
      <c r="G116" s="7"/>
    </row>
    <row r="117" spans="1:7" ht="12.75" customHeight="1">
      <c r="A117" s="1"/>
      <c r="B117" s="7"/>
      <c r="C117" s="7"/>
      <c r="D117" s="7"/>
      <c r="E117" s="7"/>
      <c r="F117" s="7"/>
      <c r="G117" s="7"/>
    </row>
    <row r="118" spans="1:7" ht="12.75" customHeight="1">
      <c r="A118" s="1"/>
      <c r="B118" s="7"/>
      <c r="C118" s="7"/>
      <c r="D118" s="7"/>
      <c r="E118" s="7"/>
      <c r="F118" s="7"/>
      <c r="G118" s="7"/>
    </row>
    <row r="119" spans="1:7" ht="12.75" customHeight="1">
      <c r="A119" s="1"/>
      <c r="B119" s="7"/>
      <c r="C119" s="7"/>
      <c r="D119" s="7"/>
      <c r="E119" s="7"/>
      <c r="F119" s="7"/>
      <c r="G119" s="7"/>
    </row>
    <row r="120" spans="1:7" ht="12.75" customHeight="1">
      <c r="A120" s="1"/>
      <c r="B120" s="7"/>
      <c r="C120" s="7"/>
      <c r="D120" s="7"/>
      <c r="E120" s="7"/>
      <c r="F120" s="7"/>
      <c r="G120" s="7"/>
    </row>
    <row r="121" spans="1:7" ht="12.75" customHeight="1">
      <c r="A121" s="1"/>
      <c r="B121" s="7"/>
      <c r="C121" s="7"/>
      <c r="D121" s="7"/>
      <c r="E121" s="7"/>
      <c r="F121" s="7"/>
      <c r="G121" s="7"/>
    </row>
    <row r="122" spans="1:7" ht="12.75" customHeight="1">
      <c r="A122" s="1"/>
      <c r="B122" s="7"/>
      <c r="C122" s="7"/>
      <c r="D122" s="7"/>
      <c r="E122" s="7"/>
      <c r="F122" s="7"/>
      <c r="G122" s="7"/>
    </row>
    <row r="123" spans="1:7" ht="12.75" customHeight="1">
      <c r="A123" s="1"/>
      <c r="B123" s="7"/>
      <c r="C123" s="7"/>
      <c r="D123" s="7"/>
      <c r="E123" s="7"/>
      <c r="F123" s="7"/>
      <c r="G123" s="7"/>
    </row>
    <row r="124" spans="1:7" ht="12.75" customHeight="1">
      <c r="A124" s="1"/>
      <c r="B124" s="7"/>
      <c r="C124" s="7"/>
      <c r="D124" s="7"/>
      <c r="E124" s="7"/>
      <c r="F124" s="7"/>
      <c r="G124" s="7"/>
    </row>
    <row r="125" spans="1:7" ht="12.75" customHeight="1">
      <c r="A125" s="1"/>
      <c r="B125" s="7"/>
      <c r="C125" s="7"/>
      <c r="D125" s="7"/>
      <c r="E125" s="7"/>
      <c r="F125" s="7"/>
      <c r="G125" s="7"/>
    </row>
    <row r="126" spans="1:7" ht="12.75" customHeight="1">
      <c r="A126" s="1"/>
      <c r="B126" s="7"/>
      <c r="C126" s="7"/>
      <c r="D126" s="7"/>
      <c r="E126" s="7"/>
      <c r="F126" s="7"/>
      <c r="G126" s="7"/>
    </row>
    <row r="127" spans="1:7" ht="12.75" customHeight="1">
      <c r="A127" s="1"/>
      <c r="B127" s="7"/>
      <c r="C127" s="7"/>
      <c r="D127" s="7"/>
      <c r="E127" s="7"/>
      <c r="F127" s="7"/>
      <c r="G127" s="7"/>
    </row>
    <row r="128" spans="1:7" ht="12.75" customHeight="1">
      <c r="A128" s="1"/>
      <c r="B128" s="7"/>
      <c r="C128" s="7"/>
      <c r="D128" s="7"/>
      <c r="E128" s="7"/>
      <c r="F128" s="7"/>
      <c r="G128" s="7"/>
    </row>
    <row r="129" spans="1:7" ht="12.75" customHeight="1">
      <c r="A129" s="1"/>
      <c r="B129" s="7"/>
      <c r="C129" s="7"/>
      <c r="D129" s="7"/>
      <c r="E129" s="7"/>
      <c r="F129" s="7"/>
      <c r="G129" s="7"/>
    </row>
    <row r="130" spans="1:7" ht="12.75" customHeight="1">
      <c r="A130" s="1"/>
      <c r="B130" s="7"/>
      <c r="C130" s="7"/>
      <c r="D130" s="7"/>
      <c r="E130" s="7"/>
      <c r="F130" s="7"/>
      <c r="G130" s="7"/>
    </row>
    <row r="131" spans="1:7" ht="12.75" customHeight="1">
      <c r="A131" s="1"/>
      <c r="B131" s="7"/>
      <c r="C131" s="7"/>
      <c r="D131" s="7"/>
      <c r="E131" s="7"/>
      <c r="F131" s="7"/>
      <c r="G131" s="7"/>
    </row>
    <row r="132" spans="1:7" ht="12.75" customHeight="1">
      <c r="A132" s="1"/>
      <c r="B132" s="7"/>
      <c r="C132" s="7"/>
      <c r="D132" s="7"/>
      <c r="E132" s="7"/>
      <c r="F132" s="7"/>
      <c r="G132" s="7"/>
    </row>
    <row r="133" spans="1:7" ht="12.75" customHeight="1">
      <c r="A133" s="1"/>
      <c r="B133" s="7"/>
      <c r="C133" s="7"/>
      <c r="D133" s="7"/>
      <c r="E133" s="7"/>
      <c r="F133" s="7"/>
      <c r="G133" s="7"/>
    </row>
    <row r="134" spans="1:7" ht="12.75" customHeight="1">
      <c r="A134" s="1"/>
      <c r="B134" s="7"/>
      <c r="C134" s="7"/>
      <c r="D134" s="7"/>
      <c r="E134" s="7"/>
      <c r="F134" s="7"/>
      <c r="G134" s="7"/>
    </row>
    <row r="135" spans="1:7" ht="12.75" customHeight="1">
      <c r="A135" s="1"/>
      <c r="B135" s="7"/>
      <c r="C135" s="7"/>
      <c r="D135" s="7"/>
      <c r="E135" s="7"/>
      <c r="F135" s="7"/>
      <c r="G135" s="7"/>
    </row>
    <row r="136" spans="1:7" ht="12.75" customHeight="1">
      <c r="A136" s="1"/>
      <c r="B136" s="7"/>
      <c r="C136" s="7"/>
      <c r="D136" s="7"/>
      <c r="E136" s="7"/>
      <c r="F136" s="7"/>
      <c r="G136" s="7"/>
    </row>
    <row r="137" spans="1:7" ht="12.75" customHeight="1">
      <c r="A137" s="1"/>
      <c r="B137" s="7"/>
      <c r="C137" s="7"/>
      <c r="D137" s="7"/>
      <c r="E137" s="7"/>
      <c r="F137" s="7"/>
      <c r="G137" s="7"/>
    </row>
    <row r="138" spans="1:7" ht="12.75" customHeight="1">
      <c r="A138" s="1"/>
      <c r="B138" s="7"/>
      <c r="C138" s="7"/>
      <c r="D138" s="7"/>
      <c r="E138" s="7"/>
      <c r="F138" s="7"/>
      <c r="G138" s="7"/>
    </row>
    <row r="139" spans="1:7" ht="12.75" customHeight="1">
      <c r="A139" s="1"/>
      <c r="B139" s="7"/>
      <c r="C139" s="7"/>
      <c r="D139" s="7"/>
      <c r="E139" s="7"/>
      <c r="F139" s="7"/>
      <c r="G139" s="7"/>
    </row>
    <row r="140" spans="1:7" ht="12.75" customHeight="1">
      <c r="A140" s="1"/>
      <c r="B140" s="7"/>
      <c r="C140" s="7"/>
      <c r="D140" s="7"/>
      <c r="E140" s="7"/>
      <c r="F140" s="7"/>
      <c r="G140" s="7"/>
    </row>
    <row r="141" spans="1:7" ht="12.75" customHeight="1">
      <c r="A141" s="1"/>
      <c r="B141" s="7"/>
      <c r="C141" s="7"/>
      <c r="D141" s="7"/>
      <c r="E141" s="7"/>
      <c r="F141" s="7"/>
      <c r="G141" s="7"/>
    </row>
    <row r="142" spans="1:7" ht="12.75" customHeight="1">
      <c r="A142" s="1"/>
      <c r="B142" s="7"/>
      <c r="C142" s="7"/>
      <c r="D142" s="7"/>
      <c r="E142" s="7"/>
      <c r="F142" s="7"/>
      <c r="G142" s="7"/>
    </row>
    <row r="143" spans="1:7" ht="12.75" customHeight="1">
      <c r="A143" s="1"/>
      <c r="B143" s="7"/>
      <c r="C143" s="7"/>
      <c r="D143" s="7"/>
      <c r="E143" s="7"/>
      <c r="F143" s="7"/>
      <c r="G143" s="7"/>
    </row>
    <row r="144" spans="1:7" ht="12.75" customHeight="1">
      <c r="A144" s="1"/>
      <c r="B144" s="7"/>
      <c r="C144" s="7"/>
      <c r="D144" s="7"/>
      <c r="E144" s="7"/>
      <c r="F144" s="7"/>
      <c r="G144" s="7"/>
    </row>
    <row r="145" spans="1:7" ht="12.75" customHeight="1">
      <c r="A145" s="1"/>
      <c r="B145" s="7"/>
      <c r="C145" s="7"/>
      <c r="D145" s="7"/>
      <c r="E145" s="7"/>
      <c r="F145" s="7"/>
      <c r="G145" s="7"/>
    </row>
    <row r="146" spans="1:7" ht="12.75" customHeight="1">
      <c r="A146" s="1"/>
      <c r="B146" s="7"/>
      <c r="C146" s="7"/>
      <c r="D146" s="7"/>
      <c r="E146" s="7"/>
      <c r="F146" s="7"/>
      <c r="G146" s="7"/>
    </row>
    <row r="147" spans="1:7" ht="12.75" customHeight="1">
      <c r="A147" s="11"/>
      <c r="B147" s="12"/>
      <c r="C147" s="12"/>
      <c r="D147" s="12"/>
      <c r="E147" s="12"/>
      <c r="F147" s="12"/>
      <c r="G147" s="12"/>
    </row>
    <row r="148" spans="1:7" ht="12.75" customHeight="1">
      <c r="A148" s="11"/>
      <c r="B148" s="7"/>
      <c r="C148" s="7"/>
      <c r="D148" s="7"/>
      <c r="E148" s="7"/>
      <c r="F148" s="7"/>
      <c r="G148" s="7"/>
    </row>
    <row r="149" spans="1:7" ht="12.75" customHeight="1">
      <c r="A149" s="1"/>
      <c r="B149" s="7"/>
      <c r="C149" s="7"/>
      <c r="D149" s="7"/>
      <c r="E149" s="7"/>
      <c r="F149" s="7"/>
      <c r="G149" s="7"/>
    </row>
    <row r="150" spans="1:7" ht="12.75" customHeight="1">
      <c r="A150" s="1"/>
      <c r="B150" s="7"/>
      <c r="C150" s="7"/>
      <c r="D150" s="7"/>
      <c r="E150" s="7"/>
      <c r="F150" s="7"/>
      <c r="G150" s="7"/>
    </row>
    <row r="151" spans="1:7" ht="12.75" customHeight="1">
      <c r="A151" s="1"/>
      <c r="B151" s="7"/>
      <c r="C151" s="7"/>
      <c r="D151" s="7"/>
      <c r="E151" s="7"/>
      <c r="F151" s="7"/>
      <c r="G151" s="7"/>
    </row>
    <row r="152" spans="1:7" ht="12.75" customHeight="1">
      <c r="A152" s="1"/>
      <c r="B152" s="7"/>
      <c r="C152" s="7"/>
      <c r="D152" s="7"/>
      <c r="E152" s="7"/>
      <c r="F152" s="7"/>
      <c r="G152" s="7"/>
    </row>
    <row r="153" spans="1:7" ht="12.75" customHeight="1">
      <c r="A153" s="1"/>
      <c r="B153" s="7"/>
      <c r="C153" s="7"/>
      <c r="D153" s="7"/>
      <c r="E153" s="7"/>
      <c r="F153" s="7"/>
      <c r="G153" s="7"/>
    </row>
    <row r="154" spans="1:7" ht="12.75" customHeight="1">
      <c r="A154" s="1"/>
      <c r="B154" s="7"/>
      <c r="C154" s="7"/>
      <c r="D154" s="7"/>
      <c r="E154" s="7"/>
      <c r="F154" s="7"/>
      <c r="G154" s="7"/>
    </row>
    <row r="155" spans="1:7" ht="12.75" customHeight="1">
      <c r="A155" s="1"/>
      <c r="B155" s="7"/>
      <c r="C155" s="7"/>
      <c r="D155" s="7"/>
      <c r="E155" s="7"/>
      <c r="F155" s="7"/>
      <c r="G155" s="7"/>
    </row>
    <row r="156" spans="1:7" ht="12.75" customHeight="1">
      <c r="A156" s="1"/>
      <c r="B156" s="7"/>
      <c r="C156" s="7"/>
      <c r="D156" s="7"/>
      <c r="E156" s="7"/>
      <c r="F156" s="7"/>
      <c r="G156" s="7"/>
    </row>
    <row r="157" spans="1:7" ht="12.75" customHeight="1">
      <c r="A157" s="1"/>
      <c r="B157" s="7"/>
      <c r="C157" s="7"/>
      <c r="D157" s="7"/>
      <c r="E157" s="7"/>
      <c r="F157" s="7"/>
      <c r="G157" s="7"/>
    </row>
    <row r="158" spans="1:7" ht="12.75" customHeight="1">
      <c r="A158" s="1"/>
      <c r="B158" s="7"/>
      <c r="C158" s="7"/>
      <c r="D158" s="7"/>
      <c r="E158" s="7"/>
      <c r="F158" s="7"/>
      <c r="G158" s="7"/>
    </row>
    <row r="159" spans="1:7" ht="12.75" customHeight="1">
      <c r="A159" s="1"/>
      <c r="B159" s="7"/>
      <c r="C159" s="7"/>
      <c r="D159" s="7"/>
      <c r="E159" s="7"/>
      <c r="F159" s="7"/>
      <c r="G159" s="7"/>
    </row>
    <row r="160" spans="1:7" ht="12.75" customHeight="1">
      <c r="A160" s="1"/>
      <c r="B160" s="7"/>
      <c r="C160" s="7"/>
      <c r="D160" s="7"/>
      <c r="E160" s="7"/>
      <c r="F160" s="7"/>
      <c r="G160" s="7"/>
    </row>
    <row r="161" spans="1:7" ht="12.75" customHeight="1">
      <c r="A161" s="1"/>
      <c r="B161" s="7"/>
      <c r="C161" s="7"/>
      <c r="D161" s="7"/>
      <c r="E161" s="7"/>
      <c r="F161" s="7"/>
      <c r="G161" s="7"/>
    </row>
    <row r="162" spans="1:7" ht="12.75" customHeight="1">
      <c r="A162" s="1"/>
      <c r="B162" s="7"/>
      <c r="C162" s="7"/>
      <c r="D162" s="7"/>
      <c r="E162" s="7"/>
      <c r="F162" s="7"/>
      <c r="G162" s="7"/>
    </row>
    <row r="163" spans="1:7" ht="12.75" customHeight="1">
      <c r="A163" s="1"/>
      <c r="B163" s="7"/>
      <c r="C163" s="7"/>
      <c r="D163" s="7"/>
      <c r="E163" s="7"/>
      <c r="F163" s="7"/>
      <c r="G163" s="7"/>
    </row>
    <row r="164" spans="1:7" ht="12.75" customHeight="1">
      <c r="A164" s="1"/>
      <c r="B164" s="7"/>
      <c r="C164" s="7"/>
      <c r="D164" s="7"/>
      <c r="E164" s="7"/>
      <c r="F164" s="7"/>
      <c r="G164" s="7"/>
    </row>
    <row r="165" spans="1:7" ht="12.75" customHeight="1">
      <c r="A165" s="11"/>
      <c r="B165" s="12"/>
      <c r="C165" s="12"/>
      <c r="D165" s="12"/>
      <c r="E165" s="12"/>
      <c r="F165" s="12"/>
      <c r="G165" s="12"/>
    </row>
    <row r="166" spans="1:7" ht="12.75" customHeight="1">
      <c r="A166" s="11"/>
      <c r="B166" s="12"/>
      <c r="C166" s="12"/>
      <c r="D166" s="12"/>
      <c r="E166" s="12"/>
      <c r="F166" s="12"/>
      <c r="G166" s="12"/>
    </row>
    <row r="167" spans="1:7" ht="12.75" customHeight="1">
      <c r="A167" s="1"/>
      <c r="B167" s="7"/>
      <c r="C167" s="7"/>
      <c r="D167" s="7"/>
      <c r="E167" s="7"/>
      <c r="F167" s="7"/>
      <c r="G167" s="7"/>
    </row>
    <row r="168" spans="1:7" ht="12.75" customHeight="1">
      <c r="A168" s="1"/>
      <c r="B168" s="7"/>
      <c r="C168" s="7"/>
      <c r="D168" s="7"/>
      <c r="E168" s="7"/>
      <c r="F168" s="7"/>
      <c r="G168" s="7"/>
    </row>
    <row r="169" spans="1:7" ht="12.75" customHeight="1">
      <c r="A169" s="11"/>
      <c r="B169" s="12"/>
      <c r="C169" s="12"/>
      <c r="D169" s="12"/>
      <c r="E169" s="12"/>
      <c r="F169" s="12"/>
      <c r="G169" s="12"/>
    </row>
    <row r="170" spans="1:7" ht="12.75" customHeight="1">
      <c r="A170" s="1"/>
      <c r="B170" s="7"/>
      <c r="C170" s="7"/>
      <c r="D170" s="7"/>
      <c r="E170" s="7"/>
      <c r="F170" s="7"/>
      <c r="G170" s="7"/>
    </row>
    <row r="171" spans="1:7" ht="12.75" customHeight="1">
      <c r="A171" s="1"/>
      <c r="B171" s="7"/>
      <c r="C171" s="7"/>
      <c r="D171" s="7"/>
      <c r="E171" s="7"/>
      <c r="F171" s="7"/>
      <c r="G171" s="7"/>
    </row>
    <row r="172" spans="1:7" ht="12.75" customHeight="1">
      <c r="A172" s="1"/>
      <c r="B172" s="7"/>
      <c r="C172" s="7"/>
      <c r="D172" s="7"/>
      <c r="E172" s="7"/>
      <c r="F172" s="7"/>
      <c r="G172" s="7"/>
    </row>
    <row r="173" spans="1:7" ht="12.75" customHeight="1">
      <c r="A173" s="1"/>
      <c r="B173" s="7"/>
      <c r="C173" s="7"/>
      <c r="D173" s="7"/>
      <c r="E173" s="7"/>
      <c r="F173" s="7"/>
      <c r="G173" s="7"/>
    </row>
    <row r="174" spans="1:7" ht="12.75" customHeight="1">
      <c r="A174" s="1"/>
      <c r="B174" s="7"/>
      <c r="C174" s="7"/>
      <c r="D174" s="7"/>
      <c r="E174" s="7"/>
      <c r="F174" s="7"/>
      <c r="G174" s="7"/>
    </row>
    <row r="175" spans="1:7" ht="12.75" customHeight="1">
      <c r="A175" s="1"/>
      <c r="B175" s="7"/>
      <c r="C175" s="7"/>
      <c r="D175" s="7"/>
      <c r="E175" s="7"/>
      <c r="F175" s="7"/>
      <c r="G175" s="7"/>
    </row>
    <row r="176" spans="1:7" ht="12.75" customHeight="1">
      <c r="A176" s="1"/>
      <c r="B176" s="7"/>
      <c r="C176" s="7"/>
      <c r="D176" s="7"/>
      <c r="E176" s="7"/>
      <c r="F176" s="7"/>
      <c r="G176" s="7"/>
    </row>
    <row r="177" spans="1:7" ht="12.75" customHeight="1">
      <c r="A177" s="1"/>
      <c r="B177" s="7"/>
      <c r="C177" s="7"/>
      <c r="D177" s="7"/>
      <c r="E177" s="7"/>
      <c r="F177" s="7"/>
      <c r="G177" s="7"/>
    </row>
    <row r="178" spans="1:7" ht="12.75" customHeight="1">
      <c r="A178" s="1"/>
      <c r="B178" s="7"/>
      <c r="C178" s="7"/>
      <c r="D178" s="7"/>
      <c r="E178" s="7"/>
      <c r="F178" s="7"/>
      <c r="G178" s="7"/>
    </row>
    <row r="179" spans="1:7" ht="12.75" customHeight="1">
      <c r="A179" s="1"/>
      <c r="B179" s="7"/>
      <c r="C179" s="7"/>
      <c r="D179" s="7"/>
      <c r="E179" s="7"/>
      <c r="F179" s="7"/>
      <c r="G179" s="7"/>
    </row>
    <row r="180" spans="1:7" ht="12.75" customHeight="1">
      <c r="A180" s="1"/>
      <c r="B180" s="7"/>
      <c r="C180" s="7"/>
      <c r="D180" s="7"/>
      <c r="E180" s="7"/>
      <c r="F180" s="7"/>
      <c r="G180" s="7"/>
    </row>
    <row r="181" spans="1:7" ht="12.75" customHeight="1">
      <c r="A181" s="1"/>
      <c r="B181" s="7"/>
      <c r="C181" s="7"/>
      <c r="D181" s="7"/>
      <c r="E181" s="7"/>
      <c r="F181" s="7"/>
      <c r="G181" s="7"/>
    </row>
    <row r="182" spans="1:7" ht="12.75" customHeight="1">
      <c r="A182" s="1"/>
      <c r="B182" s="7"/>
      <c r="C182" s="7"/>
      <c r="D182" s="7"/>
      <c r="E182" s="7"/>
      <c r="F182" s="7"/>
      <c r="G182" s="7"/>
    </row>
    <row r="183" spans="1:7" ht="12.75" customHeight="1">
      <c r="A183" s="1"/>
      <c r="B183" s="7"/>
      <c r="C183" s="7"/>
      <c r="D183" s="7"/>
      <c r="E183" s="7"/>
      <c r="F183" s="7"/>
      <c r="G183" s="7"/>
    </row>
    <row r="184" spans="1:7" ht="12.75" customHeight="1">
      <c r="A184" s="1"/>
      <c r="B184" s="7"/>
      <c r="C184" s="7"/>
      <c r="D184" s="7"/>
      <c r="E184" s="7"/>
      <c r="F184" s="7"/>
      <c r="G184" s="7"/>
    </row>
    <row r="185" spans="1:7" ht="12.75" customHeight="1">
      <c r="A185" s="1"/>
      <c r="B185" s="7"/>
      <c r="C185" s="7"/>
      <c r="D185" s="7"/>
      <c r="E185" s="7"/>
      <c r="F185" s="7"/>
      <c r="G185" s="7"/>
    </row>
    <row r="186" spans="1:7" ht="12.75" customHeight="1">
      <c r="A186" s="1"/>
      <c r="B186" s="7"/>
      <c r="C186" s="7"/>
      <c r="D186" s="7"/>
      <c r="E186" s="7"/>
      <c r="F186" s="7"/>
      <c r="G186" s="7"/>
    </row>
    <row r="187" spans="1:7" ht="12.75" customHeight="1">
      <c r="A187" s="1"/>
      <c r="B187" s="7"/>
      <c r="C187" s="7"/>
      <c r="D187" s="7"/>
      <c r="E187" s="7"/>
      <c r="F187" s="7"/>
      <c r="G187" s="7"/>
    </row>
    <row r="188" spans="1:7" ht="12.75" customHeight="1">
      <c r="A188" s="1"/>
      <c r="B188" s="7"/>
      <c r="C188" s="7"/>
      <c r="D188" s="7"/>
      <c r="E188" s="7"/>
      <c r="F188" s="7"/>
      <c r="G188" s="7"/>
    </row>
    <row r="189" spans="1:7" ht="12.75" customHeight="1">
      <c r="A189" s="1"/>
      <c r="B189" s="7"/>
      <c r="C189" s="7"/>
      <c r="D189" s="7"/>
      <c r="E189" s="7"/>
      <c r="F189" s="7"/>
      <c r="G189" s="7"/>
    </row>
    <row r="190" spans="1:7" ht="12.75" customHeight="1">
      <c r="A190" s="1"/>
      <c r="B190" s="7"/>
      <c r="C190" s="7"/>
      <c r="D190" s="7"/>
      <c r="E190" s="7"/>
      <c r="F190" s="7"/>
      <c r="G190" s="7"/>
    </row>
    <row r="191" spans="1:7" ht="12.75" customHeight="1">
      <c r="A191" s="1"/>
      <c r="B191" s="7"/>
      <c r="C191" s="7"/>
      <c r="D191" s="7"/>
      <c r="E191" s="7"/>
      <c r="F191" s="7"/>
      <c r="G191" s="7"/>
    </row>
    <row r="192" spans="1:7" ht="12.75" customHeight="1">
      <c r="A192" s="1"/>
      <c r="B192" s="7"/>
      <c r="C192" s="7"/>
      <c r="D192" s="7"/>
      <c r="E192" s="7"/>
      <c r="F192" s="7"/>
      <c r="G192" s="7"/>
    </row>
    <row r="193" spans="1:7" ht="12.75" customHeight="1">
      <c r="A193" s="1"/>
      <c r="B193" s="7"/>
      <c r="C193" s="7"/>
      <c r="D193" s="7"/>
      <c r="E193" s="7"/>
      <c r="F193" s="7"/>
      <c r="G193" s="7"/>
    </row>
    <row r="194" spans="1:7" ht="12.75" customHeight="1">
      <c r="A194" s="1"/>
      <c r="B194" s="7"/>
      <c r="C194" s="7"/>
      <c r="D194" s="7"/>
      <c r="E194" s="7"/>
      <c r="F194" s="7"/>
      <c r="G194" s="7"/>
    </row>
    <row r="195" spans="1:7" ht="12.75" customHeight="1">
      <c r="A195" s="1"/>
      <c r="B195" s="7"/>
      <c r="C195" s="7"/>
      <c r="D195" s="7"/>
      <c r="E195" s="7"/>
      <c r="F195" s="7"/>
      <c r="G195" s="7"/>
    </row>
    <row r="196" spans="1:7" ht="12.75" customHeight="1">
      <c r="A196" s="1"/>
      <c r="B196" s="7"/>
      <c r="C196" s="7"/>
      <c r="D196" s="7"/>
      <c r="E196" s="7"/>
      <c r="F196" s="7"/>
      <c r="G196" s="7"/>
    </row>
    <row r="197" spans="1:7" ht="12.75" customHeight="1">
      <c r="A197" s="1"/>
      <c r="B197" s="7"/>
      <c r="C197" s="7"/>
      <c r="D197" s="7"/>
      <c r="E197" s="7"/>
      <c r="F197" s="7"/>
      <c r="G197" s="7"/>
    </row>
    <row r="198" spans="1:7" ht="12.75" customHeight="1">
      <c r="A198" s="1"/>
      <c r="B198" s="7"/>
      <c r="C198" s="7"/>
      <c r="D198" s="7"/>
      <c r="E198" s="7"/>
      <c r="F198" s="7"/>
      <c r="G198" s="7"/>
    </row>
    <row r="199" spans="1:7" ht="12.75" customHeight="1">
      <c r="A199" s="1"/>
      <c r="B199" s="7"/>
      <c r="C199" s="7"/>
      <c r="D199" s="7"/>
      <c r="E199" s="7"/>
      <c r="F199" s="7"/>
      <c r="G199" s="7"/>
    </row>
    <row r="200" spans="1:7" ht="12.75" customHeight="1">
      <c r="A200" s="1"/>
      <c r="B200" s="7"/>
      <c r="C200" s="7"/>
      <c r="D200" s="7"/>
      <c r="E200" s="7"/>
      <c r="F200" s="7"/>
      <c r="G200" s="7"/>
    </row>
    <row r="201" spans="1:7" ht="12.75" customHeight="1">
      <c r="A201" s="1"/>
      <c r="B201" s="7"/>
      <c r="C201" s="7"/>
      <c r="D201" s="7"/>
      <c r="E201" s="7"/>
      <c r="F201" s="7"/>
      <c r="G201" s="7"/>
    </row>
    <row r="202" spans="1:7" ht="12.75" customHeight="1">
      <c r="A202" s="1"/>
      <c r="B202" s="7"/>
      <c r="C202" s="7"/>
      <c r="D202" s="7"/>
      <c r="E202" s="7"/>
      <c r="F202" s="7"/>
      <c r="G202" s="7"/>
    </row>
    <row r="203" spans="1:7" ht="12.75" customHeight="1">
      <c r="A203" s="1"/>
      <c r="B203" s="7"/>
      <c r="C203" s="7"/>
      <c r="D203" s="7"/>
      <c r="E203" s="7"/>
      <c r="F203" s="7"/>
      <c r="G203" s="7"/>
    </row>
    <row r="204" spans="1:7" ht="12.75" customHeight="1">
      <c r="A204" s="1"/>
      <c r="B204" s="7"/>
      <c r="C204" s="7"/>
      <c r="D204" s="7"/>
      <c r="E204" s="7"/>
      <c r="F204" s="7"/>
      <c r="G204" s="7"/>
    </row>
    <row r="205" spans="1:7" ht="12.75" customHeight="1">
      <c r="A205" s="1"/>
      <c r="B205" s="7"/>
      <c r="C205" s="7"/>
      <c r="D205" s="7"/>
      <c r="E205" s="7"/>
      <c r="F205" s="7"/>
      <c r="G205" s="7"/>
    </row>
    <row r="206" spans="1:7" ht="12.75" customHeight="1">
      <c r="A206" s="1"/>
      <c r="B206" s="7"/>
      <c r="C206" s="7"/>
      <c r="D206" s="7"/>
      <c r="E206" s="7"/>
      <c r="F206" s="7"/>
      <c r="G206" s="7"/>
    </row>
    <row r="207" spans="1:7" ht="12.75" customHeight="1">
      <c r="A207" s="1"/>
      <c r="B207" s="7"/>
      <c r="C207" s="7"/>
      <c r="D207" s="7"/>
      <c r="E207" s="7"/>
      <c r="F207" s="7"/>
      <c r="G207" s="7"/>
    </row>
    <row r="208" spans="1:7" ht="12.75" customHeight="1">
      <c r="A208" s="11"/>
      <c r="B208" s="12"/>
      <c r="C208" s="12"/>
      <c r="D208" s="12"/>
      <c r="E208" s="12"/>
      <c r="F208" s="12"/>
      <c r="G208" s="12"/>
    </row>
    <row r="209" spans="1:7" ht="12.75" customHeight="1">
      <c r="A209" s="1"/>
      <c r="B209" s="7"/>
      <c r="C209" s="7"/>
      <c r="D209" s="7"/>
      <c r="E209" s="7"/>
      <c r="F209" s="7"/>
      <c r="G209" s="7"/>
    </row>
    <row r="210" spans="1:7" ht="12.75" customHeight="1">
      <c r="A210" s="1"/>
      <c r="B210" s="7"/>
      <c r="C210" s="7"/>
      <c r="D210" s="7"/>
      <c r="E210" s="7"/>
      <c r="F210" s="7"/>
      <c r="G210" s="7"/>
    </row>
    <row r="211" spans="1:7" ht="12.75" customHeight="1">
      <c r="A211" s="1"/>
      <c r="B211" s="7"/>
      <c r="C211" s="7"/>
      <c r="D211" s="7"/>
      <c r="E211" s="7"/>
      <c r="F211" s="7"/>
      <c r="G211" s="7"/>
    </row>
    <row r="212" spans="1:7" ht="12.75" customHeight="1">
      <c r="A212" s="1"/>
      <c r="B212" s="7"/>
      <c r="C212" s="7"/>
      <c r="D212" s="7"/>
      <c r="E212" s="7"/>
      <c r="F212" s="7"/>
      <c r="G212" s="7"/>
    </row>
    <row r="213" spans="1:7" ht="12.75" customHeight="1">
      <c r="A213" s="1"/>
      <c r="B213" s="7"/>
      <c r="C213" s="7"/>
      <c r="D213" s="7"/>
      <c r="E213" s="7"/>
      <c r="F213" s="7"/>
      <c r="G213" s="7"/>
    </row>
    <row r="214" spans="1:7" ht="12.75" customHeight="1">
      <c r="A214" s="1"/>
      <c r="B214" s="7"/>
      <c r="C214" s="7"/>
      <c r="D214" s="7"/>
      <c r="E214" s="7"/>
      <c r="F214" s="7"/>
      <c r="G214" s="7"/>
    </row>
    <row r="215" spans="1:7" ht="12.75" customHeight="1">
      <c r="A215" s="1"/>
      <c r="B215" s="7"/>
      <c r="C215" s="7"/>
      <c r="D215" s="7"/>
      <c r="E215" s="7"/>
      <c r="F215" s="7"/>
      <c r="G215" s="7"/>
    </row>
    <row r="216" spans="1:7" ht="12.75" customHeight="1">
      <c r="A216" s="1"/>
      <c r="B216" s="7"/>
      <c r="C216" s="7"/>
      <c r="D216" s="7"/>
      <c r="E216" s="7"/>
      <c r="F216" s="7"/>
      <c r="G216" s="7"/>
    </row>
    <row r="217" spans="1:7" ht="12.75" customHeight="1">
      <c r="A217" s="1"/>
      <c r="B217" s="7"/>
      <c r="C217" s="7"/>
      <c r="D217" s="7"/>
      <c r="E217" s="7"/>
      <c r="F217" s="7"/>
      <c r="G217" s="7"/>
    </row>
    <row r="218" spans="1:7" ht="12.75" customHeight="1">
      <c r="A218" s="1"/>
      <c r="B218" s="7"/>
      <c r="C218" s="7"/>
      <c r="D218" s="7"/>
      <c r="E218" s="7"/>
      <c r="F218" s="7"/>
      <c r="G218" s="7"/>
    </row>
    <row r="219" spans="1:7" ht="12.75" customHeight="1">
      <c r="A219" s="1"/>
      <c r="B219" s="7"/>
      <c r="C219" s="7"/>
      <c r="D219" s="7"/>
      <c r="E219" s="7"/>
      <c r="F219" s="7"/>
      <c r="G219" s="7"/>
    </row>
    <row r="220" spans="1:7" ht="12.75" customHeight="1">
      <c r="A220" s="1"/>
      <c r="B220" s="7"/>
      <c r="C220" s="7"/>
      <c r="D220" s="7"/>
      <c r="E220" s="7"/>
      <c r="F220" s="7"/>
      <c r="G220" s="7"/>
    </row>
    <row r="221" spans="1:7" ht="12.75" customHeight="1">
      <c r="A221" s="1"/>
      <c r="B221" s="7"/>
      <c r="C221" s="7"/>
      <c r="D221" s="7"/>
      <c r="E221" s="7"/>
      <c r="F221" s="7"/>
      <c r="G221" s="7"/>
    </row>
    <row r="222" spans="1:7" ht="12.75" customHeight="1">
      <c r="A222" s="11"/>
      <c r="B222" s="12"/>
      <c r="C222" s="12"/>
      <c r="D222" s="12"/>
      <c r="E222" s="12"/>
      <c r="F222" s="12"/>
      <c r="G222" s="12"/>
    </row>
    <row r="223" spans="1:7" ht="12.75" customHeight="1">
      <c r="A223" s="1"/>
      <c r="B223" s="7"/>
      <c r="C223" s="7"/>
      <c r="D223" s="7"/>
      <c r="E223" s="7"/>
      <c r="F223" s="7"/>
      <c r="G223" s="7"/>
    </row>
    <row r="224" spans="1:7" ht="12.75" customHeight="1">
      <c r="A224" s="1"/>
      <c r="B224" s="7"/>
      <c r="C224" s="7"/>
      <c r="D224" s="7"/>
      <c r="E224" s="7"/>
      <c r="F224" s="7"/>
      <c r="G224" s="7"/>
    </row>
    <row r="225" spans="1:7" ht="12.75" customHeight="1">
      <c r="A225" s="1"/>
      <c r="B225" s="7"/>
      <c r="C225" s="7"/>
      <c r="D225" s="7"/>
      <c r="E225" s="7"/>
      <c r="F225" s="7"/>
      <c r="G225" s="7"/>
    </row>
    <row r="226" spans="1:7" ht="12.75" customHeight="1">
      <c r="A226" s="1"/>
      <c r="B226" s="7"/>
      <c r="C226" s="7"/>
      <c r="D226" s="7"/>
      <c r="E226" s="7"/>
      <c r="F226" s="7"/>
      <c r="G226" s="7"/>
    </row>
    <row r="227" spans="1:7" ht="12.75" customHeight="1">
      <c r="A227" s="1"/>
      <c r="B227" s="7"/>
      <c r="C227" s="7"/>
      <c r="D227" s="7"/>
      <c r="E227" s="7"/>
      <c r="F227" s="7"/>
      <c r="G227" s="7"/>
    </row>
    <row r="228" spans="1:7" ht="12.75" customHeight="1">
      <c r="A228" s="1"/>
      <c r="B228" s="7"/>
      <c r="C228" s="7"/>
      <c r="D228" s="7"/>
      <c r="E228" s="7"/>
      <c r="F228" s="7"/>
      <c r="G228" s="7"/>
    </row>
    <row r="229" spans="1:7" ht="12.75" customHeight="1">
      <c r="A229" s="1"/>
      <c r="B229" s="7"/>
      <c r="C229" s="7"/>
      <c r="D229" s="7"/>
      <c r="E229" s="7"/>
      <c r="F229" s="7"/>
      <c r="G229" s="7"/>
    </row>
    <row r="230" spans="1:7" ht="12.75" customHeight="1">
      <c r="A230" s="1"/>
      <c r="B230" s="7"/>
      <c r="C230" s="7"/>
      <c r="D230" s="7"/>
      <c r="E230" s="7"/>
      <c r="F230" s="7"/>
      <c r="G230" s="7"/>
    </row>
    <row r="231" spans="1:7" ht="12.75" customHeight="1">
      <c r="A231" s="11"/>
      <c r="B231" s="12"/>
      <c r="C231" s="12"/>
      <c r="D231" s="12"/>
      <c r="E231" s="12"/>
      <c r="F231" s="12"/>
      <c r="G231" s="12"/>
    </row>
    <row r="232" spans="1:7" ht="12.75" customHeight="1">
      <c r="A232" s="11"/>
      <c r="B232" s="12"/>
      <c r="C232" s="12"/>
      <c r="D232" s="12"/>
      <c r="E232" s="12"/>
      <c r="F232" s="12"/>
      <c r="G232" s="12"/>
    </row>
    <row r="233" spans="1:7" ht="12.75" customHeight="1">
      <c r="A233" s="11"/>
      <c r="B233" s="12"/>
      <c r="C233" s="12"/>
      <c r="D233" s="12"/>
      <c r="E233" s="12"/>
      <c r="F233" s="12"/>
      <c r="G233" s="12"/>
    </row>
    <row r="234" spans="1:7" ht="12.75" customHeight="1">
      <c r="A234" s="1"/>
      <c r="B234" s="7"/>
      <c r="C234" s="7"/>
      <c r="D234" s="7"/>
      <c r="E234" s="7"/>
      <c r="F234" s="7"/>
      <c r="G234" s="7"/>
    </row>
    <row r="235" spans="1:7" ht="12.75" customHeight="1">
      <c r="A235" s="1"/>
      <c r="B235" s="7"/>
      <c r="C235" s="7"/>
      <c r="D235" s="7"/>
      <c r="E235" s="7"/>
      <c r="F235" s="7"/>
      <c r="G235" s="7"/>
    </row>
    <row r="236" spans="1:7" ht="12.75" customHeight="1">
      <c r="A236" s="1"/>
      <c r="B236" s="7"/>
      <c r="C236" s="7"/>
      <c r="D236" s="7"/>
      <c r="E236" s="7"/>
      <c r="F236" s="7"/>
      <c r="G236" s="7"/>
    </row>
    <row r="237" spans="1:7" ht="12.75" customHeight="1">
      <c r="A237" s="1"/>
      <c r="B237" s="7"/>
      <c r="C237" s="7"/>
      <c r="D237" s="7"/>
      <c r="E237" s="7"/>
      <c r="F237" s="7"/>
      <c r="G237" s="7"/>
    </row>
    <row r="238" spans="1:7" ht="12.75" customHeight="1">
      <c r="A238" s="1"/>
      <c r="B238" s="7"/>
      <c r="C238" s="7"/>
      <c r="D238" s="7"/>
      <c r="E238" s="7"/>
      <c r="F238" s="7"/>
      <c r="G238" s="7"/>
    </row>
    <row r="239" spans="1:7" ht="12.75" customHeight="1">
      <c r="A239" s="1"/>
      <c r="B239" s="7"/>
      <c r="C239" s="7"/>
      <c r="D239" s="7"/>
      <c r="E239" s="7"/>
      <c r="F239" s="7"/>
      <c r="G239" s="7"/>
    </row>
    <row r="240" spans="1:7" ht="12.75" customHeight="1">
      <c r="A240" s="1"/>
      <c r="B240" s="7"/>
      <c r="C240" s="7"/>
      <c r="D240" s="7"/>
      <c r="E240" s="7"/>
      <c r="F240" s="7"/>
      <c r="G240" s="7"/>
    </row>
    <row r="241" spans="1:7" ht="12.75" customHeight="1">
      <c r="A241" s="1"/>
      <c r="B241" s="7"/>
      <c r="C241" s="7"/>
      <c r="D241" s="7"/>
      <c r="E241" s="7"/>
      <c r="F241" s="7"/>
      <c r="G241" s="7"/>
    </row>
    <row r="242" spans="1:7" ht="12.75" customHeight="1">
      <c r="A242" s="1"/>
      <c r="B242" s="7"/>
      <c r="C242" s="7"/>
      <c r="D242" s="7"/>
      <c r="E242" s="7"/>
      <c r="F242" s="7"/>
      <c r="G242" s="7"/>
    </row>
    <row r="243" spans="1:7" ht="12.75" customHeight="1">
      <c r="A243" s="1"/>
      <c r="B243" s="7"/>
      <c r="C243" s="7"/>
      <c r="D243" s="7"/>
      <c r="E243" s="7"/>
      <c r="F243" s="7"/>
      <c r="G243" s="7"/>
    </row>
    <row r="244" spans="1:7" ht="12.75" customHeight="1">
      <c r="A244" s="1"/>
      <c r="B244" s="7"/>
      <c r="C244" s="7"/>
      <c r="D244" s="7"/>
      <c r="E244" s="7"/>
      <c r="F244" s="7"/>
      <c r="G244" s="7"/>
    </row>
    <row r="245" spans="1:7" ht="12.75" customHeight="1">
      <c r="A245" s="1"/>
      <c r="B245" s="7"/>
      <c r="C245" s="7"/>
      <c r="D245" s="7"/>
      <c r="E245" s="7"/>
      <c r="F245" s="7"/>
      <c r="G245" s="7"/>
    </row>
    <row r="246" spans="1:7" ht="12.75" customHeight="1">
      <c r="A246" s="1"/>
      <c r="B246" s="7"/>
      <c r="C246" s="7"/>
      <c r="D246" s="7"/>
      <c r="E246" s="7"/>
      <c r="F246" s="7"/>
      <c r="G246" s="7"/>
    </row>
    <row r="247" spans="1:7" ht="12.75" customHeight="1">
      <c r="A247" s="1"/>
      <c r="B247" s="7"/>
      <c r="C247" s="7"/>
      <c r="D247" s="7"/>
      <c r="E247" s="7"/>
      <c r="F247" s="7"/>
      <c r="G247" s="7"/>
    </row>
    <row r="248" spans="1:7" ht="12.75" customHeight="1">
      <c r="A248" s="1"/>
      <c r="B248" s="7"/>
      <c r="C248" s="7"/>
      <c r="D248" s="7"/>
      <c r="E248" s="7"/>
      <c r="F248" s="7"/>
      <c r="G248" s="7"/>
    </row>
    <row r="249" spans="1:7" ht="12.75" customHeight="1">
      <c r="A249" s="1"/>
      <c r="B249" s="7"/>
      <c r="C249" s="7"/>
      <c r="D249" s="7"/>
      <c r="E249" s="7"/>
      <c r="F249" s="7"/>
      <c r="G249" s="7"/>
    </row>
    <row r="250" spans="1:7" ht="12.75" customHeight="1">
      <c r="A250" s="1"/>
      <c r="B250" s="7"/>
      <c r="C250" s="7"/>
      <c r="D250" s="7"/>
      <c r="E250" s="7"/>
      <c r="F250" s="7"/>
      <c r="G250" s="7"/>
    </row>
    <row r="251" spans="1:7" ht="12.75" customHeight="1">
      <c r="A251" s="1"/>
      <c r="B251" s="7"/>
      <c r="C251" s="7"/>
      <c r="D251" s="7"/>
      <c r="E251" s="7"/>
      <c r="F251" s="7"/>
      <c r="G251" s="7"/>
    </row>
    <row r="252" spans="1:7" ht="12.75" customHeight="1">
      <c r="A252" s="1"/>
      <c r="B252" s="7"/>
      <c r="C252" s="7"/>
      <c r="D252" s="7"/>
      <c r="E252" s="7"/>
      <c r="F252" s="7"/>
      <c r="G252" s="7"/>
    </row>
    <row r="253" spans="1:7" ht="12.75" customHeight="1">
      <c r="A253" s="1"/>
      <c r="B253" s="7"/>
      <c r="C253" s="7"/>
      <c r="D253" s="7"/>
      <c r="E253" s="7"/>
      <c r="F253" s="7"/>
      <c r="G253" s="7"/>
    </row>
    <row r="254" spans="1:7" ht="12.75" customHeight="1">
      <c r="A254" s="1"/>
      <c r="B254" s="7"/>
      <c r="C254" s="7"/>
      <c r="D254" s="7"/>
      <c r="E254" s="7"/>
      <c r="F254" s="7"/>
      <c r="G254" s="7"/>
    </row>
    <row r="255" spans="1:7" ht="12.75" customHeight="1">
      <c r="A255" s="1"/>
      <c r="B255" s="7"/>
      <c r="C255" s="7"/>
      <c r="D255" s="7"/>
      <c r="E255" s="7"/>
      <c r="F255" s="7"/>
      <c r="G255" s="7"/>
    </row>
    <row r="256" spans="1:7" ht="12.75" customHeight="1">
      <c r="A256" s="1"/>
      <c r="B256" s="7"/>
      <c r="C256" s="7"/>
      <c r="D256" s="7"/>
      <c r="E256" s="7"/>
      <c r="F256" s="7"/>
      <c r="G256" s="7"/>
    </row>
    <row r="257" spans="1:7" ht="12.75" customHeight="1">
      <c r="A257" s="1"/>
      <c r="B257" s="7"/>
      <c r="C257" s="7"/>
      <c r="D257" s="7"/>
      <c r="E257" s="7"/>
      <c r="F257" s="7"/>
      <c r="G257" s="7"/>
    </row>
    <row r="258" spans="1:7" ht="12.75" customHeight="1">
      <c r="A258" s="1"/>
      <c r="B258" s="7"/>
      <c r="C258" s="7"/>
      <c r="D258" s="7"/>
      <c r="E258" s="7"/>
      <c r="F258" s="7"/>
      <c r="G258" s="7"/>
    </row>
    <row r="259" spans="1:7" ht="12.75" customHeight="1">
      <c r="A259" s="1"/>
      <c r="B259" s="7"/>
      <c r="C259" s="7"/>
      <c r="D259" s="7"/>
      <c r="E259" s="7"/>
      <c r="F259" s="7"/>
      <c r="G259" s="7"/>
    </row>
    <row r="260" spans="1:7" ht="12.75" customHeight="1">
      <c r="A260" s="1"/>
      <c r="B260" s="7"/>
      <c r="C260" s="7"/>
      <c r="D260" s="7"/>
      <c r="E260" s="7"/>
      <c r="F260" s="7"/>
      <c r="G260" s="7"/>
    </row>
    <row r="261" spans="1:7" ht="12.75" customHeight="1">
      <c r="A261" s="1"/>
      <c r="B261" s="7"/>
      <c r="C261" s="7"/>
      <c r="D261" s="7"/>
      <c r="E261" s="7"/>
      <c r="F261" s="7"/>
      <c r="G261" s="7"/>
    </row>
    <row r="262" spans="1:7" ht="12.75" customHeight="1">
      <c r="A262" s="1"/>
      <c r="B262" s="7"/>
      <c r="C262" s="7"/>
      <c r="D262" s="7"/>
      <c r="E262" s="7"/>
      <c r="F262" s="7"/>
      <c r="G262" s="7"/>
    </row>
    <row r="263" spans="1:7" ht="12.75" customHeight="1">
      <c r="A263" s="1"/>
      <c r="B263" s="7"/>
      <c r="C263" s="7"/>
      <c r="D263" s="7"/>
      <c r="E263" s="7"/>
      <c r="F263" s="7"/>
      <c r="G263" s="7"/>
    </row>
    <row r="264" spans="1:7" ht="12.75" customHeight="1">
      <c r="A264" s="1"/>
      <c r="B264" s="7"/>
      <c r="C264" s="7"/>
      <c r="D264" s="7"/>
      <c r="E264" s="7"/>
      <c r="F264" s="7"/>
      <c r="G264" s="7"/>
    </row>
    <row r="265" spans="1:7" ht="12.75" customHeight="1">
      <c r="A265" s="1"/>
      <c r="B265" s="7"/>
      <c r="C265" s="7"/>
      <c r="D265" s="7"/>
      <c r="E265" s="7"/>
      <c r="F265" s="7"/>
      <c r="G265" s="7"/>
    </row>
    <row r="266" spans="1:7" ht="12.75" customHeight="1">
      <c r="A266" s="1"/>
      <c r="B266" s="7"/>
      <c r="C266" s="7"/>
      <c r="D266" s="7"/>
      <c r="E266" s="7"/>
      <c r="F266" s="7"/>
      <c r="G266" s="7"/>
    </row>
    <row r="267" spans="1:7" ht="12.75" customHeight="1">
      <c r="A267" s="11"/>
      <c r="B267" s="12"/>
      <c r="C267" s="12"/>
      <c r="D267" s="12"/>
      <c r="E267" s="12"/>
      <c r="F267" s="12"/>
      <c r="G267" s="12"/>
    </row>
    <row r="268" spans="1:7" ht="12.75" customHeight="1">
      <c r="A268" s="1"/>
      <c r="B268" s="7"/>
      <c r="C268" s="7"/>
      <c r="D268" s="7"/>
      <c r="E268" s="7"/>
      <c r="F268" s="7"/>
      <c r="G268" s="7"/>
    </row>
    <row r="269" spans="1:7" ht="12.75" customHeight="1">
      <c r="A269" s="1"/>
      <c r="B269" s="7"/>
      <c r="C269" s="7"/>
      <c r="D269" s="7"/>
      <c r="E269" s="7"/>
      <c r="F269" s="7"/>
      <c r="G269" s="7"/>
    </row>
    <row r="270" spans="1:7" ht="12.75" customHeight="1">
      <c r="A270" s="1"/>
      <c r="B270" s="7"/>
      <c r="C270" s="7"/>
      <c r="D270" s="7"/>
      <c r="E270" s="7"/>
      <c r="F270" s="7"/>
      <c r="G270" s="7"/>
    </row>
    <row r="271" spans="1:7" ht="12.75" customHeight="1">
      <c r="A271" s="1"/>
      <c r="B271" s="7"/>
      <c r="C271" s="7"/>
      <c r="D271" s="7"/>
      <c r="E271" s="7"/>
      <c r="F271" s="7"/>
      <c r="G271" s="7"/>
    </row>
    <row r="272" spans="1:7" ht="12.75" customHeight="1">
      <c r="A272" s="1"/>
      <c r="B272" s="7"/>
      <c r="C272" s="7"/>
      <c r="D272" s="7"/>
      <c r="E272" s="7"/>
      <c r="F272" s="7"/>
      <c r="G272" s="7"/>
    </row>
    <row r="273" spans="1:7" ht="12.75" customHeight="1">
      <c r="A273" s="1"/>
      <c r="B273" s="7"/>
      <c r="C273" s="7"/>
      <c r="D273" s="7"/>
      <c r="E273" s="7"/>
      <c r="F273" s="7"/>
      <c r="G273" s="7"/>
    </row>
    <row r="274" spans="1:7" ht="12.75" customHeight="1">
      <c r="A274" s="1"/>
      <c r="B274" s="7"/>
      <c r="C274" s="7"/>
      <c r="D274" s="7"/>
      <c r="E274" s="7"/>
      <c r="F274" s="7"/>
      <c r="G274" s="7"/>
    </row>
    <row r="275" spans="1:7" ht="12.75" customHeight="1">
      <c r="A275" s="1"/>
      <c r="B275" s="7"/>
      <c r="C275" s="7"/>
      <c r="D275" s="7"/>
      <c r="E275" s="7"/>
      <c r="F275" s="7"/>
      <c r="G275" s="7"/>
    </row>
    <row r="276" spans="1:7" ht="12.75" customHeight="1">
      <c r="A276" s="1"/>
      <c r="B276" s="7"/>
      <c r="C276" s="7"/>
      <c r="D276" s="7"/>
      <c r="E276" s="7"/>
      <c r="F276" s="7"/>
      <c r="G276" s="7"/>
    </row>
    <row r="277" spans="1:7" ht="12.75" customHeight="1">
      <c r="A277" s="1"/>
      <c r="B277" s="7"/>
      <c r="C277" s="7"/>
      <c r="D277" s="7"/>
      <c r="E277" s="7"/>
      <c r="F277" s="7"/>
      <c r="G277" s="7"/>
    </row>
    <row r="278" spans="1:7" ht="12.75" customHeight="1">
      <c r="A278" s="1"/>
      <c r="B278" s="7"/>
      <c r="C278" s="7"/>
      <c r="D278" s="7"/>
      <c r="E278" s="7"/>
      <c r="F278" s="7"/>
      <c r="G278" s="7"/>
    </row>
    <row r="279" spans="1:7" ht="12.75" customHeight="1">
      <c r="A279" s="1"/>
      <c r="B279" s="7"/>
      <c r="C279" s="7"/>
      <c r="D279" s="7"/>
      <c r="E279" s="7"/>
      <c r="F279" s="7"/>
      <c r="G279" s="7"/>
    </row>
    <row r="280" spans="1:7" ht="12.75" customHeight="1">
      <c r="A280" s="1"/>
      <c r="B280" s="7"/>
      <c r="C280" s="7"/>
      <c r="D280" s="7"/>
      <c r="E280" s="7"/>
      <c r="F280" s="7"/>
      <c r="G280" s="7"/>
    </row>
    <row r="281" spans="1:7" ht="12.75" customHeight="1">
      <c r="A281" s="1"/>
      <c r="B281" s="7"/>
      <c r="C281" s="7"/>
      <c r="D281" s="7"/>
      <c r="E281" s="7"/>
      <c r="F281" s="7"/>
      <c r="G281" s="7"/>
    </row>
    <row r="282" spans="1:7" ht="12.75" customHeight="1">
      <c r="A282" s="1"/>
      <c r="B282" s="7"/>
      <c r="C282" s="7"/>
      <c r="D282" s="7"/>
      <c r="E282" s="7"/>
      <c r="F282" s="7"/>
      <c r="G282" s="7"/>
    </row>
    <row r="283" spans="1:7" ht="12.75" customHeight="1">
      <c r="A283" s="1"/>
      <c r="B283" s="7"/>
      <c r="C283" s="7"/>
      <c r="D283" s="7"/>
      <c r="E283" s="7"/>
      <c r="F283" s="7"/>
      <c r="G283" s="7"/>
    </row>
    <row r="284" spans="1:7" ht="12.75" customHeight="1">
      <c r="A284" s="1"/>
      <c r="B284" s="7"/>
      <c r="C284" s="7"/>
      <c r="D284" s="7"/>
      <c r="E284" s="7"/>
      <c r="F284" s="7"/>
      <c r="G284" s="7"/>
    </row>
    <row r="285" spans="1:7" ht="12.75" customHeight="1">
      <c r="A285" s="1"/>
      <c r="B285" s="7"/>
      <c r="C285" s="7"/>
      <c r="D285" s="7"/>
      <c r="E285" s="7"/>
      <c r="F285" s="7"/>
      <c r="G285" s="7"/>
    </row>
    <row r="286" spans="1:7" ht="12.75" customHeight="1">
      <c r="A286" s="1"/>
      <c r="B286" s="7"/>
      <c r="C286" s="7"/>
      <c r="D286" s="7"/>
      <c r="E286" s="7"/>
      <c r="F286" s="7"/>
      <c r="G286" s="7"/>
    </row>
    <row r="287" spans="1:7" ht="12.75" customHeight="1">
      <c r="A287" s="1"/>
      <c r="B287" s="7"/>
      <c r="C287" s="7"/>
      <c r="D287" s="7"/>
      <c r="E287" s="7"/>
      <c r="F287" s="7"/>
      <c r="G287" s="7"/>
    </row>
    <row r="288" spans="1:7" ht="12.75" customHeight="1">
      <c r="A288" s="1"/>
      <c r="B288" s="7"/>
      <c r="C288" s="7"/>
      <c r="D288" s="7"/>
      <c r="E288" s="7"/>
      <c r="F288" s="7"/>
      <c r="G288" s="7"/>
    </row>
    <row r="289" spans="1:7" ht="12.75" customHeight="1">
      <c r="A289" s="1"/>
      <c r="B289" s="7"/>
      <c r="C289" s="7"/>
      <c r="D289" s="7"/>
      <c r="E289" s="7"/>
      <c r="F289" s="7"/>
      <c r="G289" s="7"/>
    </row>
    <row r="290" spans="1:7" ht="12.75" customHeight="1">
      <c r="A290" s="1"/>
      <c r="B290" s="12"/>
      <c r="C290" s="12"/>
      <c r="D290" s="12"/>
      <c r="E290" s="12"/>
      <c r="F290" s="12"/>
      <c r="G290" s="12"/>
    </row>
    <row r="291" spans="1:7" ht="12.75" customHeight="1">
      <c r="A291" s="1"/>
      <c r="B291" s="12"/>
      <c r="C291" s="12"/>
      <c r="D291" s="12"/>
      <c r="E291" s="12"/>
      <c r="F291" s="12"/>
      <c r="G291" s="12"/>
    </row>
    <row r="292" spans="1:7" ht="12.75" customHeight="1">
      <c r="A292" s="1"/>
      <c r="B292" s="7"/>
      <c r="C292" s="7"/>
      <c r="D292" s="7"/>
      <c r="E292" s="7"/>
      <c r="F292" s="7"/>
      <c r="G292" s="7"/>
    </row>
    <row r="293" spans="1:7" ht="12.75" customHeight="1">
      <c r="A293" s="1"/>
      <c r="B293" s="7"/>
      <c r="C293" s="7"/>
      <c r="D293" s="7"/>
      <c r="E293" s="7"/>
      <c r="F293" s="7"/>
      <c r="G293" s="7"/>
    </row>
    <row r="294" spans="1:7" ht="12.75" customHeight="1">
      <c r="A294" s="1"/>
      <c r="B294" s="7"/>
      <c r="C294" s="7"/>
      <c r="D294" s="7"/>
      <c r="E294" s="7"/>
      <c r="F294" s="7"/>
      <c r="G294" s="7"/>
    </row>
    <row r="295" spans="1:7" ht="12.75" customHeight="1">
      <c r="A295" s="1"/>
      <c r="B295" s="7"/>
      <c r="C295" s="7"/>
      <c r="D295" s="7"/>
      <c r="E295" s="7"/>
      <c r="F295" s="7"/>
      <c r="G295" s="7"/>
    </row>
    <row r="296" spans="1:7" ht="12.75" customHeight="1">
      <c r="A296" s="1"/>
      <c r="B296" s="7"/>
      <c r="C296" s="7"/>
      <c r="D296" s="7"/>
      <c r="E296" s="7"/>
      <c r="F296" s="7"/>
      <c r="G296" s="7"/>
    </row>
    <row r="297" spans="1:7" ht="12.75" customHeight="1">
      <c r="A297" s="1"/>
      <c r="B297" s="7"/>
      <c r="C297" s="7"/>
      <c r="D297" s="7"/>
      <c r="E297" s="7"/>
      <c r="F297" s="7"/>
      <c r="G297" s="7"/>
    </row>
    <row r="298" spans="1:7" ht="12.75" customHeight="1">
      <c r="A298" s="1"/>
      <c r="B298" s="7"/>
      <c r="C298" s="7"/>
      <c r="D298" s="7"/>
      <c r="E298" s="7"/>
      <c r="F298" s="7"/>
      <c r="G298" s="7"/>
    </row>
    <row r="299" spans="1:7" ht="12.75" customHeight="1">
      <c r="A299" s="1"/>
      <c r="B299" s="7"/>
      <c r="C299" s="7"/>
      <c r="D299" s="7"/>
      <c r="E299" s="7"/>
      <c r="F299" s="7"/>
      <c r="G299" s="7"/>
    </row>
    <row r="300" spans="1:7" ht="12.75" customHeight="1">
      <c r="A300" s="1"/>
      <c r="B300" s="7"/>
      <c r="C300" s="7"/>
      <c r="D300" s="7"/>
      <c r="E300" s="7"/>
      <c r="F300" s="7"/>
      <c r="G300" s="7"/>
    </row>
    <row r="301" spans="1:7" ht="12.75" customHeight="1">
      <c r="A301" s="1"/>
      <c r="B301" s="7"/>
      <c r="C301" s="7"/>
      <c r="D301" s="7"/>
      <c r="E301" s="7"/>
      <c r="F301" s="7"/>
      <c r="G301" s="7"/>
    </row>
    <row r="302" spans="1:7" ht="12.75" customHeight="1">
      <c r="A302" s="1"/>
      <c r="B302" s="7"/>
      <c r="C302" s="7"/>
      <c r="D302" s="7"/>
      <c r="E302" s="7"/>
      <c r="F302" s="7"/>
      <c r="G302" s="7"/>
    </row>
    <row r="303" spans="1:7" ht="12.75" customHeight="1">
      <c r="A303" s="1"/>
      <c r="B303" s="7"/>
      <c r="C303" s="7"/>
      <c r="D303" s="7"/>
      <c r="E303" s="7"/>
      <c r="F303" s="7"/>
      <c r="G303" s="7"/>
    </row>
    <row r="304" spans="1:7" ht="12.75" customHeight="1">
      <c r="A304" s="1"/>
      <c r="B304" s="7"/>
      <c r="C304" s="7"/>
      <c r="D304" s="7"/>
      <c r="E304" s="7"/>
      <c r="F304" s="7"/>
      <c r="G304" s="7"/>
    </row>
    <row r="305" spans="1:7" ht="12.75" customHeight="1">
      <c r="A305" s="1"/>
      <c r="B305" s="7"/>
      <c r="C305" s="7"/>
      <c r="D305" s="7"/>
      <c r="E305" s="7"/>
      <c r="F305" s="7"/>
      <c r="G305" s="7"/>
    </row>
    <row r="306" spans="1:7" ht="12.75" customHeight="1">
      <c r="A306" s="1"/>
      <c r="B306" s="7"/>
      <c r="C306" s="7"/>
      <c r="D306" s="7"/>
      <c r="E306" s="7"/>
      <c r="F306" s="7"/>
      <c r="G306" s="7"/>
    </row>
    <row r="307" spans="1:7" ht="12.75" customHeight="1">
      <c r="A307" s="1"/>
      <c r="B307" s="7"/>
      <c r="C307" s="7"/>
      <c r="D307" s="7"/>
      <c r="E307" s="7"/>
      <c r="F307" s="7"/>
      <c r="G307" s="7"/>
    </row>
    <row r="308" spans="1:7" ht="12.75" customHeight="1">
      <c r="A308" s="1"/>
      <c r="B308" s="7"/>
      <c r="C308" s="7"/>
      <c r="D308" s="7"/>
      <c r="E308" s="7"/>
      <c r="F308" s="7"/>
      <c r="G308" s="7"/>
    </row>
    <row r="309" spans="1:7" ht="12.75" customHeight="1">
      <c r="A309" s="1"/>
      <c r="B309" s="7"/>
      <c r="C309" s="7"/>
      <c r="D309" s="7"/>
      <c r="E309" s="7"/>
      <c r="F309" s="7"/>
      <c r="G309" s="7"/>
    </row>
    <row r="310" spans="1:7" ht="12.75" customHeight="1">
      <c r="A310" s="1"/>
      <c r="B310" s="7"/>
      <c r="C310" s="7"/>
      <c r="D310" s="7"/>
      <c r="E310" s="7"/>
      <c r="F310" s="7"/>
      <c r="G310" s="7"/>
    </row>
    <row r="311" spans="1:7" ht="12.75" customHeight="1">
      <c r="A311" s="1"/>
      <c r="B311" s="7"/>
      <c r="C311" s="7"/>
      <c r="D311" s="7"/>
      <c r="E311" s="7"/>
      <c r="F311" s="7"/>
      <c r="G311" s="7"/>
    </row>
    <row r="312" spans="1:7" ht="12.75" customHeight="1">
      <c r="A312" s="1"/>
      <c r="B312" s="7"/>
      <c r="C312" s="7"/>
      <c r="D312" s="7"/>
      <c r="E312" s="7"/>
      <c r="F312" s="7"/>
      <c r="G312" s="7"/>
    </row>
    <row r="313" spans="1:7" ht="12.75" customHeight="1">
      <c r="A313" s="1"/>
      <c r="B313" s="7"/>
      <c r="C313" s="7"/>
      <c r="D313" s="7"/>
      <c r="E313" s="7"/>
      <c r="F313" s="7"/>
      <c r="G313" s="7"/>
    </row>
    <row r="314" spans="1:7" ht="12.75" customHeight="1">
      <c r="A314" s="1"/>
      <c r="B314" s="7"/>
      <c r="C314" s="7"/>
      <c r="D314" s="7"/>
      <c r="E314" s="7"/>
      <c r="F314" s="7"/>
      <c r="G314" s="7"/>
    </row>
    <row r="315" spans="1:7" ht="12.75" customHeight="1">
      <c r="A315" s="1"/>
      <c r="B315" s="12"/>
      <c r="C315" s="12"/>
      <c r="D315" s="12"/>
      <c r="E315" s="12"/>
      <c r="F315" s="12"/>
      <c r="G315" s="12"/>
    </row>
    <row r="316" spans="1:7" ht="12.75" customHeight="1">
      <c r="A316" s="1"/>
      <c r="B316" s="12"/>
      <c r="C316" s="12"/>
      <c r="D316" s="12"/>
      <c r="E316" s="12"/>
      <c r="F316" s="12"/>
      <c r="G316" s="12"/>
    </row>
    <row r="317" spans="1:7" ht="12.75" customHeight="1">
      <c r="A317" s="1"/>
      <c r="B317" s="12"/>
      <c r="C317" s="12"/>
      <c r="D317" s="12"/>
      <c r="E317" s="12"/>
      <c r="F317" s="12"/>
      <c r="G317" s="12"/>
    </row>
    <row r="318" spans="1:7" ht="12.75" customHeight="1">
      <c r="A318" s="1"/>
      <c r="B318" s="12"/>
      <c r="C318" s="12"/>
      <c r="D318" s="12"/>
      <c r="E318" s="12"/>
      <c r="F318" s="12"/>
      <c r="G318" s="12"/>
    </row>
    <row r="319" spans="1:7" ht="12.75" customHeight="1">
      <c r="A319" s="1"/>
      <c r="B319" s="7"/>
      <c r="C319" s="7"/>
      <c r="D319" s="7"/>
      <c r="E319" s="7"/>
      <c r="F319" s="7"/>
      <c r="G319" s="7"/>
    </row>
    <row r="320" spans="1:7" ht="12.75" customHeight="1">
      <c r="A320" s="1"/>
      <c r="B320" s="7"/>
      <c r="C320" s="7"/>
      <c r="D320" s="7"/>
      <c r="E320" s="7"/>
      <c r="F320" s="7"/>
      <c r="G320" s="7"/>
    </row>
    <row r="321" spans="1:7" ht="12.75" customHeight="1">
      <c r="A321" s="1"/>
      <c r="B321" s="7"/>
      <c r="C321" s="7"/>
      <c r="D321" s="7"/>
      <c r="E321" s="7"/>
      <c r="F321" s="7"/>
      <c r="G321" s="7"/>
    </row>
    <row r="322" spans="1:7" ht="12.75" customHeight="1">
      <c r="A322" s="1"/>
      <c r="B322" s="7"/>
      <c r="C322" s="7"/>
      <c r="D322" s="7"/>
      <c r="E322" s="7"/>
      <c r="F322" s="7"/>
      <c r="G322" s="7"/>
    </row>
    <row r="323" spans="1:7" ht="12.75" customHeight="1">
      <c r="A323" s="1"/>
      <c r="B323" s="7"/>
      <c r="C323" s="7"/>
      <c r="D323" s="7"/>
      <c r="E323" s="7"/>
      <c r="F323" s="7"/>
      <c r="G323" s="7"/>
    </row>
    <row r="324" spans="1:7" ht="12.75" customHeight="1">
      <c r="A324" s="11"/>
      <c r="B324" s="12"/>
      <c r="C324" s="12"/>
      <c r="D324" s="12"/>
      <c r="E324" s="12"/>
      <c r="F324" s="12"/>
      <c r="G324" s="12"/>
    </row>
    <row r="325" spans="1:7" ht="12.75" customHeight="1">
      <c r="A325" s="1"/>
      <c r="B325" s="12"/>
      <c r="C325" s="12"/>
      <c r="D325" s="12"/>
      <c r="E325" s="12"/>
      <c r="F325" s="12"/>
      <c r="G325" s="12"/>
    </row>
    <row r="326" spans="1:7" ht="12.75" customHeight="1">
      <c r="A326" s="1"/>
      <c r="B326" s="12"/>
      <c r="C326" s="12"/>
      <c r="D326" s="12"/>
      <c r="E326" s="12"/>
      <c r="F326" s="12"/>
      <c r="G326" s="12"/>
    </row>
    <row r="327" spans="1:7" ht="12.75" customHeight="1">
      <c r="A327" s="1"/>
      <c r="B327" s="7"/>
      <c r="C327" s="7"/>
      <c r="D327" s="7"/>
      <c r="E327" s="7"/>
      <c r="F327" s="7"/>
      <c r="G327" s="7"/>
    </row>
    <row r="328" spans="1:7" ht="12.75" customHeight="1">
      <c r="A328" s="1"/>
      <c r="B328" s="7"/>
      <c r="C328" s="7"/>
      <c r="D328" s="7"/>
      <c r="E328" s="7"/>
      <c r="F328" s="7"/>
      <c r="G328" s="7"/>
    </row>
    <row r="329" spans="1:7" ht="12.75" customHeight="1">
      <c r="A329" s="1"/>
      <c r="B329" s="7"/>
      <c r="C329" s="7"/>
      <c r="D329" s="7"/>
      <c r="E329" s="7"/>
      <c r="F329" s="7"/>
      <c r="G329" s="7"/>
    </row>
    <row r="330" spans="1:7" ht="12.75" customHeight="1">
      <c r="A330" s="1"/>
      <c r="B330" s="7"/>
      <c r="C330" s="7"/>
      <c r="D330" s="7"/>
      <c r="E330" s="7"/>
      <c r="F330" s="7"/>
      <c r="G330" s="7"/>
    </row>
    <row r="331" spans="1:7" ht="12.75" customHeight="1">
      <c r="A331" s="1"/>
      <c r="B331" s="7"/>
      <c r="C331" s="7"/>
      <c r="D331" s="7"/>
      <c r="E331" s="7"/>
      <c r="F331" s="7"/>
      <c r="G331" s="7"/>
    </row>
    <row r="332" spans="1:7" ht="12.75" customHeight="1">
      <c r="A332" s="1"/>
      <c r="B332" s="7"/>
      <c r="C332" s="7"/>
      <c r="D332" s="7"/>
      <c r="E332" s="7"/>
      <c r="F332" s="7"/>
      <c r="G332" s="7"/>
    </row>
    <row r="333" spans="1:7" ht="12.75" customHeight="1">
      <c r="A333" s="1"/>
      <c r="B333" s="7"/>
      <c r="C333" s="7"/>
      <c r="D333" s="7"/>
      <c r="E333" s="7"/>
      <c r="F333" s="7"/>
      <c r="G333" s="7"/>
    </row>
    <row r="334" spans="1:7" ht="12.75" customHeight="1">
      <c r="A334" s="1"/>
      <c r="B334" s="7"/>
      <c r="C334" s="7"/>
      <c r="D334" s="7"/>
      <c r="E334" s="7"/>
      <c r="F334" s="7"/>
      <c r="G334" s="7"/>
    </row>
    <row r="335" spans="1:7" ht="12.75" customHeight="1">
      <c r="A335" s="1"/>
      <c r="B335" s="7"/>
      <c r="C335" s="7"/>
      <c r="D335" s="7"/>
      <c r="E335" s="7"/>
      <c r="F335" s="7"/>
      <c r="G335" s="7"/>
    </row>
    <row r="336" spans="1:7" ht="12.75" customHeight="1">
      <c r="A336" s="1"/>
      <c r="B336" s="7"/>
      <c r="C336" s="7"/>
      <c r="D336" s="7"/>
      <c r="E336" s="7"/>
      <c r="F336" s="7"/>
      <c r="G336" s="7"/>
    </row>
    <row r="337" spans="1:7" ht="12.75" customHeight="1">
      <c r="A337" s="1"/>
      <c r="B337" s="7"/>
      <c r="C337" s="7"/>
      <c r="D337" s="7"/>
      <c r="E337" s="7"/>
      <c r="F337" s="7"/>
      <c r="G337" s="7"/>
    </row>
    <row r="338" spans="1:7" ht="12.75" customHeight="1">
      <c r="A338" s="1"/>
      <c r="B338" s="7"/>
      <c r="C338" s="7"/>
      <c r="D338" s="7"/>
      <c r="E338" s="7"/>
      <c r="F338" s="7"/>
      <c r="G338" s="7"/>
    </row>
    <row r="339" spans="1:7" ht="12.75" customHeight="1">
      <c r="A339" s="1"/>
      <c r="B339" s="7"/>
      <c r="C339" s="7"/>
      <c r="D339" s="7"/>
      <c r="E339" s="7"/>
      <c r="F339" s="7"/>
      <c r="G339" s="7"/>
    </row>
    <row r="340" spans="1:7" ht="12.75" customHeight="1">
      <c r="A340" s="1"/>
      <c r="B340" s="7"/>
      <c r="C340" s="7"/>
      <c r="D340" s="7"/>
      <c r="E340" s="7"/>
      <c r="F340" s="7"/>
      <c r="G340" s="7"/>
    </row>
    <row r="341" spans="1:7" ht="12.75" customHeight="1">
      <c r="A341" s="1"/>
      <c r="B341" s="7"/>
      <c r="C341" s="7"/>
      <c r="D341" s="7"/>
      <c r="E341" s="7"/>
      <c r="F341" s="7"/>
      <c r="G341" s="7"/>
    </row>
    <row r="342" spans="1:7" ht="12.75" customHeight="1">
      <c r="A342" s="1"/>
      <c r="B342" s="7"/>
      <c r="C342" s="7"/>
      <c r="D342" s="7"/>
      <c r="E342" s="7"/>
      <c r="F342" s="7"/>
      <c r="G342" s="7"/>
    </row>
    <row r="343" spans="1:7" ht="12.75" customHeight="1">
      <c r="A343" s="1"/>
      <c r="B343" s="7"/>
      <c r="C343" s="7"/>
      <c r="D343" s="7"/>
      <c r="E343" s="7"/>
      <c r="F343" s="7"/>
      <c r="G343" s="7"/>
    </row>
    <row r="344" spans="1:7" ht="12.75" customHeight="1">
      <c r="A344" s="1"/>
      <c r="B344" s="7"/>
      <c r="C344" s="7"/>
      <c r="D344" s="7"/>
      <c r="E344" s="7"/>
      <c r="F344" s="7"/>
      <c r="G344" s="7"/>
    </row>
    <row r="345" spans="1:7" ht="12.75" customHeight="1">
      <c r="A345" s="1"/>
      <c r="B345" s="7"/>
      <c r="C345" s="7"/>
      <c r="D345" s="7"/>
      <c r="E345" s="7"/>
      <c r="F345" s="7"/>
      <c r="G345" s="7"/>
    </row>
    <row r="346" spans="1:7" ht="12.75">
      <c r="A346" s="1"/>
      <c r="B346" s="7"/>
      <c r="C346" s="7"/>
      <c r="D346" s="7"/>
      <c r="E346" s="7"/>
      <c r="F346" s="7"/>
      <c r="G346" s="7"/>
    </row>
  </sheetData>
  <sheetProtection selectLockedCells="1" selectUnlockedCells="1"/>
  <mergeCells count="7">
    <mergeCell ref="I5:K5"/>
    <mergeCell ref="A13:J13"/>
    <mergeCell ref="A7:K7"/>
    <mergeCell ref="A8:K8"/>
    <mergeCell ref="A9:K9"/>
    <mergeCell ref="A12:K12"/>
    <mergeCell ref="A11:K11"/>
  </mergeCells>
  <printOptions horizontalCentered="1"/>
  <pageMargins left="0.3937007874015748" right="0.3937007874015748" top="0.7874015748031497" bottom="0.3937007874015748" header="0" footer="0"/>
  <pageSetup firstPageNumber="21" useFirstPageNumber="1" fitToHeight="15" fitToWidth="1" horizontalDpi="600" verticalDpi="600" orientation="landscape" paperSize="9" scale="68" r:id="rId1"/>
  <headerFooter alignWithMargins="0">
    <oddHeader>&amp;C&amp;P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2020-07-28T12:27:13Z</cp:lastPrinted>
  <dcterms:created xsi:type="dcterms:W3CDTF">1996-10-08T23:32:33Z</dcterms:created>
  <dcterms:modified xsi:type="dcterms:W3CDTF">2020-07-28T12:27:24Z</dcterms:modified>
  <cp:category/>
  <cp:version/>
  <cp:contentType/>
  <cp:contentStatus/>
</cp:coreProperties>
</file>