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106pin\Desktop\ПРАВИТЕЛЬСТВО\"/>
    </mc:Choice>
  </mc:AlternateContent>
  <bookViews>
    <workbookView xWindow="-120" yWindow="-120" windowWidth="29040" windowHeight="15840" activeTab="1"/>
  </bookViews>
  <sheets>
    <sheet name="Действующая редакция" sheetId="1" r:id="rId1"/>
    <sheet name="Предлагаемая редакция" sheetId="2" r:id="rId2"/>
  </sheets>
  <definedNames>
    <definedName name="_xlnm.Print_Titles" localSheetId="0">'Действующая редакция'!$A:$D,'Действующая редакция'!$9:$9</definedName>
    <definedName name="_xlnm.Print_Area" localSheetId="0">'Действующая редакция'!$A$1:$CQ$299</definedName>
  </definedNames>
  <calcPr calcId="191029" concurrentCalc="0"/>
</workbook>
</file>

<file path=xl/calcChain.xml><?xml version="1.0" encoding="utf-8"?>
<calcChain xmlns="http://schemas.openxmlformats.org/spreadsheetml/2006/main">
  <c r="CW11" i="2" l="1"/>
  <c r="CW13" i="2"/>
  <c r="CW17" i="2"/>
  <c r="CW34" i="2"/>
  <c r="CW36" i="2"/>
  <c r="CW42" i="2"/>
  <c r="CW44" i="2"/>
  <c r="CW10" i="2"/>
  <c r="CW47" i="2"/>
  <c r="CW49" i="2"/>
  <c r="CW51" i="2"/>
  <c r="CW53" i="2"/>
  <c r="CW55" i="2"/>
  <c r="CW46" i="2"/>
  <c r="CW58" i="2"/>
  <c r="CW60" i="2"/>
  <c r="CW57" i="2"/>
  <c r="CW63" i="2"/>
  <c r="CW65" i="2"/>
  <c r="CW62" i="2"/>
  <c r="CW68" i="2"/>
  <c r="CW70" i="2"/>
  <c r="CW73" i="2"/>
  <c r="CW75" i="2"/>
  <c r="CW77" i="2"/>
  <c r="CW79" i="2"/>
  <c r="CW81" i="2"/>
  <c r="CW67" i="2"/>
  <c r="CW84" i="2"/>
  <c r="CW87" i="2"/>
  <c r="CW83" i="2"/>
  <c r="CW100" i="2"/>
  <c r="CW99" i="2"/>
  <c r="CW103" i="2"/>
  <c r="CW102" i="2"/>
  <c r="CW107" i="2"/>
  <c r="CW109" i="2"/>
  <c r="CW106" i="2"/>
  <c r="CW112" i="2"/>
  <c r="CW114" i="2"/>
  <c r="CW116" i="2"/>
  <c r="CW118" i="2"/>
  <c r="CW111" i="2"/>
  <c r="CW121" i="2"/>
  <c r="CW125" i="2"/>
  <c r="CW129" i="2"/>
  <c r="CW133" i="2"/>
  <c r="CW135" i="2"/>
  <c r="CW137" i="2"/>
  <c r="CW120" i="2"/>
  <c r="CW142" i="2"/>
  <c r="CW146" i="2"/>
  <c r="CW149" i="2"/>
  <c r="CW141" i="2"/>
  <c r="CW157" i="2"/>
  <c r="CW160" i="2"/>
  <c r="CW156" i="2"/>
  <c r="CW164" i="2"/>
  <c r="CW166" i="2"/>
  <c r="CW169" i="2"/>
  <c r="CW172" i="2"/>
  <c r="CW174" i="2"/>
  <c r="CW163" i="2"/>
  <c r="CW179" i="2"/>
  <c r="CW183" i="2"/>
  <c r="CW185" i="2"/>
  <c r="CW187" i="2"/>
  <c r="CW189" i="2"/>
  <c r="CW191" i="2"/>
  <c r="CW199" i="2"/>
  <c r="CW176" i="2"/>
  <c r="CW202" i="2"/>
  <c r="CW201" i="2"/>
  <c r="CW208" i="2"/>
  <c r="CW207" i="2"/>
  <c r="CW212" i="2"/>
  <c r="CW214" i="2"/>
  <c r="CW237" i="2"/>
  <c r="CW217" i="2"/>
  <c r="CW265" i="2"/>
  <c r="CW279" i="2"/>
  <c r="CW211" i="2"/>
  <c r="CW283" i="2"/>
  <c r="CW282" i="2"/>
  <c r="CW281" i="2"/>
  <c r="CW285" i="2"/>
  <c r="CW287" i="2"/>
  <c r="CW289" i="2"/>
  <c r="CW291" i="2"/>
  <c r="CW293" i="2"/>
  <c r="CW295" i="2"/>
  <c r="CW297" i="2"/>
  <c r="CW284" i="2"/>
  <c r="CW205" i="2"/>
  <c r="CW204" i="2"/>
  <c r="CW299" i="2"/>
  <c r="CV11" i="2"/>
  <c r="CV13" i="2"/>
  <c r="CV17" i="2"/>
  <c r="CV34" i="2"/>
  <c r="CV36" i="2"/>
  <c r="CV42" i="2"/>
  <c r="CV44" i="2"/>
  <c r="CV10" i="2"/>
  <c r="CV47" i="2"/>
  <c r="CV49" i="2"/>
  <c r="CV51" i="2"/>
  <c r="CV53" i="2"/>
  <c r="CV55" i="2"/>
  <c r="CV46" i="2"/>
  <c r="CV58" i="2"/>
  <c r="CV60" i="2"/>
  <c r="CV57" i="2"/>
  <c r="CV63" i="2"/>
  <c r="CV65" i="2"/>
  <c r="CV62" i="2"/>
  <c r="CV68" i="2"/>
  <c r="CV70" i="2"/>
  <c r="CV73" i="2"/>
  <c r="CV75" i="2"/>
  <c r="CV77" i="2"/>
  <c r="CV79" i="2"/>
  <c r="CV81" i="2"/>
  <c r="CV67" i="2"/>
  <c r="CV84" i="2"/>
  <c r="CV87" i="2"/>
  <c r="CV83" i="2"/>
  <c r="CV100" i="2"/>
  <c r="CV99" i="2"/>
  <c r="CV103" i="2"/>
  <c r="CV102" i="2"/>
  <c r="CV107" i="2"/>
  <c r="CV109" i="2"/>
  <c r="CV106" i="2"/>
  <c r="CV112" i="2"/>
  <c r="CV114" i="2"/>
  <c r="CV116" i="2"/>
  <c r="CV118" i="2"/>
  <c r="CV111" i="2"/>
  <c r="CV121" i="2"/>
  <c r="CV125" i="2"/>
  <c r="CV129" i="2"/>
  <c r="CV133" i="2"/>
  <c r="CV135" i="2"/>
  <c r="CV137" i="2"/>
  <c r="CV120" i="2"/>
  <c r="CV142" i="2"/>
  <c r="CV146" i="2"/>
  <c r="CV149" i="2"/>
  <c r="CV141" i="2"/>
  <c r="CV157" i="2"/>
  <c r="CV160" i="2"/>
  <c r="CV156" i="2"/>
  <c r="CV164" i="2"/>
  <c r="CV166" i="2"/>
  <c r="CV169" i="2"/>
  <c r="CV172" i="2"/>
  <c r="CV174" i="2"/>
  <c r="CV163" i="2"/>
  <c r="CV179" i="2"/>
  <c r="CV183" i="2"/>
  <c r="CV185" i="2"/>
  <c r="CV187" i="2"/>
  <c r="CV189" i="2"/>
  <c r="CV191" i="2"/>
  <c r="CV199" i="2"/>
  <c r="CV176" i="2"/>
  <c r="CV202" i="2"/>
  <c r="CV201" i="2"/>
  <c r="CV208" i="2"/>
  <c r="CV207" i="2"/>
  <c r="CV212" i="2"/>
  <c r="CV214" i="2"/>
  <c r="CV237" i="2"/>
  <c r="CV217" i="2"/>
  <c r="CV265" i="2"/>
  <c r="CV279" i="2"/>
  <c r="CV211" i="2"/>
  <c r="CV282" i="2"/>
  <c r="CV281" i="2"/>
  <c r="CV285" i="2"/>
  <c r="CV287" i="2"/>
  <c r="CV289" i="2"/>
  <c r="CV291" i="2"/>
  <c r="CV293" i="2"/>
  <c r="CV295" i="2"/>
  <c r="CV297" i="2"/>
  <c r="CV284" i="2"/>
  <c r="CV205" i="2"/>
  <c r="CV204" i="2"/>
  <c r="CV299" i="2"/>
  <c r="CU12" i="2"/>
  <c r="CU11" i="2"/>
  <c r="CU14" i="2"/>
  <c r="CU15" i="2"/>
  <c r="CU16" i="2"/>
  <c r="CU13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17" i="2"/>
  <c r="CU35" i="2"/>
  <c r="CU34" i="2"/>
  <c r="CU37" i="2"/>
  <c r="CU38" i="2"/>
  <c r="CU39" i="2"/>
  <c r="CU40" i="2"/>
  <c r="CU41" i="2"/>
  <c r="CU36" i="2"/>
  <c r="CU43" i="2"/>
  <c r="CU42" i="2"/>
  <c r="CU45" i="2"/>
  <c r="CU44" i="2"/>
  <c r="CU10" i="2"/>
  <c r="CU48" i="2"/>
  <c r="CU47" i="2"/>
  <c r="CU50" i="2"/>
  <c r="CU49" i="2"/>
  <c r="CU52" i="2"/>
  <c r="CU51" i="2"/>
  <c r="CU54" i="2"/>
  <c r="CU53" i="2"/>
  <c r="CU56" i="2"/>
  <c r="CU55" i="2"/>
  <c r="CU46" i="2"/>
  <c r="CU59" i="2"/>
  <c r="CU58" i="2"/>
  <c r="CU61" i="2"/>
  <c r="CU60" i="2"/>
  <c r="CU57" i="2"/>
  <c r="CU64" i="2"/>
  <c r="CU63" i="2"/>
  <c r="CU66" i="2"/>
  <c r="CU65" i="2"/>
  <c r="CU62" i="2"/>
  <c r="CU69" i="2"/>
  <c r="CU68" i="2"/>
  <c r="CU71" i="2"/>
  <c r="CU72" i="2"/>
  <c r="CU70" i="2"/>
  <c r="CU74" i="2"/>
  <c r="CU73" i="2"/>
  <c r="CU76" i="2"/>
  <c r="CU75" i="2"/>
  <c r="CU78" i="2"/>
  <c r="CU77" i="2"/>
  <c r="CU80" i="2"/>
  <c r="CU79" i="2"/>
  <c r="CU82" i="2"/>
  <c r="CU81" i="2"/>
  <c r="CU67" i="2"/>
  <c r="CU85" i="2"/>
  <c r="CU86" i="2"/>
  <c r="CU84" i="2"/>
  <c r="CU88" i="2"/>
  <c r="CU89" i="2"/>
  <c r="CU90" i="2"/>
  <c r="CU91" i="2"/>
  <c r="CU92" i="2"/>
  <c r="CU93" i="2"/>
  <c r="CU94" i="2"/>
  <c r="CU95" i="2"/>
  <c r="CU96" i="2"/>
  <c r="CU97" i="2"/>
  <c r="CU98" i="2"/>
  <c r="CU87" i="2"/>
  <c r="CU83" i="2"/>
  <c r="CU101" i="2"/>
  <c r="CU100" i="2"/>
  <c r="CU99" i="2"/>
  <c r="CU104" i="2"/>
  <c r="CU105" i="2"/>
  <c r="CU103" i="2"/>
  <c r="CU102" i="2"/>
  <c r="CU108" i="2"/>
  <c r="CU107" i="2"/>
  <c r="CU110" i="2"/>
  <c r="CU109" i="2"/>
  <c r="CU106" i="2"/>
  <c r="CU113" i="2"/>
  <c r="CU112" i="2"/>
  <c r="CU115" i="2"/>
  <c r="CU114" i="2"/>
  <c r="CU117" i="2"/>
  <c r="CU116" i="2"/>
  <c r="CU119" i="2"/>
  <c r="CU118" i="2"/>
  <c r="CU111" i="2"/>
  <c r="CU122" i="2"/>
  <c r="CU123" i="2"/>
  <c r="CU124" i="2"/>
  <c r="CU121" i="2"/>
  <c r="CU126" i="2"/>
  <c r="CU127" i="2"/>
  <c r="CU128" i="2"/>
  <c r="CU125" i="2"/>
  <c r="CU130" i="2"/>
  <c r="CU131" i="2"/>
  <c r="CU132" i="2"/>
  <c r="CU129" i="2"/>
  <c r="CU134" i="2"/>
  <c r="CU133" i="2"/>
  <c r="CU136" i="2"/>
  <c r="CU135" i="2"/>
  <c r="CU138" i="2"/>
  <c r="CU139" i="2"/>
  <c r="CU140" i="2"/>
  <c r="CU137" i="2"/>
  <c r="CU120" i="2"/>
  <c r="CU143" i="2"/>
  <c r="CU144" i="2"/>
  <c r="CU145" i="2"/>
  <c r="CU142" i="2"/>
  <c r="CU147" i="2"/>
  <c r="CU148" i="2"/>
  <c r="CU146" i="2"/>
  <c r="CU150" i="2"/>
  <c r="CU151" i="2"/>
  <c r="CU152" i="2"/>
  <c r="CU153" i="2"/>
  <c r="CU154" i="2"/>
  <c r="CU155" i="2"/>
  <c r="CU149" i="2"/>
  <c r="CU141" i="2"/>
  <c r="CU158" i="2"/>
  <c r="CU159" i="2"/>
  <c r="CU157" i="2"/>
  <c r="CU161" i="2"/>
  <c r="CU162" i="2"/>
  <c r="CU160" i="2"/>
  <c r="CU156" i="2"/>
  <c r="CU165" i="2"/>
  <c r="CU164" i="2"/>
  <c r="CU167" i="2"/>
  <c r="CU168" i="2"/>
  <c r="CU166" i="2"/>
  <c r="CU170" i="2"/>
  <c r="CU171" i="2"/>
  <c r="CU169" i="2"/>
  <c r="CU173" i="2"/>
  <c r="CU172" i="2"/>
  <c r="CU175" i="2"/>
  <c r="CU174" i="2"/>
  <c r="CU163" i="2"/>
  <c r="CU177" i="2"/>
  <c r="CU178" i="2"/>
  <c r="CU180" i="2"/>
  <c r="CU181" i="2"/>
  <c r="CU182" i="2"/>
  <c r="CU179" i="2"/>
  <c r="CU184" i="2"/>
  <c r="CU183" i="2"/>
  <c r="CU186" i="2"/>
  <c r="CU185" i="2"/>
  <c r="CU188" i="2"/>
  <c r="CU187" i="2"/>
  <c r="CU190" i="2"/>
  <c r="CU189" i="2"/>
  <c r="CU192" i="2"/>
  <c r="CU193" i="2"/>
  <c r="CU194" i="2"/>
  <c r="CU195" i="2"/>
  <c r="CU196" i="2"/>
  <c r="CU197" i="2"/>
  <c r="CU198" i="2"/>
  <c r="CU191" i="2"/>
  <c r="CU200" i="2"/>
  <c r="CU199" i="2"/>
  <c r="CU176" i="2"/>
  <c r="CU203" i="2"/>
  <c r="CU202" i="2"/>
  <c r="CU201" i="2"/>
  <c r="CU209" i="2"/>
  <c r="CU210" i="2"/>
  <c r="CU208" i="2"/>
  <c r="CU207" i="2"/>
  <c r="CU213" i="2"/>
  <c r="CU212" i="2"/>
  <c r="CU215" i="2"/>
  <c r="CU216" i="2"/>
  <c r="CU214" i="2"/>
  <c r="CU218" i="2"/>
  <c r="CU219" i="2"/>
  <c r="CU220" i="2"/>
  <c r="CU221" i="2"/>
  <c r="CU222" i="2"/>
  <c r="CU223" i="2"/>
  <c r="CU224" i="2"/>
  <c r="CU225" i="2"/>
  <c r="CU226" i="2"/>
  <c r="CU227" i="2"/>
  <c r="CU228" i="2"/>
  <c r="CU229" i="2"/>
  <c r="CU230" i="2"/>
  <c r="CU231" i="2"/>
  <c r="CU232" i="2"/>
  <c r="CU233" i="2"/>
  <c r="CU234" i="2"/>
  <c r="CU235" i="2"/>
  <c r="CU236" i="2"/>
  <c r="CU238" i="2"/>
  <c r="CU239" i="2"/>
  <c r="CU240" i="2"/>
  <c r="CU241" i="2"/>
  <c r="CU242" i="2"/>
  <c r="CU243" i="2"/>
  <c r="CU244" i="2"/>
  <c r="CU245" i="2"/>
  <c r="CU246" i="2"/>
  <c r="CU247" i="2"/>
  <c r="CU248" i="2"/>
  <c r="CU249" i="2"/>
  <c r="CU250" i="2"/>
  <c r="CU251" i="2"/>
  <c r="CU252" i="2"/>
  <c r="CU253" i="2"/>
  <c r="CU254" i="2"/>
  <c r="CU255" i="2"/>
  <c r="CU256" i="2"/>
  <c r="CU257" i="2"/>
  <c r="CU258" i="2"/>
  <c r="CU259" i="2"/>
  <c r="CU260" i="2"/>
  <c r="CU261" i="2"/>
  <c r="CU262" i="2"/>
  <c r="CU263" i="2"/>
  <c r="CU264" i="2"/>
  <c r="CU237" i="2"/>
  <c r="CU217" i="2"/>
  <c r="CU266" i="2"/>
  <c r="CU267" i="2"/>
  <c r="CU268" i="2"/>
  <c r="CU269" i="2"/>
  <c r="CU270" i="2"/>
  <c r="CU271" i="2"/>
  <c r="CU272" i="2"/>
  <c r="CU273" i="2"/>
  <c r="CU274" i="2"/>
  <c r="CU275" i="2"/>
  <c r="CU276" i="2"/>
  <c r="CU277" i="2"/>
  <c r="CU278" i="2"/>
  <c r="CU265" i="2"/>
  <c r="CU280" i="2"/>
  <c r="CU279" i="2"/>
  <c r="CU211" i="2"/>
  <c r="CU283" i="2"/>
  <c r="CU282" i="2"/>
  <c r="CU281" i="2"/>
  <c r="CU286" i="2"/>
  <c r="CU285" i="2"/>
  <c r="CU288" i="2"/>
  <c r="CU287" i="2"/>
  <c r="CU290" i="2"/>
  <c r="CU289" i="2"/>
  <c r="CU292" i="2"/>
  <c r="CU291" i="2"/>
  <c r="CU294" i="2"/>
  <c r="CU293" i="2"/>
  <c r="CU296" i="2"/>
  <c r="CU295" i="2"/>
  <c r="CU298" i="2"/>
  <c r="CU297" i="2"/>
  <c r="CU284" i="2"/>
  <c r="CU206" i="2"/>
  <c r="CU205" i="2"/>
  <c r="CU204" i="2"/>
  <c r="CU299" i="2"/>
  <c r="CT12" i="2"/>
  <c r="CT11" i="2"/>
  <c r="CT14" i="2"/>
  <c r="CT15" i="2"/>
  <c r="CT16" i="2"/>
  <c r="CT13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17" i="2"/>
  <c r="CT35" i="2"/>
  <c r="CT34" i="2"/>
  <c r="CT37" i="2"/>
  <c r="CT38" i="2"/>
  <c r="CT39" i="2"/>
  <c r="CT40" i="2"/>
  <c r="CT41" i="2"/>
  <c r="CT36" i="2"/>
  <c r="CT43" i="2"/>
  <c r="CT42" i="2"/>
  <c r="CT45" i="2"/>
  <c r="CT44" i="2"/>
  <c r="CT10" i="2"/>
  <c r="CT48" i="2"/>
  <c r="CT47" i="2"/>
  <c r="CT50" i="2"/>
  <c r="CT49" i="2"/>
  <c r="CT52" i="2"/>
  <c r="CT51" i="2"/>
  <c r="CT54" i="2"/>
  <c r="CT53" i="2"/>
  <c r="CT56" i="2"/>
  <c r="CT55" i="2"/>
  <c r="CT46" i="2"/>
  <c r="CT59" i="2"/>
  <c r="CT58" i="2"/>
  <c r="CT61" i="2"/>
  <c r="CT60" i="2"/>
  <c r="CT57" i="2"/>
  <c r="CT64" i="2"/>
  <c r="CT63" i="2"/>
  <c r="CT66" i="2"/>
  <c r="CT65" i="2"/>
  <c r="CT62" i="2"/>
  <c r="CT69" i="2"/>
  <c r="CT68" i="2"/>
  <c r="CT71" i="2"/>
  <c r="CT72" i="2"/>
  <c r="CT70" i="2"/>
  <c r="CT74" i="2"/>
  <c r="CT73" i="2"/>
  <c r="CT76" i="2"/>
  <c r="CT75" i="2"/>
  <c r="CT78" i="2"/>
  <c r="CT77" i="2"/>
  <c r="CT80" i="2"/>
  <c r="CT79" i="2"/>
  <c r="CT82" i="2"/>
  <c r="CT81" i="2"/>
  <c r="CT67" i="2"/>
  <c r="CT85" i="2"/>
  <c r="CT86" i="2"/>
  <c r="CT84" i="2"/>
  <c r="CT88" i="2"/>
  <c r="CT89" i="2"/>
  <c r="CT90" i="2"/>
  <c r="CT91" i="2"/>
  <c r="CT92" i="2"/>
  <c r="CT93" i="2"/>
  <c r="CT94" i="2"/>
  <c r="CT95" i="2"/>
  <c r="CT96" i="2"/>
  <c r="CT97" i="2"/>
  <c r="CT98" i="2"/>
  <c r="CT87" i="2"/>
  <c r="CT83" i="2"/>
  <c r="CT101" i="2"/>
  <c r="CT100" i="2"/>
  <c r="CT99" i="2"/>
  <c r="CT104" i="2"/>
  <c r="CT105" i="2"/>
  <c r="CT103" i="2"/>
  <c r="CT102" i="2"/>
  <c r="CT108" i="2"/>
  <c r="CT107" i="2"/>
  <c r="CT110" i="2"/>
  <c r="CT109" i="2"/>
  <c r="CT106" i="2"/>
  <c r="CT113" i="2"/>
  <c r="CT112" i="2"/>
  <c r="CT115" i="2"/>
  <c r="CT114" i="2"/>
  <c r="CT117" i="2"/>
  <c r="CT116" i="2"/>
  <c r="CT119" i="2"/>
  <c r="CT118" i="2"/>
  <c r="CT111" i="2"/>
  <c r="CT122" i="2"/>
  <c r="CT123" i="2"/>
  <c r="CT124" i="2"/>
  <c r="CT121" i="2"/>
  <c r="CT126" i="2"/>
  <c r="CT127" i="2"/>
  <c r="CT128" i="2"/>
  <c r="CT125" i="2"/>
  <c r="CT130" i="2"/>
  <c r="CT131" i="2"/>
  <c r="CT132" i="2"/>
  <c r="CT129" i="2"/>
  <c r="CT134" i="2"/>
  <c r="CT133" i="2"/>
  <c r="CT136" i="2"/>
  <c r="CT135" i="2"/>
  <c r="CT138" i="2"/>
  <c r="CT139" i="2"/>
  <c r="CT140" i="2"/>
  <c r="CT137" i="2"/>
  <c r="CT120" i="2"/>
  <c r="CT143" i="2"/>
  <c r="CT144" i="2"/>
  <c r="CT145" i="2"/>
  <c r="CT142" i="2"/>
  <c r="CT147" i="2"/>
  <c r="CT148" i="2"/>
  <c r="CT146" i="2"/>
  <c r="CT150" i="2"/>
  <c r="CT151" i="2"/>
  <c r="CT152" i="2"/>
  <c r="CT153" i="2"/>
  <c r="CT154" i="2"/>
  <c r="CT155" i="2"/>
  <c r="CT149" i="2"/>
  <c r="CT141" i="2"/>
  <c r="CT158" i="2"/>
  <c r="CT159" i="2"/>
  <c r="CT157" i="2"/>
  <c r="CT161" i="2"/>
  <c r="CT162" i="2"/>
  <c r="CT160" i="2"/>
  <c r="CT156" i="2"/>
  <c r="CT165" i="2"/>
  <c r="CT164" i="2"/>
  <c r="CT167" i="2"/>
  <c r="CT168" i="2"/>
  <c r="CT166" i="2"/>
  <c r="CT170" i="2"/>
  <c r="CT171" i="2"/>
  <c r="CT169" i="2"/>
  <c r="CT173" i="2"/>
  <c r="CT172" i="2"/>
  <c r="CT175" i="2"/>
  <c r="CT174" i="2"/>
  <c r="CT163" i="2"/>
  <c r="CT177" i="2"/>
  <c r="CT178" i="2"/>
  <c r="CT180" i="2"/>
  <c r="CT181" i="2"/>
  <c r="CT182" i="2"/>
  <c r="CT179" i="2"/>
  <c r="CT184" i="2"/>
  <c r="CT183" i="2"/>
  <c r="CT186" i="2"/>
  <c r="CT185" i="2"/>
  <c r="CT188" i="2"/>
  <c r="CT187" i="2"/>
  <c r="CT190" i="2"/>
  <c r="CT189" i="2"/>
  <c r="CT192" i="2"/>
  <c r="CT193" i="2"/>
  <c r="CT194" i="2"/>
  <c r="CT195" i="2"/>
  <c r="CT196" i="2"/>
  <c r="CT197" i="2"/>
  <c r="CT198" i="2"/>
  <c r="CT191" i="2"/>
  <c r="CT200" i="2"/>
  <c r="CT199" i="2"/>
  <c r="CT176" i="2"/>
  <c r="CT203" i="2"/>
  <c r="CT202" i="2"/>
  <c r="CT201" i="2"/>
  <c r="CT209" i="2"/>
  <c r="CT210" i="2"/>
  <c r="CT208" i="2"/>
  <c r="CT207" i="2"/>
  <c r="CT213" i="2"/>
  <c r="CT212" i="2"/>
  <c r="CT215" i="2"/>
  <c r="CT216" i="2"/>
  <c r="CT214" i="2"/>
  <c r="CT218" i="2"/>
  <c r="CT219" i="2"/>
  <c r="CT220" i="2"/>
  <c r="CT221" i="2"/>
  <c r="CT222" i="2"/>
  <c r="CT223" i="2"/>
  <c r="CT224" i="2"/>
  <c r="CT225" i="2"/>
  <c r="CT226" i="2"/>
  <c r="CT227" i="2"/>
  <c r="CT228" i="2"/>
  <c r="CT229" i="2"/>
  <c r="CT230" i="2"/>
  <c r="CT231" i="2"/>
  <c r="CT232" i="2"/>
  <c r="CT233" i="2"/>
  <c r="CT234" i="2"/>
  <c r="CT235" i="2"/>
  <c r="CT236" i="2"/>
  <c r="CT238" i="2"/>
  <c r="CT239" i="2"/>
  <c r="CT240" i="2"/>
  <c r="CT241" i="2"/>
  <c r="CT242" i="2"/>
  <c r="CT243" i="2"/>
  <c r="CT244" i="2"/>
  <c r="CT245" i="2"/>
  <c r="CT246" i="2"/>
  <c r="CT247" i="2"/>
  <c r="CT248" i="2"/>
  <c r="CT249" i="2"/>
  <c r="CT250" i="2"/>
  <c r="CT251" i="2"/>
  <c r="CT252" i="2"/>
  <c r="CT253" i="2"/>
  <c r="CT254" i="2"/>
  <c r="CT255" i="2"/>
  <c r="CT256" i="2"/>
  <c r="CT257" i="2"/>
  <c r="CT258" i="2"/>
  <c r="CT259" i="2"/>
  <c r="CT260" i="2"/>
  <c r="CT261" i="2"/>
  <c r="CT262" i="2"/>
  <c r="CT263" i="2"/>
  <c r="CT264" i="2"/>
  <c r="CT237" i="2"/>
  <c r="CT217" i="2"/>
  <c r="CT266" i="2"/>
  <c r="CT267" i="2"/>
  <c r="CT268" i="2"/>
  <c r="CT269" i="2"/>
  <c r="CT270" i="2"/>
  <c r="CT271" i="2"/>
  <c r="CT272" i="2"/>
  <c r="CT273" i="2"/>
  <c r="CT274" i="2"/>
  <c r="CT275" i="2"/>
  <c r="CT276" i="2"/>
  <c r="CT277" i="2"/>
  <c r="CT278" i="2"/>
  <c r="CT265" i="2"/>
  <c r="CT280" i="2"/>
  <c r="CT279" i="2"/>
  <c r="CT211" i="2"/>
  <c r="CT283" i="2"/>
  <c r="CT282" i="2"/>
  <c r="CT281" i="2"/>
  <c r="CT286" i="2"/>
  <c r="CT285" i="2"/>
  <c r="CT288" i="2"/>
  <c r="CT287" i="2"/>
  <c r="CT290" i="2"/>
  <c r="CT289" i="2"/>
  <c r="CT292" i="2"/>
  <c r="CT291" i="2"/>
  <c r="CT294" i="2"/>
  <c r="CT293" i="2"/>
  <c r="CT296" i="2"/>
  <c r="CT295" i="2"/>
  <c r="CT298" i="2"/>
  <c r="CT297" i="2"/>
  <c r="CT284" i="2"/>
  <c r="CT206" i="2"/>
  <c r="CT205" i="2"/>
  <c r="CT204" i="2"/>
  <c r="CT299" i="2"/>
  <c r="CS11" i="2"/>
  <c r="CS13" i="2"/>
  <c r="CS17" i="2"/>
  <c r="CS34" i="2"/>
  <c r="CS36" i="2"/>
  <c r="CS42" i="2"/>
  <c r="CS44" i="2"/>
  <c r="CS10" i="2"/>
  <c r="CS47" i="2"/>
  <c r="CS49" i="2"/>
  <c r="CS51" i="2"/>
  <c r="CS53" i="2"/>
  <c r="CS55" i="2"/>
  <c r="CS46" i="2"/>
  <c r="CS58" i="2"/>
  <c r="CS60" i="2"/>
  <c r="CS57" i="2"/>
  <c r="CS63" i="2"/>
  <c r="CS65" i="2"/>
  <c r="CS62" i="2"/>
  <c r="CS68" i="2"/>
  <c r="CS70" i="2"/>
  <c r="CS73" i="2"/>
  <c r="CS75" i="2"/>
  <c r="CS77" i="2"/>
  <c r="CS79" i="2"/>
  <c r="CS81" i="2"/>
  <c r="CS67" i="2"/>
  <c r="CS84" i="2"/>
  <c r="CS87" i="2"/>
  <c r="CS83" i="2"/>
  <c r="CS100" i="2"/>
  <c r="CS99" i="2"/>
  <c r="CS103" i="2"/>
  <c r="CS102" i="2"/>
  <c r="CS107" i="2"/>
  <c r="CS109" i="2"/>
  <c r="CS106" i="2"/>
  <c r="CS112" i="2"/>
  <c r="CS114" i="2"/>
  <c r="CS116" i="2"/>
  <c r="CS118" i="2"/>
  <c r="CS111" i="2"/>
  <c r="CS121" i="2"/>
  <c r="CS125" i="2"/>
  <c r="CS129" i="2"/>
  <c r="CS133" i="2"/>
  <c r="CS135" i="2"/>
  <c r="CS137" i="2"/>
  <c r="CS120" i="2"/>
  <c r="CS142" i="2"/>
  <c r="CS146" i="2"/>
  <c r="CS149" i="2"/>
  <c r="CS141" i="2"/>
  <c r="CS157" i="2"/>
  <c r="CS160" i="2"/>
  <c r="CS156" i="2"/>
  <c r="CS164" i="2"/>
  <c r="CS166" i="2"/>
  <c r="CS169" i="2"/>
  <c r="CS172" i="2"/>
  <c r="CS174" i="2"/>
  <c r="CS163" i="2"/>
  <c r="CS179" i="2"/>
  <c r="CS183" i="2"/>
  <c r="CS185" i="2"/>
  <c r="CS187" i="2"/>
  <c r="CS189" i="2"/>
  <c r="CS191" i="2"/>
  <c r="CS199" i="2"/>
  <c r="CS176" i="2"/>
  <c r="CS202" i="2"/>
  <c r="CS201" i="2"/>
  <c r="CS208" i="2"/>
  <c r="CS207" i="2"/>
  <c r="CS213" i="2"/>
  <c r="CS212" i="2"/>
  <c r="CS214" i="2"/>
  <c r="CS237" i="2"/>
  <c r="CS217" i="2"/>
  <c r="CS269" i="2"/>
  <c r="CS272" i="2"/>
  <c r="CS273" i="2"/>
  <c r="CS274" i="2"/>
  <c r="CS275" i="2"/>
  <c r="CS276" i="2"/>
  <c r="CS278" i="2"/>
  <c r="CS265" i="2"/>
  <c r="CS280" i="2"/>
  <c r="CS279" i="2"/>
  <c r="CS211" i="2"/>
  <c r="CS282" i="2"/>
  <c r="CS281" i="2"/>
  <c r="CS285" i="2"/>
  <c r="CS287" i="2"/>
  <c r="CS289" i="2"/>
  <c r="CS292" i="2"/>
  <c r="CS291" i="2"/>
  <c r="CS293" i="2"/>
  <c r="CS295" i="2"/>
  <c r="CS297" i="2"/>
  <c r="CS284" i="2"/>
  <c r="CS205" i="2"/>
  <c r="CS204" i="2"/>
  <c r="CS299" i="2"/>
  <c r="CR11" i="2"/>
  <c r="CR17" i="2"/>
  <c r="CR34" i="2"/>
  <c r="CR36" i="2"/>
  <c r="CR42" i="2"/>
  <c r="CR44" i="2"/>
  <c r="CR10" i="2"/>
  <c r="CR47" i="2"/>
  <c r="CR49" i="2"/>
  <c r="CR51" i="2"/>
  <c r="CR53" i="2"/>
  <c r="CR55" i="2"/>
  <c r="CR46" i="2"/>
  <c r="CR58" i="2"/>
  <c r="CR60" i="2"/>
  <c r="CR57" i="2"/>
  <c r="CR63" i="2"/>
  <c r="CR65" i="2"/>
  <c r="CR62" i="2"/>
  <c r="CR68" i="2"/>
  <c r="CR70" i="2"/>
  <c r="CR73" i="2"/>
  <c r="CR75" i="2"/>
  <c r="CR77" i="2"/>
  <c r="CR79" i="2"/>
  <c r="CR81" i="2"/>
  <c r="CR67" i="2"/>
  <c r="CR84" i="2"/>
  <c r="CR87" i="2"/>
  <c r="CR83" i="2"/>
  <c r="CR100" i="2"/>
  <c r="CR99" i="2"/>
  <c r="CR103" i="2"/>
  <c r="CR102" i="2"/>
  <c r="CR107" i="2"/>
  <c r="CR109" i="2"/>
  <c r="CR106" i="2"/>
  <c r="CR112" i="2"/>
  <c r="CR114" i="2"/>
  <c r="CR116" i="2"/>
  <c r="CR118" i="2"/>
  <c r="CR111" i="2"/>
  <c r="CR121" i="2"/>
  <c r="CR125" i="2"/>
  <c r="CR129" i="2"/>
  <c r="CR133" i="2"/>
  <c r="CR135" i="2"/>
  <c r="CR137" i="2"/>
  <c r="CR120" i="2"/>
  <c r="CR142" i="2"/>
  <c r="CR146" i="2"/>
  <c r="CR149" i="2"/>
  <c r="CR141" i="2"/>
  <c r="CR157" i="2"/>
  <c r="CR160" i="2"/>
  <c r="CR156" i="2"/>
  <c r="CR164" i="2"/>
  <c r="CR166" i="2"/>
  <c r="CR169" i="2"/>
  <c r="CR172" i="2"/>
  <c r="CR174" i="2"/>
  <c r="CR163" i="2"/>
  <c r="CR179" i="2"/>
  <c r="CR183" i="2"/>
  <c r="CR185" i="2"/>
  <c r="CR187" i="2"/>
  <c r="CR189" i="2"/>
  <c r="CR191" i="2"/>
  <c r="CR199" i="2"/>
  <c r="CR176" i="2"/>
  <c r="CR202" i="2"/>
  <c r="CR201" i="2"/>
  <c r="CR208" i="2"/>
  <c r="CR207" i="2"/>
  <c r="CR212" i="2"/>
  <c r="CR214" i="2"/>
  <c r="CR237" i="2"/>
  <c r="CR217" i="2"/>
  <c r="CR265" i="2"/>
  <c r="CR279" i="2"/>
  <c r="CR211" i="2"/>
  <c r="CR282" i="2"/>
  <c r="CR281" i="2"/>
  <c r="CR285" i="2"/>
  <c r="CR287" i="2"/>
  <c r="CR289" i="2"/>
  <c r="CR291" i="2"/>
  <c r="CR293" i="2"/>
  <c r="CR295" i="2"/>
  <c r="CR297" i="2"/>
  <c r="CR284" i="2"/>
  <c r="CR206" i="2"/>
  <c r="CR205" i="2"/>
  <c r="CR204" i="2"/>
  <c r="CR299" i="2"/>
  <c r="CQ12" i="2"/>
  <c r="CQ11" i="2"/>
  <c r="CQ13" i="2"/>
  <c r="CQ17" i="2"/>
  <c r="CQ34" i="2"/>
  <c r="CQ36" i="2"/>
  <c r="CQ42" i="2"/>
  <c r="CQ44" i="2"/>
  <c r="CQ10" i="2"/>
  <c r="CQ47" i="2"/>
  <c r="CQ49" i="2"/>
  <c r="CQ51" i="2"/>
  <c r="CQ53" i="2"/>
  <c r="CQ55" i="2"/>
  <c r="CQ46" i="2"/>
  <c r="CQ58" i="2"/>
  <c r="CQ60" i="2"/>
  <c r="CQ57" i="2"/>
  <c r="CQ63" i="2"/>
  <c r="CQ65" i="2"/>
  <c r="CQ62" i="2"/>
  <c r="CQ68" i="2"/>
  <c r="CQ70" i="2"/>
  <c r="CQ73" i="2"/>
  <c r="CQ75" i="2"/>
  <c r="CQ77" i="2"/>
  <c r="CQ79" i="2"/>
  <c r="CQ81" i="2"/>
  <c r="CQ67" i="2"/>
  <c r="CQ84" i="2"/>
  <c r="CQ91" i="2"/>
  <c r="CQ92" i="2"/>
  <c r="CQ87" i="2"/>
  <c r="CQ83" i="2"/>
  <c r="CQ100" i="2"/>
  <c r="CQ99" i="2"/>
  <c r="CQ103" i="2"/>
  <c r="CQ102" i="2"/>
  <c r="CQ107" i="2"/>
  <c r="CQ109" i="2"/>
  <c r="CQ106" i="2"/>
  <c r="CQ112" i="2"/>
  <c r="CQ114" i="2"/>
  <c r="CQ116" i="2"/>
  <c r="CQ118" i="2"/>
  <c r="CQ111" i="2"/>
  <c r="CQ121" i="2"/>
  <c r="CQ125" i="2"/>
  <c r="CQ129" i="2"/>
  <c r="CQ133" i="2"/>
  <c r="CQ135" i="2"/>
  <c r="CQ137" i="2"/>
  <c r="CQ120" i="2"/>
  <c r="CQ142" i="2"/>
  <c r="CQ146" i="2"/>
  <c r="CQ149" i="2"/>
  <c r="CQ141" i="2"/>
  <c r="CQ157" i="2"/>
  <c r="CQ160" i="2"/>
  <c r="CQ156" i="2"/>
  <c r="CQ164" i="2"/>
  <c r="CQ166" i="2"/>
  <c r="CQ169" i="2"/>
  <c r="CQ172" i="2"/>
  <c r="CQ174" i="2"/>
  <c r="CQ163" i="2"/>
  <c r="CQ179" i="2"/>
  <c r="CQ183" i="2"/>
  <c r="CQ185" i="2"/>
  <c r="CQ187" i="2"/>
  <c r="CQ189" i="2"/>
  <c r="CQ191" i="2"/>
  <c r="CQ199" i="2"/>
  <c r="CQ176" i="2"/>
  <c r="CQ202" i="2"/>
  <c r="CQ201" i="2"/>
  <c r="CQ208" i="2"/>
  <c r="CQ207" i="2"/>
  <c r="CQ212" i="2"/>
  <c r="CQ214" i="2"/>
  <c r="CQ220" i="2"/>
  <c r="CQ223" i="2"/>
  <c r="CQ230" i="2"/>
  <c r="CQ234" i="2"/>
  <c r="CQ237" i="2"/>
  <c r="CQ217" i="2"/>
  <c r="CQ265" i="2"/>
  <c r="CQ279" i="2"/>
  <c r="CQ211" i="2"/>
  <c r="CQ282" i="2"/>
  <c r="CQ281" i="2"/>
  <c r="CQ285" i="2"/>
  <c r="CQ287" i="2"/>
  <c r="CQ289" i="2"/>
  <c r="CQ291" i="2"/>
  <c r="CQ293" i="2"/>
  <c r="CQ295" i="2"/>
  <c r="CQ297" i="2"/>
  <c r="CQ284" i="2"/>
  <c r="CQ206" i="2"/>
  <c r="CQ205" i="2"/>
  <c r="CQ204" i="2"/>
  <c r="CQ299" i="2"/>
  <c r="CP11" i="2"/>
  <c r="CP13" i="2"/>
  <c r="CP17" i="2"/>
  <c r="CP34" i="2"/>
  <c r="CP36" i="2"/>
  <c r="CP42" i="2"/>
  <c r="CP44" i="2"/>
  <c r="CP10" i="2"/>
  <c r="CP47" i="2"/>
  <c r="CP49" i="2"/>
  <c r="CP51" i="2"/>
  <c r="CP53" i="2"/>
  <c r="CP55" i="2"/>
  <c r="CP46" i="2"/>
  <c r="CP58" i="2"/>
  <c r="CP60" i="2"/>
  <c r="CP57" i="2"/>
  <c r="CP63" i="2"/>
  <c r="CP65" i="2"/>
  <c r="CP62" i="2"/>
  <c r="CP68" i="2"/>
  <c r="CP70" i="2"/>
  <c r="CP73" i="2"/>
  <c r="CP75" i="2"/>
  <c r="CP77" i="2"/>
  <c r="CP79" i="2"/>
  <c r="CP81" i="2"/>
  <c r="CP67" i="2"/>
  <c r="CP84" i="2"/>
  <c r="CP87" i="2"/>
  <c r="CP83" i="2"/>
  <c r="CP100" i="2"/>
  <c r="CP99" i="2"/>
  <c r="CP103" i="2"/>
  <c r="CP102" i="2"/>
  <c r="CP107" i="2"/>
  <c r="CP109" i="2"/>
  <c r="CP106" i="2"/>
  <c r="CP112" i="2"/>
  <c r="CP114" i="2"/>
  <c r="CP116" i="2"/>
  <c r="CP118" i="2"/>
  <c r="CP111" i="2"/>
  <c r="CP121" i="2"/>
  <c r="CP125" i="2"/>
  <c r="CP129" i="2"/>
  <c r="CP133" i="2"/>
  <c r="CP135" i="2"/>
  <c r="CP137" i="2"/>
  <c r="CP120" i="2"/>
  <c r="CP142" i="2"/>
  <c r="CP146" i="2"/>
  <c r="CP149" i="2"/>
  <c r="CP141" i="2"/>
  <c r="CP157" i="2"/>
  <c r="CP160" i="2"/>
  <c r="CP156" i="2"/>
  <c r="CP164" i="2"/>
  <c r="CP166" i="2"/>
  <c r="CP169" i="2"/>
  <c r="CP172" i="2"/>
  <c r="CP174" i="2"/>
  <c r="CP163" i="2"/>
  <c r="CP179" i="2"/>
  <c r="CP183" i="2"/>
  <c r="CP185" i="2"/>
  <c r="CP187" i="2"/>
  <c r="CP189" i="2"/>
  <c r="CP191" i="2"/>
  <c r="CP199" i="2"/>
  <c r="CP176" i="2"/>
  <c r="CP202" i="2"/>
  <c r="CP201" i="2"/>
  <c r="CP208" i="2"/>
  <c r="CP207" i="2"/>
  <c r="CP212" i="2"/>
  <c r="CP214" i="2"/>
  <c r="CP248" i="2"/>
  <c r="CP237" i="2"/>
  <c r="CP217" i="2"/>
  <c r="CP265" i="2"/>
  <c r="CP279" i="2"/>
  <c r="CP211" i="2"/>
  <c r="CP282" i="2"/>
  <c r="CP281" i="2"/>
  <c r="CP285" i="2"/>
  <c r="CP287" i="2"/>
  <c r="CP289" i="2"/>
  <c r="CP292" i="2"/>
  <c r="CP291" i="2"/>
  <c r="CP293" i="2"/>
  <c r="CP295" i="2"/>
  <c r="CP297" i="2"/>
  <c r="CP284" i="2"/>
  <c r="CP205" i="2"/>
  <c r="CP204" i="2"/>
  <c r="CP299" i="2"/>
  <c r="CO11" i="2"/>
  <c r="CO13" i="2"/>
  <c r="CO17" i="2"/>
  <c r="CO34" i="2"/>
  <c r="CO36" i="2"/>
  <c r="CO42" i="2"/>
  <c r="CO45" i="2"/>
  <c r="CO44" i="2"/>
  <c r="CO10" i="2"/>
  <c r="CO47" i="2"/>
  <c r="CO49" i="2"/>
  <c r="CO51" i="2"/>
  <c r="CO53" i="2"/>
  <c r="CO55" i="2"/>
  <c r="CO46" i="2"/>
  <c r="CO58" i="2"/>
  <c r="CO60" i="2"/>
  <c r="CO57" i="2"/>
  <c r="CO63" i="2"/>
  <c r="CO65" i="2"/>
  <c r="CO62" i="2"/>
  <c r="CO68" i="2"/>
  <c r="CO70" i="2"/>
  <c r="CO73" i="2"/>
  <c r="CO75" i="2"/>
  <c r="CO78" i="2"/>
  <c r="CO77" i="2"/>
  <c r="CO79" i="2"/>
  <c r="CO81" i="2"/>
  <c r="CO67" i="2"/>
  <c r="CO84" i="2"/>
  <c r="CO87" i="2"/>
  <c r="CO83" i="2"/>
  <c r="CO100" i="2"/>
  <c r="CO99" i="2"/>
  <c r="CO103" i="2"/>
  <c r="CO102" i="2"/>
  <c r="CO107" i="2"/>
  <c r="CO109" i="2"/>
  <c r="CO106" i="2"/>
  <c r="CO112" i="2"/>
  <c r="CO114" i="2"/>
  <c r="CO116" i="2"/>
  <c r="CO118" i="2"/>
  <c r="CO111" i="2"/>
  <c r="CO121" i="2"/>
  <c r="CO125" i="2"/>
  <c r="CO129" i="2"/>
  <c r="CO133" i="2"/>
  <c r="CO135" i="2"/>
  <c r="CO137" i="2"/>
  <c r="CO120" i="2"/>
  <c r="CO142" i="2"/>
  <c r="CO146" i="2"/>
  <c r="CO149" i="2"/>
  <c r="CO141" i="2"/>
  <c r="CO157" i="2"/>
  <c r="CO160" i="2"/>
  <c r="CO156" i="2"/>
  <c r="CO164" i="2"/>
  <c r="CO166" i="2"/>
  <c r="CO169" i="2"/>
  <c r="CO172" i="2"/>
  <c r="CO174" i="2"/>
  <c r="CO163" i="2"/>
  <c r="CO179" i="2"/>
  <c r="CO183" i="2"/>
  <c r="CO185" i="2"/>
  <c r="CO187" i="2"/>
  <c r="CO189" i="2"/>
  <c r="CO191" i="2"/>
  <c r="CO199" i="2"/>
  <c r="CO176" i="2"/>
  <c r="CO202" i="2"/>
  <c r="CO201" i="2"/>
  <c r="CO208" i="2"/>
  <c r="CO207" i="2"/>
  <c r="CO212" i="2"/>
  <c r="CO214" i="2"/>
  <c r="CO246" i="2"/>
  <c r="CO237" i="2"/>
  <c r="CO217" i="2"/>
  <c r="CO265" i="2"/>
  <c r="CO279" i="2"/>
  <c r="CO211" i="2"/>
  <c r="CO282" i="2"/>
  <c r="CO281" i="2"/>
  <c r="CO285" i="2"/>
  <c r="CO288" i="2"/>
  <c r="CO287" i="2"/>
  <c r="CO289" i="2"/>
  <c r="CO292" i="2"/>
  <c r="CO291" i="2"/>
  <c r="CO293" i="2"/>
  <c r="CO295" i="2"/>
  <c r="CO297" i="2"/>
  <c r="CO284" i="2"/>
  <c r="CO205" i="2"/>
  <c r="CO204" i="2"/>
  <c r="CO299" i="2"/>
  <c r="CN11" i="2"/>
  <c r="CN13" i="2"/>
  <c r="CN17" i="2"/>
  <c r="CN34" i="2"/>
  <c r="CN36" i="2"/>
  <c r="CN42" i="2"/>
  <c r="CN44" i="2"/>
  <c r="CN10" i="2"/>
  <c r="CN47" i="2"/>
  <c r="CN49" i="2"/>
  <c r="CN51" i="2"/>
  <c r="CN53" i="2"/>
  <c r="CN55" i="2"/>
  <c r="CN46" i="2"/>
  <c r="CN58" i="2"/>
  <c r="CN60" i="2"/>
  <c r="CN57" i="2"/>
  <c r="CN63" i="2"/>
  <c r="CN65" i="2"/>
  <c r="CN62" i="2"/>
  <c r="CN68" i="2"/>
  <c r="CN70" i="2"/>
  <c r="CN73" i="2"/>
  <c r="CN75" i="2"/>
  <c r="CN77" i="2"/>
  <c r="CN79" i="2"/>
  <c r="CN81" i="2"/>
  <c r="CN67" i="2"/>
  <c r="CN84" i="2"/>
  <c r="CN87" i="2"/>
  <c r="CN83" i="2"/>
  <c r="CN100" i="2"/>
  <c r="CN99" i="2"/>
  <c r="CN103" i="2"/>
  <c r="CN102" i="2"/>
  <c r="CN107" i="2"/>
  <c r="CN109" i="2"/>
  <c r="CN106" i="2"/>
  <c r="CN112" i="2"/>
  <c r="CN114" i="2"/>
  <c r="CN116" i="2"/>
  <c r="CN118" i="2"/>
  <c r="CN111" i="2"/>
  <c r="CN121" i="2"/>
  <c r="CN125" i="2"/>
  <c r="CN129" i="2"/>
  <c r="CN133" i="2"/>
  <c r="CN135" i="2"/>
  <c r="CN137" i="2"/>
  <c r="CN120" i="2"/>
  <c r="CN142" i="2"/>
  <c r="CN146" i="2"/>
  <c r="CN149" i="2"/>
  <c r="CN141" i="2"/>
  <c r="CN157" i="2"/>
  <c r="CN160" i="2"/>
  <c r="CN156" i="2"/>
  <c r="CN164" i="2"/>
  <c r="CN166" i="2"/>
  <c r="CN169" i="2"/>
  <c r="CN172" i="2"/>
  <c r="CN174" i="2"/>
  <c r="CN163" i="2"/>
  <c r="CN179" i="2"/>
  <c r="CN183" i="2"/>
  <c r="CN185" i="2"/>
  <c r="CN187" i="2"/>
  <c r="CN189" i="2"/>
  <c r="CN191" i="2"/>
  <c r="CN199" i="2"/>
  <c r="CN176" i="2"/>
  <c r="CN202" i="2"/>
  <c r="CN201" i="2"/>
  <c r="CN208" i="2"/>
  <c r="CN207" i="2"/>
  <c r="CN212" i="2"/>
  <c r="CN214" i="2"/>
  <c r="CN244" i="2"/>
  <c r="CN248" i="2"/>
  <c r="CN253" i="2"/>
  <c r="CN237" i="2"/>
  <c r="CN217" i="2"/>
  <c r="CN265" i="2"/>
  <c r="CN279" i="2"/>
  <c r="CN211" i="2"/>
  <c r="CN282" i="2"/>
  <c r="CN281" i="2"/>
  <c r="CN285" i="2"/>
  <c r="CN288" i="2"/>
  <c r="CN287" i="2"/>
  <c r="CN289" i="2"/>
  <c r="CN292" i="2"/>
  <c r="CN291" i="2"/>
  <c r="CN293" i="2"/>
  <c r="CN295" i="2"/>
  <c r="CN297" i="2"/>
  <c r="CN284" i="2"/>
  <c r="CN205" i="2"/>
  <c r="CN204" i="2"/>
  <c r="CN299" i="2"/>
  <c r="CM11" i="2"/>
  <c r="CM13" i="2"/>
  <c r="CM17" i="2"/>
  <c r="CM34" i="2"/>
  <c r="CM36" i="2"/>
  <c r="CM42" i="2"/>
  <c r="CM44" i="2"/>
  <c r="CM10" i="2"/>
  <c r="CM47" i="2"/>
  <c r="CM49" i="2"/>
  <c r="CM51" i="2"/>
  <c r="CM53" i="2"/>
  <c r="CM55" i="2"/>
  <c r="CM46" i="2"/>
  <c r="CM58" i="2"/>
  <c r="CM60" i="2"/>
  <c r="CM57" i="2"/>
  <c r="CM63" i="2"/>
  <c r="CM65" i="2"/>
  <c r="CM62" i="2"/>
  <c r="CM68" i="2"/>
  <c r="CM70" i="2"/>
  <c r="CM73" i="2"/>
  <c r="CM75" i="2"/>
  <c r="CM77" i="2"/>
  <c r="CM79" i="2"/>
  <c r="CM81" i="2"/>
  <c r="CM67" i="2"/>
  <c r="CM84" i="2"/>
  <c r="CM87" i="2"/>
  <c r="CM83" i="2"/>
  <c r="CM100" i="2"/>
  <c r="CM99" i="2"/>
  <c r="CM103" i="2"/>
  <c r="CM102" i="2"/>
  <c r="CM107" i="2"/>
  <c r="CM109" i="2"/>
  <c r="CM106" i="2"/>
  <c r="CM112" i="2"/>
  <c r="CM114" i="2"/>
  <c r="CM116" i="2"/>
  <c r="CM118" i="2"/>
  <c r="CM111" i="2"/>
  <c r="CM121" i="2"/>
  <c r="CM125" i="2"/>
  <c r="CM129" i="2"/>
  <c r="CM133" i="2"/>
  <c r="CM135" i="2"/>
  <c r="CM137" i="2"/>
  <c r="CM120" i="2"/>
  <c r="CM142" i="2"/>
  <c r="CM146" i="2"/>
  <c r="CM149" i="2"/>
  <c r="CM141" i="2"/>
  <c r="CM157" i="2"/>
  <c r="CM160" i="2"/>
  <c r="CM156" i="2"/>
  <c r="CM164" i="2"/>
  <c r="CM166" i="2"/>
  <c r="CM169" i="2"/>
  <c r="CM172" i="2"/>
  <c r="CM174" i="2"/>
  <c r="CM163" i="2"/>
  <c r="CM179" i="2"/>
  <c r="CM183" i="2"/>
  <c r="CM185" i="2"/>
  <c r="CM187" i="2"/>
  <c r="CM189" i="2"/>
  <c r="CM191" i="2"/>
  <c r="CM199" i="2"/>
  <c r="CM176" i="2"/>
  <c r="CM202" i="2"/>
  <c r="CM201" i="2"/>
  <c r="CM208" i="2"/>
  <c r="CM207" i="2"/>
  <c r="CM212" i="2"/>
  <c r="CM214" i="2"/>
  <c r="CM237" i="2"/>
  <c r="CM217" i="2"/>
  <c r="CM265" i="2"/>
  <c r="CM279" i="2"/>
  <c r="CM211" i="2"/>
  <c r="CM282" i="2"/>
  <c r="CM281" i="2"/>
  <c r="CM285" i="2"/>
  <c r="CM287" i="2"/>
  <c r="CM289" i="2"/>
  <c r="CM292" i="2"/>
  <c r="CM291" i="2"/>
  <c r="CM293" i="2"/>
  <c r="CM295" i="2"/>
  <c r="CM297" i="2"/>
  <c r="CM284" i="2"/>
  <c r="CM205" i="2"/>
  <c r="CM204" i="2"/>
  <c r="CM299" i="2"/>
  <c r="CL11" i="2"/>
  <c r="CL13" i="2"/>
  <c r="CL17" i="2"/>
  <c r="CL34" i="2"/>
  <c r="CL36" i="2"/>
  <c r="CL42" i="2"/>
  <c r="CL44" i="2"/>
  <c r="CL10" i="2"/>
  <c r="CL47" i="2"/>
  <c r="CL49" i="2"/>
  <c r="CL51" i="2"/>
  <c r="CL53" i="2"/>
  <c r="CL55" i="2"/>
  <c r="CL46" i="2"/>
  <c r="CL58" i="2"/>
  <c r="CL60" i="2"/>
  <c r="CL57" i="2"/>
  <c r="CL63" i="2"/>
  <c r="CL65" i="2"/>
  <c r="CL62" i="2"/>
  <c r="CL68" i="2"/>
  <c r="CL70" i="2"/>
  <c r="CL73" i="2"/>
  <c r="CL75" i="2"/>
  <c r="CL77" i="2"/>
  <c r="CL79" i="2"/>
  <c r="CL81" i="2"/>
  <c r="CL67" i="2"/>
  <c r="CL84" i="2"/>
  <c r="CL87" i="2"/>
  <c r="CL83" i="2"/>
  <c r="CL100" i="2"/>
  <c r="CL99" i="2"/>
  <c r="CL103" i="2"/>
  <c r="CL102" i="2"/>
  <c r="CL107" i="2"/>
  <c r="CL109" i="2"/>
  <c r="CL106" i="2"/>
  <c r="CL112" i="2"/>
  <c r="CL114" i="2"/>
  <c r="CL116" i="2"/>
  <c r="CL118" i="2"/>
  <c r="CL111" i="2"/>
  <c r="CL121" i="2"/>
  <c r="CL125" i="2"/>
  <c r="CL129" i="2"/>
  <c r="CL133" i="2"/>
  <c r="CL135" i="2"/>
  <c r="CL137" i="2"/>
  <c r="CL120" i="2"/>
  <c r="CL142" i="2"/>
  <c r="CL146" i="2"/>
  <c r="CL149" i="2"/>
  <c r="CL141" i="2"/>
  <c r="CL157" i="2"/>
  <c r="CL160" i="2"/>
  <c r="CL156" i="2"/>
  <c r="CL164" i="2"/>
  <c r="CL166" i="2"/>
  <c r="CL169" i="2"/>
  <c r="CL172" i="2"/>
  <c r="CL174" i="2"/>
  <c r="CL163" i="2"/>
  <c r="CL179" i="2"/>
  <c r="CL183" i="2"/>
  <c r="CL185" i="2"/>
  <c r="CL187" i="2"/>
  <c r="CL189" i="2"/>
  <c r="CL191" i="2"/>
  <c r="CL199" i="2"/>
  <c r="CL176" i="2"/>
  <c r="CL202" i="2"/>
  <c r="CL201" i="2"/>
  <c r="CL208" i="2"/>
  <c r="CL207" i="2"/>
  <c r="CL212" i="2"/>
  <c r="CL214" i="2"/>
  <c r="CL237" i="2"/>
  <c r="CL217" i="2"/>
  <c r="CL265" i="2"/>
  <c r="CL279" i="2"/>
  <c r="CL211" i="2"/>
  <c r="CL282" i="2"/>
  <c r="CL281" i="2"/>
  <c r="CL285" i="2"/>
  <c r="CL287" i="2"/>
  <c r="CL289" i="2"/>
  <c r="CL292" i="2"/>
  <c r="CL291" i="2"/>
  <c r="CL293" i="2"/>
  <c r="CL295" i="2"/>
  <c r="CL297" i="2"/>
  <c r="CL284" i="2"/>
  <c r="CL205" i="2"/>
  <c r="CL204" i="2"/>
  <c r="CL299" i="2"/>
  <c r="CK12" i="2"/>
  <c r="CK11" i="2"/>
  <c r="CK14" i="2"/>
  <c r="CK15" i="2"/>
  <c r="CK16" i="2"/>
  <c r="CK13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17" i="2"/>
  <c r="CK35" i="2"/>
  <c r="CK34" i="2"/>
  <c r="CK37" i="2"/>
  <c r="CK38" i="2"/>
  <c r="CK39" i="2"/>
  <c r="CK40" i="2"/>
  <c r="CK41" i="2"/>
  <c r="CK36" i="2"/>
  <c r="CK43" i="2"/>
  <c r="CK42" i="2"/>
  <c r="CK45" i="2"/>
  <c r="CK44" i="2"/>
  <c r="CK10" i="2"/>
  <c r="CK48" i="2"/>
  <c r="CK47" i="2"/>
  <c r="CK50" i="2"/>
  <c r="CK49" i="2"/>
  <c r="CK52" i="2"/>
  <c r="CK51" i="2"/>
  <c r="CK54" i="2"/>
  <c r="CK53" i="2"/>
  <c r="CK56" i="2"/>
  <c r="CK55" i="2"/>
  <c r="CK46" i="2"/>
  <c r="CK59" i="2"/>
  <c r="CK58" i="2"/>
  <c r="CK61" i="2"/>
  <c r="CK60" i="2"/>
  <c r="CK57" i="2"/>
  <c r="CK64" i="2"/>
  <c r="CK63" i="2"/>
  <c r="CK66" i="2"/>
  <c r="CK65" i="2"/>
  <c r="CK62" i="2"/>
  <c r="CK69" i="2"/>
  <c r="CK68" i="2"/>
  <c r="CK71" i="2"/>
  <c r="CK72" i="2"/>
  <c r="CK70" i="2"/>
  <c r="CK74" i="2"/>
  <c r="CK73" i="2"/>
  <c r="CK76" i="2"/>
  <c r="CK75" i="2"/>
  <c r="CK78" i="2"/>
  <c r="CK77" i="2"/>
  <c r="CK80" i="2"/>
  <c r="CK79" i="2"/>
  <c r="CK82" i="2"/>
  <c r="CK81" i="2"/>
  <c r="CK67" i="2"/>
  <c r="CK85" i="2"/>
  <c r="CK86" i="2"/>
  <c r="CK84" i="2"/>
  <c r="CK88" i="2"/>
  <c r="CK89" i="2"/>
  <c r="CK90" i="2"/>
  <c r="CK91" i="2"/>
  <c r="CK92" i="2"/>
  <c r="CK93" i="2"/>
  <c r="CK94" i="2"/>
  <c r="CK95" i="2"/>
  <c r="CK96" i="2"/>
  <c r="CK97" i="2"/>
  <c r="CK98" i="2"/>
  <c r="CK87" i="2"/>
  <c r="CK83" i="2"/>
  <c r="CK101" i="2"/>
  <c r="CK100" i="2"/>
  <c r="CK99" i="2"/>
  <c r="CK104" i="2"/>
  <c r="CK105" i="2"/>
  <c r="CK103" i="2"/>
  <c r="CK102" i="2"/>
  <c r="CK108" i="2"/>
  <c r="CK107" i="2"/>
  <c r="CK110" i="2"/>
  <c r="CK109" i="2"/>
  <c r="CK106" i="2"/>
  <c r="CK113" i="2"/>
  <c r="CK112" i="2"/>
  <c r="CK115" i="2"/>
  <c r="CK114" i="2"/>
  <c r="CK117" i="2"/>
  <c r="CK116" i="2"/>
  <c r="CK119" i="2"/>
  <c r="CK118" i="2"/>
  <c r="CK111" i="2"/>
  <c r="CK122" i="2"/>
  <c r="CK123" i="2"/>
  <c r="CK124" i="2"/>
  <c r="CK121" i="2"/>
  <c r="CK126" i="2"/>
  <c r="CK127" i="2"/>
  <c r="CK128" i="2"/>
  <c r="CK125" i="2"/>
  <c r="CK130" i="2"/>
  <c r="CK131" i="2"/>
  <c r="CK132" i="2"/>
  <c r="CK129" i="2"/>
  <c r="CK134" i="2"/>
  <c r="CK133" i="2"/>
  <c r="CK136" i="2"/>
  <c r="CK135" i="2"/>
  <c r="CK138" i="2"/>
  <c r="CK139" i="2"/>
  <c r="CK140" i="2"/>
  <c r="CK137" i="2"/>
  <c r="CK120" i="2"/>
  <c r="CK143" i="2"/>
  <c r="CK144" i="2"/>
  <c r="CK145" i="2"/>
  <c r="CK142" i="2"/>
  <c r="CK147" i="2"/>
  <c r="CK148" i="2"/>
  <c r="CK146" i="2"/>
  <c r="CK150" i="2"/>
  <c r="CK151" i="2"/>
  <c r="CK152" i="2"/>
  <c r="CK153" i="2"/>
  <c r="CK154" i="2"/>
  <c r="CK155" i="2"/>
  <c r="CK149" i="2"/>
  <c r="CK141" i="2"/>
  <c r="CK158" i="2"/>
  <c r="CK159" i="2"/>
  <c r="CK157" i="2"/>
  <c r="CK161" i="2"/>
  <c r="CK162" i="2"/>
  <c r="CK160" i="2"/>
  <c r="CK156" i="2"/>
  <c r="CK165" i="2"/>
  <c r="CK164" i="2"/>
  <c r="CK167" i="2"/>
  <c r="CK168" i="2"/>
  <c r="CK166" i="2"/>
  <c r="CK170" i="2"/>
  <c r="CK171" i="2"/>
  <c r="CK169" i="2"/>
  <c r="CK173" i="2"/>
  <c r="CK172" i="2"/>
  <c r="CK175" i="2"/>
  <c r="CK174" i="2"/>
  <c r="CK163" i="2"/>
  <c r="CK177" i="2"/>
  <c r="CK178" i="2"/>
  <c r="CK180" i="2"/>
  <c r="CK181" i="2"/>
  <c r="CK182" i="2"/>
  <c r="CK179" i="2"/>
  <c r="CK184" i="2"/>
  <c r="CK183" i="2"/>
  <c r="CK186" i="2"/>
  <c r="CK185" i="2"/>
  <c r="CK188" i="2"/>
  <c r="CK187" i="2"/>
  <c r="CK190" i="2"/>
  <c r="CK189" i="2"/>
  <c r="CK192" i="2"/>
  <c r="CK193" i="2"/>
  <c r="CK194" i="2"/>
  <c r="CK195" i="2"/>
  <c r="CK196" i="2"/>
  <c r="CK197" i="2"/>
  <c r="CK198" i="2"/>
  <c r="CK191" i="2"/>
  <c r="CK200" i="2"/>
  <c r="CK199" i="2"/>
  <c r="CK176" i="2"/>
  <c r="CK203" i="2"/>
  <c r="CK202" i="2"/>
  <c r="CK201" i="2"/>
  <c r="CK209" i="2"/>
  <c r="CK210" i="2"/>
  <c r="CK208" i="2"/>
  <c r="CK207" i="2"/>
  <c r="CK213" i="2"/>
  <c r="CK212" i="2"/>
  <c r="CK215" i="2"/>
  <c r="CK216" i="2"/>
  <c r="CK214" i="2"/>
  <c r="CK218" i="2"/>
  <c r="CK219" i="2"/>
  <c r="CK220" i="2"/>
  <c r="CK221" i="2"/>
  <c r="CK222" i="2"/>
  <c r="CK223" i="2"/>
  <c r="CK224" i="2"/>
  <c r="CK225" i="2"/>
  <c r="CK226" i="2"/>
  <c r="CK227" i="2"/>
  <c r="CK228" i="2"/>
  <c r="CK229" i="2"/>
  <c r="CK230" i="2"/>
  <c r="CK231" i="2"/>
  <c r="CK232" i="2"/>
  <c r="CK233" i="2"/>
  <c r="CK234" i="2"/>
  <c r="CK235" i="2"/>
  <c r="CK236" i="2"/>
  <c r="CK238" i="2"/>
  <c r="CK239" i="2"/>
  <c r="CK240" i="2"/>
  <c r="CK241" i="2"/>
  <c r="CK242" i="2"/>
  <c r="CK243" i="2"/>
  <c r="CK244" i="2"/>
  <c r="CK245" i="2"/>
  <c r="CK246" i="2"/>
  <c r="CK247" i="2"/>
  <c r="CK248" i="2"/>
  <c r="CK249" i="2"/>
  <c r="CK250" i="2"/>
  <c r="CK251" i="2"/>
  <c r="CK252" i="2"/>
  <c r="CK253" i="2"/>
  <c r="CK254" i="2"/>
  <c r="CK255" i="2"/>
  <c r="CK256" i="2"/>
  <c r="CK257" i="2"/>
  <c r="CK258" i="2"/>
  <c r="CK259" i="2"/>
  <c r="CK260" i="2"/>
  <c r="CK261" i="2"/>
  <c r="CK262" i="2"/>
  <c r="CK263" i="2"/>
  <c r="CK264" i="2"/>
  <c r="CK237" i="2"/>
  <c r="CK217" i="2"/>
  <c r="CK266" i="2"/>
  <c r="CK267" i="2"/>
  <c r="CK268" i="2"/>
  <c r="CK269" i="2"/>
  <c r="CK270" i="2"/>
  <c r="CK271" i="2"/>
  <c r="CK272" i="2"/>
  <c r="CK273" i="2"/>
  <c r="CK274" i="2"/>
  <c r="CK275" i="2"/>
  <c r="CK276" i="2"/>
  <c r="CK277" i="2"/>
  <c r="CK278" i="2"/>
  <c r="CK265" i="2"/>
  <c r="CK280" i="2"/>
  <c r="CK279" i="2"/>
  <c r="CK211" i="2"/>
  <c r="CK283" i="2"/>
  <c r="CK282" i="2"/>
  <c r="CK281" i="2"/>
  <c r="CK286" i="2"/>
  <c r="CK285" i="2"/>
  <c r="CK288" i="2"/>
  <c r="CK287" i="2"/>
  <c r="CK290" i="2"/>
  <c r="CK289" i="2"/>
  <c r="CK292" i="2"/>
  <c r="CK291" i="2"/>
  <c r="CK294" i="2"/>
  <c r="CK293" i="2"/>
  <c r="CK296" i="2"/>
  <c r="CK295" i="2"/>
  <c r="CK298" i="2"/>
  <c r="CK297" i="2"/>
  <c r="CK284" i="2"/>
  <c r="CK206" i="2"/>
  <c r="CK205" i="2"/>
  <c r="CK204" i="2"/>
  <c r="CK299" i="2"/>
  <c r="CJ11" i="2"/>
  <c r="CJ13" i="2"/>
  <c r="CJ17" i="2"/>
  <c r="CJ34" i="2"/>
  <c r="CJ36" i="2"/>
  <c r="CJ42" i="2"/>
  <c r="CJ44" i="2"/>
  <c r="CJ10" i="2"/>
  <c r="CJ47" i="2"/>
  <c r="CJ49" i="2"/>
  <c r="CJ51" i="2"/>
  <c r="CJ53" i="2"/>
  <c r="CJ55" i="2"/>
  <c r="CJ46" i="2"/>
  <c r="CJ58" i="2"/>
  <c r="CJ60" i="2"/>
  <c r="CJ57" i="2"/>
  <c r="CJ63" i="2"/>
  <c r="CJ65" i="2"/>
  <c r="CJ62" i="2"/>
  <c r="CJ68" i="2"/>
  <c r="CJ70" i="2"/>
  <c r="CJ73" i="2"/>
  <c r="CJ75" i="2"/>
  <c r="CJ77" i="2"/>
  <c r="CJ79" i="2"/>
  <c r="CJ81" i="2"/>
  <c r="CJ67" i="2"/>
  <c r="CJ84" i="2"/>
  <c r="CJ87" i="2"/>
  <c r="CJ83" i="2"/>
  <c r="CJ100" i="2"/>
  <c r="CJ99" i="2"/>
  <c r="CJ103" i="2"/>
  <c r="CJ102" i="2"/>
  <c r="CJ107" i="2"/>
  <c r="CJ109" i="2"/>
  <c r="CJ106" i="2"/>
  <c r="CJ112" i="2"/>
  <c r="CJ114" i="2"/>
  <c r="CJ116" i="2"/>
  <c r="CJ118" i="2"/>
  <c r="CJ111" i="2"/>
  <c r="CJ121" i="2"/>
  <c r="CJ125" i="2"/>
  <c r="CJ129" i="2"/>
  <c r="CJ133" i="2"/>
  <c r="CJ135" i="2"/>
  <c r="CJ137" i="2"/>
  <c r="CJ120" i="2"/>
  <c r="CJ142" i="2"/>
  <c r="CJ146" i="2"/>
  <c r="CJ149" i="2"/>
  <c r="CJ141" i="2"/>
  <c r="CJ157" i="2"/>
  <c r="CJ160" i="2"/>
  <c r="CJ156" i="2"/>
  <c r="CJ164" i="2"/>
  <c r="CJ166" i="2"/>
  <c r="CJ169" i="2"/>
  <c r="CJ172" i="2"/>
  <c r="CJ174" i="2"/>
  <c r="CJ163" i="2"/>
  <c r="CJ179" i="2"/>
  <c r="CJ183" i="2"/>
  <c r="CJ185" i="2"/>
  <c r="CJ187" i="2"/>
  <c r="CJ189" i="2"/>
  <c r="CJ191" i="2"/>
  <c r="CJ199" i="2"/>
  <c r="CJ176" i="2"/>
  <c r="CJ202" i="2"/>
  <c r="CJ201" i="2"/>
  <c r="CJ208" i="2"/>
  <c r="CJ207" i="2"/>
  <c r="CJ212" i="2"/>
  <c r="CJ214" i="2"/>
  <c r="CJ237" i="2"/>
  <c r="CJ217" i="2"/>
  <c r="CJ265" i="2"/>
  <c r="CJ279" i="2"/>
  <c r="CJ211" i="2"/>
  <c r="CJ282" i="2"/>
  <c r="CJ281" i="2"/>
  <c r="CJ285" i="2"/>
  <c r="CJ288" i="2"/>
  <c r="CJ287" i="2"/>
  <c r="CJ289" i="2"/>
  <c r="CJ291" i="2"/>
  <c r="CJ293" i="2"/>
  <c r="CJ295" i="2"/>
  <c r="CJ297" i="2"/>
  <c r="CJ284" i="2"/>
  <c r="CJ205" i="2"/>
  <c r="CJ204" i="2"/>
  <c r="CJ299" i="2"/>
  <c r="CI11" i="2"/>
  <c r="CI13" i="2"/>
  <c r="CI17" i="2"/>
  <c r="CI34" i="2"/>
  <c r="CI36" i="2"/>
  <c r="CI42" i="2"/>
  <c r="CI44" i="2"/>
  <c r="CI10" i="2"/>
  <c r="CI47" i="2"/>
  <c r="CI49" i="2"/>
  <c r="CI51" i="2"/>
  <c r="CI53" i="2"/>
  <c r="CI55" i="2"/>
  <c r="CI46" i="2"/>
  <c r="CI58" i="2"/>
  <c r="CI60" i="2"/>
  <c r="CI57" i="2"/>
  <c r="CI63" i="2"/>
  <c r="CI65" i="2"/>
  <c r="CI62" i="2"/>
  <c r="CI68" i="2"/>
  <c r="CI70" i="2"/>
  <c r="CI73" i="2"/>
  <c r="CI75" i="2"/>
  <c r="CI77" i="2"/>
  <c r="CI79" i="2"/>
  <c r="CI81" i="2"/>
  <c r="CI67" i="2"/>
  <c r="CI84" i="2"/>
  <c r="CI87" i="2"/>
  <c r="CI83" i="2"/>
  <c r="CI100" i="2"/>
  <c r="CI99" i="2"/>
  <c r="CI103" i="2"/>
  <c r="CI102" i="2"/>
  <c r="CI107" i="2"/>
  <c r="CI109" i="2"/>
  <c r="CI106" i="2"/>
  <c r="CI112" i="2"/>
  <c r="CI114" i="2"/>
  <c r="CI116" i="2"/>
  <c r="CI118" i="2"/>
  <c r="CI111" i="2"/>
  <c r="CI121" i="2"/>
  <c r="CI125" i="2"/>
  <c r="CI129" i="2"/>
  <c r="CI133" i="2"/>
  <c r="CI135" i="2"/>
  <c r="CI137" i="2"/>
  <c r="CI120" i="2"/>
  <c r="CI142" i="2"/>
  <c r="CI146" i="2"/>
  <c r="CI149" i="2"/>
  <c r="CI141" i="2"/>
  <c r="CI157" i="2"/>
  <c r="CI160" i="2"/>
  <c r="CI156" i="2"/>
  <c r="CI164" i="2"/>
  <c r="CI166" i="2"/>
  <c r="CI169" i="2"/>
  <c r="CI172" i="2"/>
  <c r="CI174" i="2"/>
  <c r="CI163" i="2"/>
  <c r="CI179" i="2"/>
  <c r="CI183" i="2"/>
  <c r="CI185" i="2"/>
  <c r="CI187" i="2"/>
  <c r="CI189" i="2"/>
  <c r="CI191" i="2"/>
  <c r="CI199" i="2"/>
  <c r="CI176" i="2"/>
  <c r="CI202" i="2"/>
  <c r="CI201" i="2"/>
  <c r="CI208" i="2"/>
  <c r="CI207" i="2"/>
  <c r="CI212" i="2"/>
  <c r="CI214" i="2"/>
  <c r="CI237" i="2"/>
  <c r="CI217" i="2"/>
  <c r="CI265" i="2"/>
  <c r="CI279" i="2"/>
  <c r="CI211" i="2"/>
  <c r="CI282" i="2"/>
  <c r="CI281" i="2"/>
  <c r="CI285" i="2"/>
  <c r="CI287" i="2"/>
  <c r="CI289" i="2"/>
  <c r="CI292" i="2"/>
  <c r="CI291" i="2"/>
  <c r="CI293" i="2"/>
  <c r="CI295" i="2"/>
  <c r="CI297" i="2"/>
  <c r="CI284" i="2"/>
  <c r="CI205" i="2"/>
  <c r="CI204" i="2"/>
  <c r="CI299" i="2"/>
  <c r="CH11" i="2"/>
  <c r="CH13" i="2"/>
  <c r="CH17" i="2"/>
  <c r="CH34" i="2"/>
  <c r="CH36" i="2"/>
  <c r="CH42" i="2"/>
  <c r="CH44" i="2"/>
  <c r="CH10" i="2"/>
  <c r="CH47" i="2"/>
  <c r="CH49" i="2"/>
  <c r="CH51" i="2"/>
  <c r="CH53" i="2"/>
  <c r="CH55" i="2"/>
  <c r="CH46" i="2"/>
  <c r="CH58" i="2"/>
  <c r="CH60" i="2"/>
  <c r="CH57" i="2"/>
  <c r="CH63" i="2"/>
  <c r="CH65" i="2"/>
  <c r="CH62" i="2"/>
  <c r="CH68" i="2"/>
  <c r="CH70" i="2"/>
  <c r="CH73" i="2"/>
  <c r="CH75" i="2"/>
  <c r="CH77" i="2"/>
  <c r="CH79" i="2"/>
  <c r="CH81" i="2"/>
  <c r="CH67" i="2"/>
  <c r="CH84" i="2"/>
  <c r="CH87" i="2"/>
  <c r="CH83" i="2"/>
  <c r="CH100" i="2"/>
  <c r="CH99" i="2"/>
  <c r="CH103" i="2"/>
  <c r="CH102" i="2"/>
  <c r="CH107" i="2"/>
  <c r="CH109" i="2"/>
  <c r="CH106" i="2"/>
  <c r="CH112" i="2"/>
  <c r="CH114" i="2"/>
  <c r="CH116" i="2"/>
  <c r="CH118" i="2"/>
  <c r="CH111" i="2"/>
  <c r="CH121" i="2"/>
  <c r="CH125" i="2"/>
  <c r="CH129" i="2"/>
  <c r="CH133" i="2"/>
  <c r="CH135" i="2"/>
  <c r="CH137" i="2"/>
  <c r="CH120" i="2"/>
  <c r="CH142" i="2"/>
  <c r="CH146" i="2"/>
  <c r="CH149" i="2"/>
  <c r="CH141" i="2"/>
  <c r="CH157" i="2"/>
  <c r="CH160" i="2"/>
  <c r="CH156" i="2"/>
  <c r="CH164" i="2"/>
  <c r="CH166" i="2"/>
  <c r="CH169" i="2"/>
  <c r="CH172" i="2"/>
  <c r="CH174" i="2"/>
  <c r="CH163" i="2"/>
  <c r="CH179" i="2"/>
  <c r="CH183" i="2"/>
  <c r="CH185" i="2"/>
  <c r="CH187" i="2"/>
  <c r="CH189" i="2"/>
  <c r="CH191" i="2"/>
  <c r="CH199" i="2"/>
  <c r="CH176" i="2"/>
  <c r="CH202" i="2"/>
  <c r="CH201" i="2"/>
  <c r="CH208" i="2"/>
  <c r="CH207" i="2"/>
  <c r="CH212" i="2"/>
  <c r="CH214" i="2"/>
  <c r="CH237" i="2"/>
  <c r="CH217" i="2"/>
  <c r="CH265" i="2"/>
  <c r="CH279" i="2"/>
  <c r="CH211" i="2"/>
  <c r="CH282" i="2"/>
  <c r="CH281" i="2"/>
  <c r="CH285" i="2"/>
  <c r="CH288" i="2"/>
  <c r="CH287" i="2"/>
  <c r="CH289" i="2"/>
  <c r="CH292" i="2"/>
  <c r="CH291" i="2"/>
  <c r="CH293" i="2"/>
  <c r="CH295" i="2"/>
  <c r="CH297" i="2"/>
  <c r="CH284" i="2"/>
  <c r="CH205" i="2"/>
  <c r="CH204" i="2"/>
  <c r="CH299" i="2"/>
  <c r="CG11" i="2"/>
  <c r="CG13" i="2"/>
  <c r="CG17" i="2"/>
  <c r="CG34" i="2"/>
  <c r="CG36" i="2"/>
  <c r="CG42" i="2"/>
  <c r="CG44" i="2"/>
  <c r="CG10" i="2"/>
  <c r="CG47" i="2"/>
  <c r="CG49" i="2"/>
  <c r="CG51" i="2"/>
  <c r="CG53" i="2"/>
  <c r="CG55" i="2"/>
  <c r="CG46" i="2"/>
  <c r="CG58" i="2"/>
  <c r="CG60" i="2"/>
  <c r="CG57" i="2"/>
  <c r="CG63" i="2"/>
  <c r="CG65" i="2"/>
  <c r="CG62" i="2"/>
  <c r="CG68" i="2"/>
  <c r="CG70" i="2"/>
  <c r="CG73" i="2"/>
  <c r="CG75" i="2"/>
  <c r="CG77" i="2"/>
  <c r="CG79" i="2"/>
  <c r="CG81" i="2"/>
  <c r="CG67" i="2"/>
  <c r="CG84" i="2"/>
  <c r="CG87" i="2"/>
  <c r="CG83" i="2"/>
  <c r="CG100" i="2"/>
  <c r="CG99" i="2"/>
  <c r="CG103" i="2"/>
  <c r="CG102" i="2"/>
  <c r="CG107" i="2"/>
  <c r="CG109" i="2"/>
  <c r="CG106" i="2"/>
  <c r="CG112" i="2"/>
  <c r="CG114" i="2"/>
  <c r="CG116" i="2"/>
  <c r="CG118" i="2"/>
  <c r="CG111" i="2"/>
  <c r="CG121" i="2"/>
  <c r="CG125" i="2"/>
  <c r="CG129" i="2"/>
  <c r="CG133" i="2"/>
  <c r="CG135" i="2"/>
  <c r="CG137" i="2"/>
  <c r="CG120" i="2"/>
  <c r="CG142" i="2"/>
  <c r="CG146" i="2"/>
  <c r="CG149" i="2"/>
  <c r="CG141" i="2"/>
  <c r="CG157" i="2"/>
  <c r="CG160" i="2"/>
  <c r="CG156" i="2"/>
  <c r="CG164" i="2"/>
  <c r="CG166" i="2"/>
  <c r="CG169" i="2"/>
  <c r="CG172" i="2"/>
  <c r="CG174" i="2"/>
  <c r="CG163" i="2"/>
  <c r="CG179" i="2"/>
  <c r="CG183" i="2"/>
  <c r="CG185" i="2"/>
  <c r="CG187" i="2"/>
  <c r="CG189" i="2"/>
  <c r="CG191" i="2"/>
  <c r="CG199" i="2"/>
  <c r="CG176" i="2"/>
  <c r="CG202" i="2"/>
  <c r="CG201" i="2"/>
  <c r="CG208" i="2"/>
  <c r="CG207" i="2"/>
  <c r="CG212" i="2"/>
  <c r="CG214" i="2"/>
  <c r="CG237" i="2"/>
  <c r="CG217" i="2"/>
  <c r="CG265" i="2"/>
  <c r="CG279" i="2"/>
  <c r="CG211" i="2"/>
  <c r="CG282" i="2"/>
  <c r="CG281" i="2"/>
  <c r="CG285" i="2"/>
  <c r="CG287" i="2"/>
  <c r="CG289" i="2"/>
  <c r="CG292" i="2"/>
  <c r="CG291" i="2"/>
  <c r="CG293" i="2"/>
  <c r="CG295" i="2"/>
  <c r="CG297" i="2"/>
  <c r="CG284" i="2"/>
  <c r="CG205" i="2"/>
  <c r="CG204" i="2"/>
  <c r="CG299" i="2"/>
  <c r="CF11" i="2"/>
  <c r="CF13" i="2"/>
  <c r="CF17" i="2"/>
  <c r="CF34" i="2"/>
  <c r="CF36" i="2"/>
  <c r="CF42" i="2"/>
  <c r="CF44" i="2"/>
  <c r="CF10" i="2"/>
  <c r="CF47" i="2"/>
  <c r="CF49" i="2"/>
  <c r="CF51" i="2"/>
  <c r="CF53" i="2"/>
  <c r="CF55" i="2"/>
  <c r="CF46" i="2"/>
  <c r="CF58" i="2"/>
  <c r="CF60" i="2"/>
  <c r="CF57" i="2"/>
  <c r="CF63" i="2"/>
  <c r="CF65" i="2"/>
  <c r="CF62" i="2"/>
  <c r="CF68" i="2"/>
  <c r="CF70" i="2"/>
  <c r="CF73" i="2"/>
  <c r="CF75" i="2"/>
  <c r="CF77" i="2"/>
  <c r="CF79" i="2"/>
  <c r="CF81" i="2"/>
  <c r="CF67" i="2"/>
  <c r="CF84" i="2"/>
  <c r="CF87" i="2"/>
  <c r="CF83" i="2"/>
  <c r="CF100" i="2"/>
  <c r="CF99" i="2"/>
  <c r="CF103" i="2"/>
  <c r="CF102" i="2"/>
  <c r="CF107" i="2"/>
  <c r="CF109" i="2"/>
  <c r="CF106" i="2"/>
  <c r="CF112" i="2"/>
  <c r="CF114" i="2"/>
  <c r="CF116" i="2"/>
  <c r="CF118" i="2"/>
  <c r="CF111" i="2"/>
  <c r="CF121" i="2"/>
  <c r="CF125" i="2"/>
  <c r="CF129" i="2"/>
  <c r="CF133" i="2"/>
  <c r="CF135" i="2"/>
  <c r="CF137" i="2"/>
  <c r="CF120" i="2"/>
  <c r="CF142" i="2"/>
  <c r="CF146" i="2"/>
  <c r="CF149" i="2"/>
  <c r="CF141" i="2"/>
  <c r="CF157" i="2"/>
  <c r="CF160" i="2"/>
  <c r="CF156" i="2"/>
  <c r="CF164" i="2"/>
  <c r="CF166" i="2"/>
  <c r="CF169" i="2"/>
  <c r="CF172" i="2"/>
  <c r="CF174" i="2"/>
  <c r="CF163" i="2"/>
  <c r="CF179" i="2"/>
  <c r="CF183" i="2"/>
  <c r="CF185" i="2"/>
  <c r="CF187" i="2"/>
  <c r="CF189" i="2"/>
  <c r="CF191" i="2"/>
  <c r="CF199" i="2"/>
  <c r="CF176" i="2"/>
  <c r="CF202" i="2"/>
  <c r="CF201" i="2"/>
  <c r="CF208" i="2"/>
  <c r="CF207" i="2"/>
  <c r="CF212" i="2"/>
  <c r="CF214" i="2"/>
  <c r="CF237" i="2"/>
  <c r="CF217" i="2"/>
  <c r="CF265" i="2"/>
  <c r="CF279" i="2"/>
  <c r="CF211" i="2"/>
  <c r="CF282" i="2"/>
  <c r="CF281" i="2"/>
  <c r="CF285" i="2"/>
  <c r="CF287" i="2"/>
  <c r="CF289" i="2"/>
  <c r="CF292" i="2"/>
  <c r="CF291" i="2"/>
  <c r="CF293" i="2"/>
  <c r="CF295" i="2"/>
  <c r="CF297" i="2"/>
  <c r="CF284" i="2"/>
  <c r="CF205" i="2"/>
  <c r="CF204" i="2"/>
  <c r="CF299" i="2"/>
  <c r="CE11" i="2"/>
  <c r="CE13" i="2"/>
  <c r="CE17" i="2"/>
  <c r="CE34" i="2"/>
  <c r="CE36" i="2"/>
  <c r="CE42" i="2"/>
  <c r="CE44" i="2"/>
  <c r="CE10" i="2"/>
  <c r="CE47" i="2"/>
  <c r="CE49" i="2"/>
  <c r="CE51" i="2"/>
  <c r="CE53" i="2"/>
  <c r="CE55" i="2"/>
  <c r="CE46" i="2"/>
  <c r="CE58" i="2"/>
  <c r="CE60" i="2"/>
  <c r="CE57" i="2"/>
  <c r="CE63" i="2"/>
  <c r="CE65" i="2"/>
  <c r="CE62" i="2"/>
  <c r="CE68" i="2"/>
  <c r="CE70" i="2"/>
  <c r="CE73" i="2"/>
  <c r="CE75" i="2"/>
  <c r="CE77" i="2"/>
  <c r="CE79" i="2"/>
  <c r="CE81" i="2"/>
  <c r="CE67" i="2"/>
  <c r="CE84" i="2"/>
  <c r="CE87" i="2"/>
  <c r="CE83" i="2"/>
  <c r="CE100" i="2"/>
  <c r="CE99" i="2"/>
  <c r="CE103" i="2"/>
  <c r="CE102" i="2"/>
  <c r="CE107" i="2"/>
  <c r="CE109" i="2"/>
  <c r="CE106" i="2"/>
  <c r="CE112" i="2"/>
  <c r="CE114" i="2"/>
  <c r="CE116" i="2"/>
  <c r="CE118" i="2"/>
  <c r="CE111" i="2"/>
  <c r="CE121" i="2"/>
  <c r="CE125" i="2"/>
  <c r="CE129" i="2"/>
  <c r="CE133" i="2"/>
  <c r="CE135" i="2"/>
  <c r="CE137" i="2"/>
  <c r="CE120" i="2"/>
  <c r="CE142" i="2"/>
  <c r="CE146" i="2"/>
  <c r="CE149" i="2"/>
  <c r="CE141" i="2"/>
  <c r="CE157" i="2"/>
  <c r="CE160" i="2"/>
  <c r="CE156" i="2"/>
  <c r="CE164" i="2"/>
  <c r="CE166" i="2"/>
  <c r="CE169" i="2"/>
  <c r="CE172" i="2"/>
  <c r="CE174" i="2"/>
  <c r="CE163" i="2"/>
  <c r="CE179" i="2"/>
  <c r="CE183" i="2"/>
  <c r="CE185" i="2"/>
  <c r="CE187" i="2"/>
  <c r="CE189" i="2"/>
  <c r="CE191" i="2"/>
  <c r="CE199" i="2"/>
  <c r="CE176" i="2"/>
  <c r="CE202" i="2"/>
  <c r="CE201" i="2"/>
  <c r="CE208" i="2"/>
  <c r="CE207" i="2"/>
  <c r="CE212" i="2"/>
  <c r="CE214" i="2"/>
  <c r="CE237" i="2"/>
  <c r="CE217" i="2"/>
  <c r="CE265" i="2"/>
  <c r="CE279" i="2"/>
  <c r="CE211" i="2"/>
  <c r="CE282" i="2"/>
  <c r="CE281" i="2"/>
  <c r="CE285" i="2"/>
  <c r="CE287" i="2"/>
  <c r="CE289" i="2"/>
  <c r="CE291" i="2"/>
  <c r="CE293" i="2"/>
  <c r="CE295" i="2"/>
  <c r="CE297" i="2"/>
  <c r="CE284" i="2"/>
  <c r="CE205" i="2"/>
  <c r="CE204" i="2"/>
  <c r="CE299" i="2"/>
  <c r="CD12" i="2"/>
  <c r="CD11" i="2"/>
  <c r="CD14" i="2"/>
  <c r="CD15" i="2"/>
  <c r="CD16" i="2"/>
  <c r="CD13" i="2"/>
  <c r="CD18" i="2"/>
  <c r="CD19" i="2"/>
  <c r="CD20" i="2"/>
  <c r="CD21" i="2"/>
  <c r="CD22" i="2"/>
  <c r="CD23" i="2"/>
  <c r="CD24" i="2"/>
  <c r="CD25" i="2"/>
  <c r="CD26" i="2"/>
  <c r="CD27" i="2"/>
  <c r="CD28" i="2"/>
  <c r="CD29" i="2"/>
  <c r="CD30" i="2"/>
  <c r="CD31" i="2"/>
  <c r="CD32" i="2"/>
  <c r="CD33" i="2"/>
  <c r="CD17" i="2"/>
  <c r="CD35" i="2"/>
  <c r="CD34" i="2"/>
  <c r="CD37" i="2"/>
  <c r="CD38" i="2"/>
  <c r="CD39" i="2"/>
  <c r="CD40" i="2"/>
  <c r="CD41" i="2"/>
  <c r="CD36" i="2"/>
  <c r="CD43" i="2"/>
  <c r="CD42" i="2"/>
  <c r="CD45" i="2"/>
  <c r="CD44" i="2"/>
  <c r="CD10" i="2"/>
  <c r="CD48" i="2"/>
  <c r="CD47" i="2"/>
  <c r="CD50" i="2"/>
  <c r="CD49" i="2"/>
  <c r="CD52" i="2"/>
  <c r="CD51" i="2"/>
  <c r="CD54" i="2"/>
  <c r="CD53" i="2"/>
  <c r="CD56" i="2"/>
  <c r="CD55" i="2"/>
  <c r="CD46" i="2"/>
  <c r="CD59" i="2"/>
  <c r="CD58" i="2"/>
  <c r="CD61" i="2"/>
  <c r="CD60" i="2"/>
  <c r="CD57" i="2"/>
  <c r="CD64" i="2"/>
  <c r="CD63" i="2"/>
  <c r="CD66" i="2"/>
  <c r="CD65" i="2"/>
  <c r="CD62" i="2"/>
  <c r="CD69" i="2"/>
  <c r="CD68" i="2"/>
  <c r="CD71" i="2"/>
  <c r="CD72" i="2"/>
  <c r="CD70" i="2"/>
  <c r="CD74" i="2"/>
  <c r="CD73" i="2"/>
  <c r="CD76" i="2"/>
  <c r="CD75" i="2"/>
  <c r="CD78" i="2"/>
  <c r="CD77" i="2"/>
  <c r="CD80" i="2"/>
  <c r="CD79" i="2"/>
  <c r="CD82" i="2"/>
  <c r="CD81" i="2"/>
  <c r="CD67" i="2"/>
  <c r="CD85" i="2"/>
  <c r="CD86" i="2"/>
  <c r="CD84" i="2"/>
  <c r="CD88" i="2"/>
  <c r="CD89" i="2"/>
  <c r="CD90" i="2"/>
  <c r="CD91" i="2"/>
  <c r="CD92" i="2"/>
  <c r="CD93" i="2"/>
  <c r="CD94" i="2"/>
  <c r="CD95" i="2"/>
  <c r="CD96" i="2"/>
  <c r="CD97" i="2"/>
  <c r="CD98" i="2"/>
  <c r="CD87" i="2"/>
  <c r="CD83" i="2"/>
  <c r="CD101" i="2"/>
  <c r="CD100" i="2"/>
  <c r="CD99" i="2"/>
  <c r="CD104" i="2"/>
  <c r="CD105" i="2"/>
  <c r="CD103" i="2"/>
  <c r="CD102" i="2"/>
  <c r="CD108" i="2"/>
  <c r="CD107" i="2"/>
  <c r="CD110" i="2"/>
  <c r="CD109" i="2"/>
  <c r="CD106" i="2"/>
  <c r="CD113" i="2"/>
  <c r="CD112" i="2"/>
  <c r="CD115" i="2"/>
  <c r="CD114" i="2"/>
  <c r="CD117" i="2"/>
  <c r="CD116" i="2"/>
  <c r="CD119" i="2"/>
  <c r="CD118" i="2"/>
  <c r="CD111" i="2"/>
  <c r="CD122" i="2"/>
  <c r="CD123" i="2"/>
  <c r="CD124" i="2"/>
  <c r="CD121" i="2"/>
  <c r="CD126" i="2"/>
  <c r="CD127" i="2"/>
  <c r="CD128" i="2"/>
  <c r="CD125" i="2"/>
  <c r="CD130" i="2"/>
  <c r="CD131" i="2"/>
  <c r="CD132" i="2"/>
  <c r="CD129" i="2"/>
  <c r="CD134" i="2"/>
  <c r="CD133" i="2"/>
  <c r="CD136" i="2"/>
  <c r="CD135" i="2"/>
  <c r="CD138" i="2"/>
  <c r="CD139" i="2"/>
  <c r="CD140" i="2"/>
  <c r="CD137" i="2"/>
  <c r="CD120" i="2"/>
  <c r="CD143" i="2"/>
  <c r="CD144" i="2"/>
  <c r="CD145" i="2"/>
  <c r="CD142" i="2"/>
  <c r="CD147" i="2"/>
  <c r="CD148" i="2"/>
  <c r="CD146" i="2"/>
  <c r="CD150" i="2"/>
  <c r="CD151" i="2"/>
  <c r="CD152" i="2"/>
  <c r="CD153" i="2"/>
  <c r="CD154" i="2"/>
  <c r="CD155" i="2"/>
  <c r="CD149" i="2"/>
  <c r="CD141" i="2"/>
  <c r="CD158" i="2"/>
  <c r="CD159" i="2"/>
  <c r="CD157" i="2"/>
  <c r="CD161" i="2"/>
  <c r="CD162" i="2"/>
  <c r="CD160" i="2"/>
  <c r="CD156" i="2"/>
  <c r="CD165" i="2"/>
  <c r="CD164" i="2"/>
  <c r="CD167" i="2"/>
  <c r="CD168" i="2"/>
  <c r="CD166" i="2"/>
  <c r="CD170" i="2"/>
  <c r="CD171" i="2"/>
  <c r="CD169" i="2"/>
  <c r="CD173" i="2"/>
  <c r="CD172" i="2"/>
  <c r="CD175" i="2"/>
  <c r="CD174" i="2"/>
  <c r="CD163" i="2"/>
  <c r="CD177" i="2"/>
  <c r="CD178" i="2"/>
  <c r="CD180" i="2"/>
  <c r="CD181" i="2"/>
  <c r="CD182" i="2"/>
  <c r="CD179" i="2"/>
  <c r="CD184" i="2"/>
  <c r="CD183" i="2"/>
  <c r="CD186" i="2"/>
  <c r="CD185" i="2"/>
  <c r="CD188" i="2"/>
  <c r="CD187" i="2"/>
  <c r="CD190" i="2"/>
  <c r="CD189" i="2"/>
  <c r="CD192" i="2"/>
  <c r="CD193" i="2"/>
  <c r="CD194" i="2"/>
  <c r="CD195" i="2"/>
  <c r="CD196" i="2"/>
  <c r="CD197" i="2"/>
  <c r="CD198" i="2"/>
  <c r="CD191" i="2"/>
  <c r="CD200" i="2"/>
  <c r="CD199" i="2"/>
  <c r="CD176" i="2"/>
  <c r="CD203" i="2"/>
  <c r="CD202" i="2"/>
  <c r="CD201" i="2"/>
  <c r="CD209" i="2"/>
  <c r="CD210" i="2"/>
  <c r="CD208" i="2"/>
  <c r="CD207" i="2"/>
  <c r="CD213" i="2"/>
  <c r="CD212" i="2"/>
  <c r="CD215" i="2"/>
  <c r="CD216" i="2"/>
  <c r="CD214" i="2"/>
  <c r="CD218" i="2"/>
  <c r="CD219" i="2"/>
  <c r="CD220" i="2"/>
  <c r="CD221" i="2"/>
  <c r="CD222" i="2"/>
  <c r="CD223" i="2"/>
  <c r="CD224" i="2"/>
  <c r="CD225" i="2"/>
  <c r="CD226" i="2"/>
  <c r="CD227" i="2"/>
  <c r="CD228" i="2"/>
  <c r="CD229" i="2"/>
  <c r="CD230" i="2"/>
  <c r="CD231" i="2"/>
  <c r="CD232" i="2"/>
  <c r="CD233" i="2"/>
  <c r="CD234" i="2"/>
  <c r="CD235" i="2"/>
  <c r="CD236" i="2"/>
  <c r="CD238" i="2"/>
  <c r="CD239" i="2"/>
  <c r="CD240" i="2"/>
  <c r="CD241" i="2"/>
  <c r="CD242" i="2"/>
  <c r="CD243" i="2"/>
  <c r="CD244" i="2"/>
  <c r="CD245" i="2"/>
  <c r="CD246" i="2"/>
  <c r="CD247" i="2"/>
  <c r="CD248" i="2"/>
  <c r="CD249" i="2"/>
  <c r="CD250" i="2"/>
  <c r="CD251" i="2"/>
  <c r="CD252" i="2"/>
  <c r="CD253" i="2"/>
  <c r="CD254" i="2"/>
  <c r="CD255" i="2"/>
  <c r="CD256" i="2"/>
  <c r="CD257" i="2"/>
  <c r="CD258" i="2"/>
  <c r="CD259" i="2"/>
  <c r="CD260" i="2"/>
  <c r="CD261" i="2"/>
  <c r="CD262" i="2"/>
  <c r="CD263" i="2"/>
  <c r="CD264" i="2"/>
  <c r="CD237" i="2"/>
  <c r="CD217" i="2"/>
  <c r="CD266" i="2"/>
  <c r="CD267" i="2"/>
  <c r="CD268" i="2"/>
  <c r="CD269" i="2"/>
  <c r="CD270" i="2"/>
  <c r="CD271" i="2"/>
  <c r="CD272" i="2"/>
  <c r="CD273" i="2"/>
  <c r="CD274" i="2"/>
  <c r="CD275" i="2"/>
  <c r="CD276" i="2"/>
  <c r="CD277" i="2"/>
  <c r="CD278" i="2"/>
  <c r="CD265" i="2"/>
  <c r="CD280" i="2"/>
  <c r="CD279" i="2"/>
  <c r="CD211" i="2"/>
  <c r="CD283" i="2"/>
  <c r="CD282" i="2"/>
  <c r="CD281" i="2"/>
  <c r="CD286" i="2"/>
  <c r="CD285" i="2"/>
  <c r="CD288" i="2"/>
  <c r="CD287" i="2"/>
  <c r="CD290" i="2"/>
  <c r="CD289" i="2"/>
  <c r="CD292" i="2"/>
  <c r="CD291" i="2"/>
  <c r="CD294" i="2"/>
  <c r="CD293" i="2"/>
  <c r="CD296" i="2"/>
  <c r="CD295" i="2"/>
  <c r="CD298" i="2"/>
  <c r="CD297" i="2"/>
  <c r="CD284" i="2"/>
  <c r="CD206" i="2"/>
  <c r="CD205" i="2"/>
  <c r="CD204" i="2"/>
  <c r="CD299" i="2"/>
  <c r="CC11" i="2"/>
  <c r="CC13" i="2"/>
  <c r="CC18" i="2"/>
  <c r="CC19" i="2"/>
  <c r="CC30" i="2"/>
  <c r="CC17" i="2"/>
  <c r="CC34" i="2"/>
  <c r="CC37" i="2"/>
  <c r="CC38" i="2"/>
  <c r="CC36" i="2"/>
  <c r="CC42" i="2"/>
  <c r="CC44" i="2"/>
  <c r="CC10" i="2"/>
  <c r="CC47" i="2"/>
  <c r="CC49" i="2"/>
  <c r="CC51" i="2"/>
  <c r="CC53" i="2"/>
  <c r="CC55" i="2"/>
  <c r="CC46" i="2"/>
  <c r="CC58" i="2"/>
  <c r="CC60" i="2"/>
  <c r="CC57" i="2"/>
  <c r="CC63" i="2"/>
  <c r="CC65" i="2"/>
  <c r="CC62" i="2"/>
  <c r="CC68" i="2"/>
  <c r="CC70" i="2"/>
  <c r="CC74" i="2"/>
  <c r="CC73" i="2"/>
  <c r="CC76" i="2"/>
  <c r="CC75" i="2"/>
  <c r="CC78" i="2"/>
  <c r="CC77" i="2"/>
  <c r="CC79" i="2"/>
  <c r="CC81" i="2"/>
  <c r="CC67" i="2"/>
  <c r="CC84" i="2"/>
  <c r="CC87" i="2"/>
  <c r="CC83" i="2"/>
  <c r="CC100" i="2"/>
  <c r="CC99" i="2"/>
  <c r="CC103" i="2"/>
  <c r="CC102" i="2"/>
  <c r="CC107" i="2"/>
  <c r="CC109" i="2"/>
  <c r="CC106" i="2"/>
  <c r="CC112" i="2"/>
  <c r="CC114" i="2"/>
  <c r="CC116" i="2"/>
  <c r="CC118" i="2"/>
  <c r="CC111" i="2"/>
  <c r="CC121" i="2"/>
  <c r="CC127" i="2"/>
  <c r="CC128" i="2"/>
  <c r="CC125" i="2"/>
  <c r="CC129" i="2"/>
  <c r="CC133" i="2"/>
  <c r="CC135" i="2"/>
  <c r="CC137" i="2"/>
  <c r="CC120" i="2"/>
  <c r="CC142" i="2"/>
  <c r="CC146" i="2"/>
  <c r="CC149" i="2"/>
  <c r="CC141" i="2"/>
  <c r="CC157" i="2"/>
  <c r="CC160" i="2"/>
  <c r="CC156" i="2"/>
  <c r="CC165" i="2"/>
  <c r="CC164" i="2"/>
  <c r="CC167" i="2"/>
  <c r="CC166" i="2"/>
  <c r="CC169" i="2"/>
  <c r="CC172" i="2"/>
  <c r="CC174" i="2"/>
  <c r="CC163" i="2"/>
  <c r="CC179" i="2"/>
  <c r="CC183" i="2"/>
  <c r="CC185" i="2"/>
  <c r="CC187" i="2"/>
  <c r="CC189" i="2"/>
  <c r="CC191" i="2"/>
  <c r="CC199" i="2"/>
  <c r="CC176" i="2"/>
  <c r="CC202" i="2"/>
  <c r="CC201" i="2"/>
  <c r="CC208" i="2"/>
  <c r="CC207" i="2"/>
  <c r="CC212" i="2"/>
  <c r="CC214" i="2"/>
  <c r="CC231" i="2"/>
  <c r="CC232" i="2"/>
  <c r="CC241" i="2"/>
  <c r="CC242" i="2"/>
  <c r="CC243" i="2"/>
  <c r="CC246" i="2"/>
  <c r="CC247" i="2"/>
  <c r="CC249" i="2"/>
  <c r="CC250" i="2"/>
  <c r="CC251" i="2"/>
  <c r="CC253" i="2"/>
  <c r="CC256" i="2"/>
  <c r="CC257" i="2"/>
  <c r="CC264" i="2"/>
  <c r="CC237" i="2"/>
  <c r="CC217" i="2"/>
  <c r="CC265" i="2"/>
  <c r="CC279" i="2"/>
  <c r="CC211" i="2"/>
  <c r="CC282" i="2"/>
  <c r="CC281" i="2"/>
  <c r="CC285" i="2"/>
  <c r="CC288" i="2"/>
  <c r="CC287" i="2"/>
  <c r="CC289" i="2"/>
  <c r="CC292" i="2"/>
  <c r="CC291" i="2"/>
  <c r="CC293" i="2"/>
  <c r="CC295" i="2"/>
  <c r="CC297" i="2"/>
  <c r="CC284" i="2"/>
  <c r="CC205" i="2"/>
  <c r="CC204" i="2"/>
  <c r="CC299" i="2"/>
  <c r="CB11" i="2"/>
  <c r="CB13" i="2"/>
  <c r="CB17" i="2"/>
  <c r="CB34" i="2"/>
  <c r="CB36" i="2"/>
  <c r="CB42" i="2"/>
  <c r="CB44" i="2"/>
  <c r="CB10" i="2"/>
  <c r="CB47" i="2"/>
  <c r="CB49" i="2"/>
  <c r="CB51" i="2"/>
  <c r="CB53" i="2"/>
  <c r="CB55" i="2"/>
  <c r="CB46" i="2"/>
  <c r="CB58" i="2"/>
  <c r="CB60" i="2"/>
  <c r="CB57" i="2"/>
  <c r="CB63" i="2"/>
  <c r="CB65" i="2"/>
  <c r="CB62" i="2"/>
  <c r="CB68" i="2"/>
  <c r="CB70" i="2"/>
  <c r="CB73" i="2"/>
  <c r="CB75" i="2"/>
  <c r="CB77" i="2"/>
  <c r="CB79" i="2"/>
  <c r="CB81" i="2"/>
  <c r="CB67" i="2"/>
  <c r="CB84" i="2"/>
  <c r="CB87" i="2"/>
  <c r="CB83" i="2"/>
  <c r="CB100" i="2"/>
  <c r="CB99" i="2"/>
  <c r="CB103" i="2"/>
  <c r="CB102" i="2"/>
  <c r="CB107" i="2"/>
  <c r="CB109" i="2"/>
  <c r="CB106" i="2"/>
  <c r="CB112" i="2"/>
  <c r="CB114" i="2"/>
  <c r="CB116" i="2"/>
  <c r="CB118" i="2"/>
  <c r="CB111" i="2"/>
  <c r="CB121" i="2"/>
  <c r="CB125" i="2"/>
  <c r="CB129" i="2"/>
  <c r="CB133" i="2"/>
  <c r="CB135" i="2"/>
  <c r="CB137" i="2"/>
  <c r="CB120" i="2"/>
  <c r="CB142" i="2"/>
  <c r="CB146" i="2"/>
  <c r="CB149" i="2"/>
  <c r="CB141" i="2"/>
  <c r="CB157" i="2"/>
  <c r="CB160" i="2"/>
  <c r="CB156" i="2"/>
  <c r="CB164" i="2"/>
  <c r="CB166" i="2"/>
  <c r="CB169" i="2"/>
  <c r="CB172" i="2"/>
  <c r="CB174" i="2"/>
  <c r="CB163" i="2"/>
  <c r="CB179" i="2"/>
  <c r="CB183" i="2"/>
  <c r="CB185" i="2"/>
  <c r="CB187" i="2"/>
  <c r="CB189" i="2"/>
  <c r="CB191" i="2"/>
  <c r="CB199" i="2"/>
  <c r="CB176" i="2"/>
  <c r="CB202" i="2"/>
  <c r="CB201" i="2"/>
  <c r="CB208" i="2"/>
  <c r="CB207" i="2"/>
  <c r="CB212" i="2"/>
  <c r="CB214" i="2"/>
  <c r="CB225" i="2"/>
  <c r="CB248" i="2"/>
  <c r="CB237" i="2"/>
  <c r="CB217" i="2"/>
  <c r="CB265" i="2"/>
  <c r="CB279" i="2"/>
  <c r="CB211" i="2"/>
  <c r="CB282" i="2"/>
  <c r="CB281" i="2"/>
  <c r="CB285" i="2"/>
  <c r="CB287" i="2"/>
  <c r="CB289" i="2"/>
  <c r="CB292" i="2"/>
  <c r="CB291" i="2"/>
  <c r="CB293" i="2"/>
  <c r="CB295" i="2"/>
  <c r="CB297" i="2"/>
  <c r="CB284" i="2"/>
  <c r="CB205" i="2"/>
  <c r="CB204" i="2"/>
  <c r="CB299" i="2"/>
  <c r="CA12" i="2"/>
  <c r="CA11" i="2"/>
  <c r="CA14" i="2"/>
  <c r="CA15" i="2"/>
  <c r="CA16" i="2"/>
  <c r="CA13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3" i="2"/>
  <c r="CA17" i="2"/>
  <c r="CA35" i="2"/>
  <c r="CA34" i="2"/>
  <c r="CA37" i="2"/>
  <c r="CA38" i="2"/>
  <c r="CA39" i="2"/>
  <c r="CA40" i="2"/>
  <c r="CA41" i="2"/>
  <c r="CA36" i="2"/>
  <c r="CA43" i="2"/>
  <c r="CA42" i="2"/>
  <c r="CA45" i="2"/>
  <c r="CA44" i="2"/>
  <c r="CA10" i="2"/>
  <c r="CA48" i="2"/>
  <c r="CA47" i="2"/>
  <c r="CA50" i="2"/>
  <c r="CA49" i="2"/>
  <c r="CA52" i="2"/>
  <c r="CA51" i="2"/>
  <c r="CA54" i="2"/>
  <c r="CA53" i="2"/>
  <c r="CA56" i="2"/>
  <c r="CA55" i="2"/>
  <c r="CA46" i="2"/>
  <c r="CA59" i="2"/>
  <c r="CA58" i="2"/>
  <c r="CA61" i="2"/>
  <c r="CA60" i="2"/>
  <c r="CA57" i="2"/>
  <c r="CA64" i="2"/>
  <c r="CA63" i="2"/>
  <c r="CA66" i="2"/>
  <c r="CA65" i="2"/>
  <c r="CA62" i="2"/>
  <c r="CA69" i="2"/>
  <c r="CA68" i="2"/>
  <c r="CA71" i="2"/>
  <c r="CA72" i="2"/>
  <c r="CA70" i="2"/>
  <c r="CA74" i="2"/>
  <c r="CA73" i="2"/>
  <c r="CA76" i="2"/>
  <c r="CA75" i="2"/>
  <c r="CA78" i="2"/>
  <c r="CA77" i="2"/>
  <c r="CA80" i="2"/>
  <c r="CA79" i="2"/>
  <c r="CA82" i="2"/>
  <c r="CA81" i="2"/>
  <c r="CA67" i="2"/>
  <c r="CA85" i="2"/>
  <c r="CA86" i="2"/>
  <c r="CA84" i="2"/>
  <c r="CA88" i="2"/>
  <c r="CA89" i="2"/>
  <c r="CA90" i="2"/>
  <c r="CA91" i="2"/>
  <c r="CA92" i="2"/>
  <c r="CA93" i="2"/>
  <c r="CA94" i="2"/>
  <c r="CA95" i="2"/>
  <c r="CA96" i="2"/>
  <c r="CA97" i="2"/>
  <c r="CA98" i="2"/>
  <c r="CA87" i="2"/>
  <c r="CA83" i="2"/>
  <c r="CA101" i="2"/>
  <c r="CA100" i="2"/>
  <c r="CA99" i="2"/>
  <c r="CA104" i="2"/>
  <c r="CA105" i="2"/>
  <c r="CA103" i="2"/>
  <c r="CA102" i="2"/>
  <c r="CA108" i="2"/>
  <c r="CA107" i="2"/>
  <c r="CA110" i="2"/>
  <c r="CA109" i="2"/>
  <c r="CA106" i="2"/>
  <c r="CA113" i="2"/>
  <c r="CA112" i="2"/>
  <c r="CA115" i="2"/>
  <c r="CA114" i="2"/>
  <c r="CA117" i="2"/>
  <c r="CA116" i="2"/>
  <c r="CA119" i="2"/>
  <c r="CA118" i="2"/>
  <c r="CA111" i="2"/>
  <c r="CA122" i="2"/>
  <c r="CA123" i="2"/>
  <c r="CA124" i="2"/>
  <c r="CA121" i="2"/>
  <c r="CA126" i="2"/>
  <c r="CA127" i="2"/>
  <c r="CA128" i="2"/>
  <c r="CA125" i="2"/>
  <c r="CA130" i="2"/>
  <c r="CA131" i="2"/>
  <c r="CA132" i="2"/>
  <c r="CA129" i="2"/>
  <c r="CA134" i="2"/>
  <c r="CA133" i="2"/>
  <c r="CA136" i="2"/>
  <c r="CA135" i="2"/>
  <c r="CA138" i="2"/>
  <c r="CA139" i="2"/>
  <c r="CA140" i="2"/>
  <c r="CA137" i="2"/>
  <c r="CA120" i="2"/>
  <c r="CA143" i="2"/>
  <c r="CA144" i="2"/>
  <c r="CA145" i="2"/>
  <c r="CA142" i="2"/>
  <c r="CA147" i="2"/>
  <c r="CA148" i="2"/>
  <c r="CA146" i="2"/>
  <c r="CA150" i="2"/>
  <c r="CA151" i="2"/>
  <c r="CA152" i="2"/>
  <c r="CA153" i="2"/>
  <c r="CA154" i="2"/>
  <c r="CA155" i="2"/>
  <c r="CA149" i="2"/>
  <c r="CA141" i="2"/>
  <c r="CA158" i="2"/>
  <c r="CA159" i="2"/>
  <c r="CA157" i="2"/>
  <c r="CA161" i="2"/>
  <c r="CA162" i="2"/>
  <c r="CA160" i="2"/>
  <c r="CA156" i="2"/>
  <c r="CA165" i="2"/>
  <c r="CA164" i="2"/>
  <c r="CA167" i="2"/>
  <c r="CA168" i="2"/>
  <c r="CA166" i="2"/>
  <c r="CA170" i="2"/>
  <c r="CA171" i="2"/>
  <c r="CA169" i="2"/>
  <c r="CA173" i="2"/>
  <c r="CA172" i="2"/>
  <c r="CA175" i="2"/>
  <c r="CA174" i="2"/>
  <c r="CA163" i="2"/>
  <c r="CA177" i="2"/>
  <c r="CA178" i="2"/>
  <c r="CA180" i="2"/>
  <c r="CA181" i="2"/>
  <c r="CA182" i="2"/>
  <c r="CA179" i="2"/>
  <c r="CA184" i="2"/>
  <c r="CA183" i="2"/>
  <c r="CA186" i="2"/>
  <c r="CA185" i="2"/>
  <c r="CA188" i="2"/>
  <c r="CA187" i="2"/>
  <c r="CA190" i="2"/>
  <c r="CA189" i="2"/>
  <c r="CA192" i="2"/>
  <c r="CA193" i="2"/>
  <c r="CA194" i="2"/>
  <c r="CA195" i="2"/>
  <c r="CA196" i="2"/>
  <c r="CA197" i="2"/>
  <c r="CA198" i="2"/>
  <c r="CA191" i="2"/>
  <c r="CA200" i="2"/>
  <c r="CA199" i="2"/>
  <c r="CA176" i="2"/>
  <c r="CA203" i="2"/>
  <c r="CA202" i="2"/>
  <c r="CA201" i="2"/>
  <c r="CA209" i="2"/>
  <c r="CA210" i="2"/>
  <c r="CA208" i="2"/>
  <c r="CA207" i="2"/>
  <c r="CA213" i="2"/>
  <c r="CA212" i="2"/>
  <c r="CA215" i="2"/>
  <c r="CA216" i="2"/>
  <c r="CA214" i="2"/>
  <c r="CA218" i="2"/>
  <c r="CA219" i="2"/>
  <c r="CA220" i="2"/>
  <c r="CA221" i="2"/>
  <c r="CA222" i="2"/>
  <c r="CA223" i="2"/>
  <c r="CA224" i="2"/>
  <c r="CA225" i="2"/>
  <c r="CA226" i="2"/>
  <c r="CA227" i="2"/>
  <c r="CA228" i="2"/>
  <c r="CA229" i="2"/>
  <c r="CA230" i="2"/>
  <c r="CA231" i="2"/>
  <c r="CA232" i="2"/>
  <c r="CA233" i="2"/>
  <c r="CA234" i="2"/>
  <c r="CA235" i="2"/>
  <c r="CA236" i="2"/>
  <c r="CA238" i="2"/>
  <c r="CA239" i="2"/>
  <c r="CA240" i="2"/>
  <c r="CA241" i="2"/>
  <c r="CA242" i="2"/>
  <c r="CA243" i="2"/>
  <c r="CA244" i="2"/>
  <c r="CA245" i="2"/>
  <c r="CA246" i="2"/>
  <c r="CA247" i="2"/>
  <c r="CA248" i="2"/>
  <c r="CA249" i="2"/>
  <c r="CA250" i="2"/>
  <c r="CA251" i="2"/>
  <c r="CA252" i="2"/>
  <c r="CA253" i="2"/>
  <c r="CA254" i="2"/>
  <c r="CA255" i="2"/>
  <c r="CA256" i="2"/>
  <c r="CA257" i="2"/>
  <c r="CA258" i="2"/>
  <c r="CA259" i="2"/>
  <c r="CA260" i="2"/>
  <c r="CA261" i="2"/>
  <c r="CA262" i="2"/>
  <c r="CA263" i="2"/>
  <c r="CA264" i="2"/>
  <c r="CA237" i="2"/>
  <c r="CA217" i="2"/>
  <c r="CA266" i="2"/>
  <c r="CA267" i="2"/>
  <c r="CA268" i="2"/>
  <c r="CA269" i="2"/>
  <c r="CA270" i="2"/>
  <c r="CA271" i="2"/>
  <c r="CA272" i="2"/>
  <c r="CA273" i="2"/>
  <c r="CA274" i="2"/>
  <c r="CA275" i="2"/>
  <c r="CA276" i="2"/>
  <c r="CA277" i="2"/>
  <c r="CA278" i="2"/>
  <c r="CA265" i="2"/>
  <c r="CA280" i="2"/>
  <c r="CA279" i="2"/>
  <c r="CA211" i="2"/>
  <c r="CA283" i="2"/>
  <c r="CA282" i="2"/>
  <c r="CA281" i="2"/>
  <c r="CA286" i="2"/>
  <c r="CA285" i="2"/>
  <c r="CA288" i="2"/>
  <c r="CA287" i="2"/>
  <c r="CA290" i="2"/>
  <c r="CA289" i="2"/>
  <c r="CA292" i="2"/>
  <c r="CA291" i="2"/>
  <c r="CA294" i="2"/>
  <c r="CA293" i="2"/>
  <c r="CA296" i="2"/>
  <c r="CA295" i="2"/>
  <c r="CA298" i="2"/>
  <c r="CA297" i="2"/>
  <c r="CA284" i="2"/>
  <c r="CA206" i="2"/>
  <c r="CA205" i="2"/>
  <c r="CA204" i="2"/>
  <c r="CA299" i="2"/>
  <c r="BZ12" i="2"/>
  <c r="BZ11" i="2"/>
  <c r="BZ14" i="2"/>
  <c r="BZ15" i="2"/>
  <c r="BZ16" i="2"/>
  <c r="BZ13" i="2"/>
  <c r="BZ18" i="2"/>
  <c r="BZ19" i="2"/>
  <c r="BZ20" i="2"/>
  <c r="BZ21" i="2"/>
  <c r="BZ22" i="2"/>
  <c r="BZ23" i="2"/>
  <c r="BZ24" i="2"/>
  <c r="BZ25" i="2"/>
  <c r="BZ26" i="2"/>
  <c r="BZ27" i="2"/>
  <c r="BZ28" i="2"/>
  <c r="BZ29" i="2"/>
  <c r="BZ30" i="2"/>
  <c r="BZ31" i="2"/>
  <c r="BZ32" i="2"/>
  <c r="BZ33" i="2"/>
  <c r="BZ17" i="2"/>
  <c r="BZ35" i="2"/>
  <c r="BZ34" i="2"/>
  <c r="BZ37" i="2"/>
  <c r="BZ38" i="2"/>
  <c r="BZ39" i="2"/>
  <c r="BZ40" i="2"/>
  <c r="BZ41" i="2"/>
  <c r="BZ36" i="2"/>
  <c r="BZ43" i="2"/>
  <c r="BZ42" i="2"/>
  <c r="BZ45" i="2"/>
  <c r="BZ44" i="2"/>
  <c r="BZ10" i="2"/>
  <c r="BZ48" i="2"/>
  <c r="BZ47" i="2"/>
  <c r="BZ50" i="2"/>
  <c r="BZ49" i="2"/>
  <c r="BZ52" i="2"/>
  <c r="BZ51" i="2"/>
  <c r="BZ54" i="2"/>
  <c r="BZ53" i="2"/>
  <c r="BZ56" i="2"/>
  <c r="BZ55" i="2"/>
  <c r="BZ46" i="2"/>
  <c r="BZ59" i="2"/>
  <c r="BZ58" i="2"/>
  <c r="BZ61" i="2"/>
  <c r="BZ60" i="2"/>
  <c r="BZ57" i="2"/>
  <c r="BZ64" i="2"/>
  <c r="BZ63" i="2"/>
  <c r="BZ66" i="2"/>
  <c r="BZ65" i="2"/>
  <c r="BZ62" i="2"/>
  <c r="BZ69" i="2"/>
  <c r="BZ68" i="2"/>
  <c r="BZ71" i="2"/>
  <c r="BZ72" i="2"/>
  <c r="BZ70" i="2"/>
  <c r="BZ74" i="2"/>
  <c r="BZ73" i="2"/>
  <c r="BZ76" i="2"/>
  <c r="BZ75" i="2"/>
  <c r="BZ78" i="2"/>
  <c r="BZ77" i="2"/>
  <c r="BZ80" i="2"/>
  <c r="BZ79" i="2"/>
  <c r="BZ82" i="2"/>
  <c r="BZ81" i="2"/>
  <c r="BZ67" i="2"/>
  <c r="BZ85" i="2"/>
  <c r="BZ86" i="2"/>
  <c r="BZ84" i="2"/>
  <c r="BZ88" i="2"/>
  <c r="BZ89" i="2"/>
  <c r="BZ90" i="2"/>
  <c r="BZ91" i="2"/>
  <c r="BZ92" i="2"/>
  <c r="BZ93" i="2"/>
  <c r="BZ94" i="2"/>
  <c r="BZ95" i="2"/>
  <c r="BZ96" i="2"/>
  <c r="BZ97" i="2"/>
  <c r="BZ98" i="2"/>
  <c r="BZ87" i="2"/>
  <c r="BZ83" i="2"/>
  <c r="BZ101" i="2"/>
  <c r="BZ100" i="2"/>
  <c r="BZ99" i="2"/>
  <c r="BZ104" i="2"/>
  <c r="BZ105" i="2"/>
  <c r="BZ103" i="2"/>
  <c r="BZ102" i="2"/>
  <c r="BZ108" i="2"/>
  <c r="BZ107" i="2"/>
  <c r="BZ110" i="2"/>
  <c r="BZ109" i="2"/>
  <c r="BZ106" i="2"/>
  <c r="BZ113" i="2"/>
  <c r="BZ112" i="2"/>
  <c r="BZ115" i="2"/>
  <c r="BZ114" i="2"/>
  <c r="BZ117" i="2"/>
  <c r="BZ116" i="2"/>
  <c r="BZ119" i="2"/>
  <c r="BZ118" i="2"/>
  <c r="BZ111" i="2"/>
  <c r="BZ122" i="2"/>
  <c r="BZ123" i="2"/>
  <c r="BZ124" i="2"/>
  <c r="BZ121" i="2"/>
  <c r="BZ126" i="2"/>
  <c r="BZ127" i="2"/>
  <c r="BZ128" i="2"/>
  <c r="BZ125" i="2"/>
  <c r="BZ130" i="2"/>
  <c r="BZ131" i="2"/>
  <c r="BZ132" i="2"/>
  <c r="BZ129" i="2"/>
  <c r="BZ134" i="2"/>
  <c r="BZ133" i="2"/>
  <c r="BZ136" i="2"/>
  <c r="BZ135" i="2"/>
  <c r="BZ138" i="2"/>
  <c r="BZ139" i="2"/>
  <c r="BZ140" i="2"/>
  <c r="BZ137" i="2"/>
  <c r="BZ120" i="2"/>
  <c r="BZ143" i="2"/>
  <c r="BZ144" i="2"/>
  <c r="BZ145" i="2"/>
  <c r="BZ142" i="2"/>
  <c r="BZ147" i="2"/>
  <c r="BZ148" i="2"/>
  <c r="BZ146" i="2"/>
  <c r="BZ150" i="2"/>
  <c r="BZ151" i="2"/>
  <c r="BZ152" i="2"/>
  <c r="BZ153" i="2"/>
  <c r="BZ154" i="2"/>
  <c r="BZ155" i="2"/>
  <c r="BZ149" i="2"/>
  <c r="BZ141" i="2"/>
  <c r="BZ158" i="2"/>
  <c r="BZ159" i="2"/>
  <c r="BZ157" i="2"/>
  <c r="BZ161" i="2"/>
  <c r="BZ162" i="2"/>
  <c r="BZ160" i="2"/>
  <c r="BZ156" i="2"/>
  <c r="BZ165" i="2"/>
  <c r="BZ164" i="2"/>
  <c r="BZ167" i="2"/>
  <c r="BZ168" i="2"/>
  <c r="BZ166" i="2"/>
  <c r="BZ170" i="2"/>
  <c r="BZ171" i="2"/>
  <c r="BZ169" i="2"/>
  <c r="BZ173" i="2"/>
  <c r="BZ172" i="2"/>
  <c r="BZ175" i="2"/>
  <c r="BZ174" i="2"/>
  <c r="BZ163" i="2"/>
  <c r="BZ177" i="2"/>
  <c r="BZ178" i="2"/>
  <c r="BZ180" i="2"/>
  <c r="BZ181" i="2"/>
  <c r="BZ182" i="2"/>
  <c r="BZ179" i="2"/>
  <c r="BZ184" i="2"/>
  <c r="BZ183" i="2"/>
  <c r="BZ186" i="2"/>
  <c r="BZ185" i="2"/>
  <c r="BZ188" i="2"/>
  <c r="BZ187" i="2"/>
  <c r="BZ190" i="2"/>
  <c r="BZ189" i="2"/>
  <c r="BZ192" i="2"/>
  <c r="BZ193" i="2"/>
  <c r="BZ194" i="2"/>
  <c r="BZ195" i="2"/>
  <c r="BZ196" i="2"/>
  <c r="BZ197" i="2"/>
  <c r="BZ198" i="2"/>
  <c r="BZ191" i="2"/>
  <c r="BZ200" i="2"/>
  <c r="BZ199" i="2"/>
  <c r="BZ176" i="2"/>
  <c r="BZ203" i="2"/>
  <c r="BZ202" i="2"/>
  <c r="BZ201" i="2"/>
  <c r="BZ209" i="2"/>
  <c r="BZ210" i="2"/>
  <c r="BZ208" i="2"/>
  <c r="BZ207" i="2"/>
  <c r="BZ213" i="2"/>
  <c r="BZ212" i="2"/>
  <c r="BZ215" i="2"/>
  <c r="BZ216" i="2"/>
  <c r="BZ214" i="2"/>
  <c r="BZ218" i="2"/>
  <c r="BZ219" i="2"/>
  <c r="BZ220" i="2"/>
  <c r="BZ221" i="2"/>
  <c r="BZ222" i="2"/>
  <c r="BZ223" i="2"/>
  <c r="BZ224" i="2"/>
  <c r="BZ225" i="2"/>
  <c r="BZ226" i="2"/>
  <c r="BZ227" i="2"/>
  <c r="BZ228" i="2"/>
  <c r="BZ229" i="2"/>
  <c r="BZ230" i="2"/>
  <c r="BZ231" i="2"/>
  <c r="BZ232" i="2"/>
  <c r="BZ233" i="2"/>
  <c r="BZ234" i="2"/>
  <c r="BZ235" i="2"/>
  <c r="BZ236" i="2"/>
  <c r="BZ238" i="2"/>
  <c r="BZ239" i="2"/>
  <c r="BZ240" i="2"/>
  <c r="BZ241" i="2"/>
  <c r="BZ242" i="2"/>
  <c r="BZ243" i="2"/>
  <c r="BZ244" i="2"/>
  <c r="BZ245" i="2"/>
  <c r="BZ246" i="2"/>
  <c r="BZ247" i="2"/>
  <c r="BZ248" i="2"/>
  <c r="BZ249" i="2"/>
  <c r="BZ250" i="2"/>
  <c r="BZ251" i="2"/>
  <c r="BZ252" i="2"/>
  <c r="BZ253" i="2"/>
  <c r="BZ254" i="2"/>
  <c r="BZ255" i="2"/>
  <c r="BZ256" i="2"/>
  <c r="BZ257" i="2"/>
  <c r="BZ258" i="2"/>
  <c r="BZ259" i="2"/>
  <c r="BZ260" i="2"/>
  <c r="BZ261" i="2"/>
  <c r="BZ262" i="2"/>
  <c r="BZ263" i="2"/>
  <c r="BZ264" i="2"/>
  <c r="BZ237" i="2"/>
  <c r="BZ217" i="2"/>
  <c r="BZ266" i="2"/>
  <c r="BZ267" i="2"/>
  <c r="BZ268" i="2"/>
  <c r="BZ269" i="2"/>
  <c r="BZ270" i="2"/>
  <c r="BZ271" i="2"/>
  <c r="BZ272" i="2"/>
  <c r="BZ273" i="2"/>
  <c r="BZ274" i="2"/>
  <c r="BZ275" i="2"/>
  <c r="BZ276" i="2"/>
  <c r="BZ277" i="2"/>
  <c r="BZ278" i="2"/>
  <c r="BZ265" i="2"/>
  <c r="BZ280" i="2"/>
  <c r="BZ279" i="2"/>
  <c r="BZ211" i="2"/>
  <c r="BZ283" i="2"/>
  <c r="BZ282" i="2"/>
  <c r="BZ281" i="2"/>
  <c r="BZ286" i="2"/>
  <c r="BZ285" i="2"/>
  <c r="BZ288" i="2"/>
  <c r="BZ287" i="2"/>
  <c r="BZ290" i="2"/>
  <c r="BZ289" i="2"/>
  <c r="BZ292" i="2"/>
  <c r="BZ291" i="2"/>
  <c r="BZ294" i="2"/>
  <c r="BZ293" i="2"/>
  <c r="BZ296" i="2"/>
  <c r="BZ295" i="2"/>
  <c r="BZ298" i="2"/>
  <c r="BZ297" i="2"/>
  <c r="BZ284" i="2"/>
  <c r="BZ206" i="2"/>
  <c r="BZ205" i="2"/>
  <c r="BZ204" i="2"/>
  <c r="BZ299" i="2"/>
  <c r="BY12" i="2"/>
  <c r="BY11" i="2"/>
  <c r="BY14" i="2"/>
  <c r="BY15" i="2"/>
  <c r="BY16" i="2"/>
  <c r="BY13" i="2"/>
  <c r="BY18" i="2"/>
  <c r="BY19" i="2"/>
  <c r="BY20" i="2"/>
  <c r="BY21" i="2"/>
  <c r="BY22" i="2"/>
  <c r="BY23" i="2"/>
  <c r="BY24" i="2"/>
  <c r="BY25" i="2"/>
  <c r="BY26" i="2"/>
  <c r="BY27" i="2"/>
  <c r="BY28" i="2"/>
  <c r="BY29" i="2"/>
  <c r="BY30" i="2"/>
  <c r="BY31" i="2"/>
  <c r="BY32" i="2"/>
  <c r="BY33" i="2"/>
  <c r="BY17" i="2"/>
  <c r="BY35" i="2"/>
  <c r="BY34" i="2"/>
  <c r="BY37" i="2"/>
  <c r="BY38" i="2"/>
  <c r="BY39" i="2"/>
  <c r="BY40" i="2"/>
  <c r="BY41" i="2"/>
  <c r="BY36" i="2"/>
  <c r="BY43" i="2"/>
  <c r="BY42" i="2"/>
  <c r="BY45" i="2"/>
  <c r="BY44" i="2"/>
  <c r="BY10" i="2"/>
  <c r="BY48" i="2"/>
  <c r="BY47" i="2"/>
  <c r="BY50" i="2"/>
  <c r="BY49" i="2"/>
  <c r="BY52" i="2"/>
  <c r="BY51" i="2"/>
  <c r="BY54" i="2"/>
  <c r="BY53" i="2"/>
  <c r="BY56" i="2"/>
  <c r="BY55" i="2"/>
  <c r="BY46" i="2"/>
  <c r="BY59" i="2"/>
  <c r="BY58" i="2"/>
  <c r="BY61" i="2"/>
  <c r="BY60" i="2"/>
  <c r="BY57" i="2"/>
  <c r="BY64" i="2"/>
  <c r="BY63" i="2"/>
  <c r="BY66" i="2"/>
  <c r="BY65" i="2"/>
  <c r="BY62" i="2"/>
  <c r="BY69" i="2"/>
  <c r="BY68" i="2"/>
  <c r="BY71" i="2"/>
  <c r="BY72" i="2"/>
  <c r="BY70" i="2"/>
  <c r="BY74" i="2"/>
  <c r="BY73" i="2"/>
  <c r="BY76" i="2"/>
  <c r="BY75" i="2"/>
  <c r="BY78" i="2"/>
  <c r="BY77" i="2"/>
  <c r="BY80" i="2"/>
  <c r="BY79" i="2"/>
  <c r="BY82" i="2"/>
  <c r="BY81" i="2"/>
  <c r="BY67" i="2"/>
  <c r="BY85" i="2"/>
  <c r="BY86" i="2"/>
  <c r="BY84" i="2"/>
  <c r="BY88" i="2"/>
  <c r="BY89" i="2"/>
  <c r="BY90" i="2"/>
  <c r="BY91" i="2"/>
  <c r="BY92" i="2"/>
  <c r="BY93" i="2"/>
  <c r="BY94" i="2"/>
  <c r="BY95" i="2"/>
  <c r="BY96" i="2"/>
  <c r="BY97" i="2"/>
  <c r="BY98" i="2"/>
  <c r="BY87" i="2"/>
  <c r="BY83" i="2"/>
  <c r="BY101" i="2"/>
  <c r="BY100" i="2"/>
  <c r="BY99" i="2"/>
  <c r="BY104" i="2"/>
  <c r="BY105" i="2"/>
  <c r="BY103" i="2"/>
  <c r="BY102" i="2"/>
  <c r="BY108" i="2"/>
  <c r="BY107" i="2"/>
  <c r="BY110" i="2"/>
  <c r="BY109" i="2"/>
  <c r="BY106" i="2"/>
  <c r="BY113" i="2"/>
  <c r="BY112" i="2"/>
  <c r="BY115" i="2"/>
  <c r="BY114" i="2"/>
  <c r="BY117" i="2"/>
  <c r="BY116" i="2"/>
  <c r="BY119" i="2"/>
  <c r="BY118" i="2"/>
  <c r="BY111" i="2"/>
  <c r="BY122" i="2"/>
  <c r="BY123" i="2"/>
  <c r="BY124" i="2"/>
  <c r="BY121" i="2"/>
  <c r="BY126" i="2"/>
  <c r="BY127" i="2"/>
  <c r="BY128" i="2"/>
  <c r="BY125" i="2"/>
  <c r="BY130" i="2"/>
  <c r="BY131" i="2"/>
  <c r="BY132" i="2"/>
  <c r="BY129" i="2"/>
  <c r="BY134" i="2"/>
  <c r="BY133" i="2"/>
  <c r="BY136" i="2"/>
  <c r="BY135" i="2"/>
  <c r="BY138" i="2"/>
  <c r="BY139" i="2"/>
  <c r="BY140" i="2"/>
  <c r="BY137" i="2"/>
  <c r="BY120" i="2"/>
  <c r="BY143" i="2"/>
  <c r="BY144" i="2"/>
  <c r="BY145" i="2"/>
  <c r="BY142" i="2"/>
  <c r="BY147" i="2"/>
  <c r="BY148" i="2"/>
  <c r="BY146" i="2"/>
  <c r="BY150" i="2"/>
  <c r="BY151" i="2"/>
  <c r="BY152" i="2"/>
  <c r="BY153" i="2"/>
  <c r="BY154" i="2"/>
  <c r="BY155" i="2"/>
  <c r="BY149" i="2"/>
  <c r="BY141" i="2"/>
  <c r="BY158" i="2"/>
  <c r="BY159" i="2"/>
  <c r="BY157" i="2"/>
  <c r="BY161" i="2"/>
  <c r="BY162" i="2"/>
  <c r="BY160" i="2"/>
  <c r="BY156" i="2"/>
  <c r="BY165" i="2"/>
  <c r="BY164" i="2"/>
  <c r="BY167" i="2"/>
  <c r="BY168" i="2"/>
  <c r="BY166" i="2"/>
  <c r="BY170" i="2"/>
  <c r="BY171" i="2"/>
  <c r="BY169" i="2"/>
  <c r="BY173" i="2"/>
  <c r="BY172" i="2"/>
  <c r="BY175" i="2"/>
  <c r="BY174" i="2"/>
  <c r="BY163" i="2"/>
  <c r="BY177" i="2"/>
  <c r="BY178" i="2"/>
  <c r="BY180" i="2"/>
  <c r="BY181" i="2"/>
  <c r="BY182" i="2"/>
  <c r="BY179" i="2"/>
  <c r="BY184" i="2"/>
  <c r="BY183" i="2"/>
  <c r="BY186" i="2"/>
  <c r="BY185" i="2"/>
  <c r="BY188" i="2"/>
  <c r="BY187" i="2"/>
  <c r="BY190" i="2"/>
  <c r="BY189" i="2"/>
  <c r="BY192" i="2"/>
  <c r="BY193" i="2"/>
  <c r="BY194" i="2"/>
  <c r="BY195" i="2"/>
  <c r="BY196" i="2"/>
  <c r="BY197" i="2"/>
  <c r="BY198" i="2"/>
  <c r="BY191" i="2"/>
  <c r="BY200" i="2"/>
  <c r="BY199" i="2"/>
  <c r="BY176" i="2"/>
  <c r="BY203" i="2"/>
  <c r="BY202" i="2"/>
  <c r="BY201" i="2"/>
  <c r="BY209" i="2"/>
  <c r="BY210" i="2"/>
  <c r="BY208" i="2"/>
  <c r="BY207" i="2"/>
  <c r="BY213" i="2"/>
  <c r="BY212" i="2"/>
  <c r="BY215" i="2"/>
  <c r="BY216" i="2"/>
  <c r="BY214" i="2"/>
  <c r="BY218" i="2"/>
  <c r="BY219" i="2"/>
  <c r="BY220" i="2"/>
  <c r="BY221" i="2"/>
  <c r="BY222" i="2"/>
  <c r="BY223" i="2"/>
  <c r="BY224" i="2"/>
  <c r="BY225" i="2"/>
  <c r="BY226" i="2"/>
  <c r="BY227" i="2"/>
  <c r="BY228" i="2"/>
  <c r="BY229" i="2"/>
  <c r="BY230" i="2"/>
  <c r="BY231" i="2"/>
  <c r="BY232" i="2"/>
  <c r="BY233" i="2"/>
  <c r="BY234" i="2"/>
  <c r="BY235" i="2"/>
  <c r="BY236" i="2"/>
  <c r="BY238" i="2"/>
  <c r="BY239" i="2"/>
  <c r="BY240" i="2"/>
  <c r="BY241" i="2"/>
  <c r="BY242" i="2"/>
  <c r="BY243" i="2"/>
  <c r="BY244" i="2"/>
  <c r="BY245" i="2"/>
  <c r="BY246" i="2"/>
  <c r="BY247" i="2"/>
  <c r="BY248" i="2"/>
  <c r="BY249" i="2"/>
  <c r="BY250" i="2"/>
  <c r="BY251" i="2"/>
  <c r="BY252" i="2"/>
  <c r="BY253" i="2"/>
  <c r="BY254" i="2"/>
  <c r="BY255" i="2"/>
  <c r="BY256" i="2"/>
  <c r="BY257" i="2"/>
  <c r="BY258" i="2"/>
  <c r="BY259" i="2"/>
  <c r="BY260" i="2"/>
  <c r="BY261" i="2"/>
  <c r="BY262" i="2"/>
  <c r="BY263" i="2"/>
  <c r="BY264" i="2"/>
  <c r="BY237" i="2"/>
  <c r="BY217" i="2"/>
  <c r="BY266" i="2"/>
  <c r="BY267" i="2"/>
  <c r="BY268" i="2"/>
  <c r="BY269" i="2"/>
  <c r="BY270" i="2"/>
  <c r="BY271" i="2"/>
  <c r="BY272" i="2"/>
  <c r="BY273" i="2"/>
  <c r="BY274" i="2"/>
  <c r="BY275" i="2"/>
  <c r="BY276" i="2"/>
  <c r="BY277" i="2"/>
  <c r="BY278" i="2"/>
  <c r="BY265" i="2"/>
  <c r="BY280" i="2"/>
  <c r="BY279" i="2"/>
  <c r="BY211" i="2"/>
  <c r="BY283" i="2"/>
  <c r="BY282" i="2"/>
  <c r="BY281" i="2"/>
  <c r="BY286" i="2"/>
  <c r="BY285" i="2"/>
  <c r="BY288" i="2"/>
  <c r="BY287" i="2"/>
  <c r="BY290" i="2"/>
  <c r="BY289" i="2"/>
  <c r="BY292" i="2"/>
  <c r="BY291" i="2"/>
  <c r="BY294" i="2"/>
  <c r="BY293" i="2"/>
  <c r="BY296" i="2"/>
  <c r="BY295" i="2"/>
  <c r="BY298" i="2"/>
  <c r="BY297" i="2"/>
  <c r="BY284" i="2"/>
  <c r="BY206" i="2"/>
  <c r="BY205" i="2"/>
  <c r="BY204" i="2"/>
  <c r="BY299" i="2"/>
  <c r="BX11" i="2"/>
  <c r="BX13" i="2"/>
  <c r="BX17" i="2"/>
  <c r="BX34" i="2"/>
  <c r="BX36" i="2"/>
  <c r="BX42" i="2"/>
  <c r="BX44" i="2"/>
  <c r="BX10" i="2"/>
  <c r="BX47" i="2"/>
  <c r="BX49" i="2"/>
  <c r="BX51" i="2"/>
  <c r="BX53" i="2"/>
  <c r="BX55" i="2"/>
  <c r="BX46" i="2"/>
  <c r="BX58" i="2"/>
  <c r="BX60" i="2"/>
  <c r="BX57" i="2"/>
  <c r="BX63" i="2"/>
  <c r="BX65" i="2"/>
  <c r="BX62" i="2"/>
  <c r="BX68" i="2"/>
  <c r="BX70" i="2"/>
  <c r="BX73" i="2"/>
  <c r="BX75" i="2"/>
  <c r="BX77" i="2"/>
  <c r="BX79" i="2"/>
  <c r="BX82" i="2"/>
  <c r="BX81" i="2"/>
  <c r="BX67" i="2"/>
  <c r="BX84" i="2"/>
  <c r="BX87" i="2"/>
  <c r="BX83" i="2"/>
  <c r="BX100" i="2"/>
  <c r="BX99" i="2"/>
  <c r="BX103" i="2"/>
  <c r="BX102" i="2"/>
  <c r="BX107" i="2"/>
  <c r="BX109" i="2"/>
  <c r="BX106" i="2"/>
  <c r="BX112" i="2"/>
  <c r="BX114" i="2"/>
  <c r="BX116" i="2"/>
  <c r="BX118" i="2"/>
  <c r="BX111" i="2"/>
  <c r="BX121" i="2"/>
  <c r="BX125" i="2"/>
  <c r="BX129" i="2"/>
  <c r="BX133" i="2"/>
  <c r="BX135" i="2"/>
  <c r="BX137" i="2"/>
  <c r="BX120" i="2"/>
  <c r="BX142" i="2"/>
  <c r="BX146" i="2"/>
  <c r="BX149" i="2"/>
  <c r="BX141" i="2"/>
  <c r="BX157" i="2"/>
  <c r="BX160" i="2"/>
  <c r="BX156" i="2"/>
  <c r="BX164" i="2"/>
  <c r="BX166" i="2"/>
  <c r="BX169" i="2"/>
  <c r="BX172" i="2"/>
  <c r="BX174" i="2"/>
  <c r="BX163" i="2"/>
  <c r="BX179" i="2"/>
  <c r="BX183" i="2"/>
  <c r="BX185" i="2"/>
  <c r="BX187" i="2"/>
  <c r="BX189" i="2"/>
  <c r="BX194" i="2"/>
  <c r="BX197" i="2"/>
  <c r="BX191" i="2"/>
  <c r="BX199" i="2"/>
  <c r="BX176" i="2"/>
  <c r="BX202" i="2"/>
  <c r="BX201" i="2"/>
  <c r="BX208" i="2"/>
  <c r="BX207" i="2"/>
  <c r="BX212" i="2"/>
  <c r="BX214" i="2"/>
  <c r="BX237" i="2"/>
  <c r="BX217" i="2"/>
  <c r="BX265" i="2"/>
  <c r="BX279" i="2"/>
  <c r="BX211" i="2"/>
  <c r="BX282" i="2"/>
  <c r="BX281" i="2"/>
  <c r="BX285" i="2"/>
  <c r="BX288" i="2"/>
  <c r="BX287" i="2"/>
  <c r="BX290" i="2"/>
  <c r="BX289" i="2"/>
  <c r="BX291" i="2"/>
  <c r="BX293" i="2"/>
  <c r="BX296" i="2"/>
  <c r="BX295" i="2"/>
  <c r="BX297" i="2"/>
  <c r="BX284" i="2"/>
  <c r="BX205" i="2"/>
  <c r="BX204" i="2"/>
  <c r="BX299" i="2"/>
  <c r="BW11" i="2"/>
  <c r="BW13" i="2"/>
  <c r="BW17" i="2"/>
  <c r="BW34" i="2"/>
  <c r="BW36" i="2"/>
  <c r="BW42" i="2"/>
  <c r="BW44" i="2"/>
  <c r="BW10" i="2"/>
  <c r="BW47" i="2"/>
  <c r="BW49" i="2"/>
  <c r="BW51" i="2"/>
  <c r="BW53" i="2"/>
  <c r="BW55" i="2"/>
  <c r="BW46" i="2"/>
  <c r="BW58" i="2"/>
  <c r="BW60" i="2"/>
  <c r="BW57" i="2"/>
  <c r="BW63" i="2"/>
  <c r="BW65" i="2"/>
  <c r="BW62" i="2"/>
  <c r="BW68" i="2"/>
  <c r="BW70" i="2"/>
  <c r="BW73" i="2"/>
  <c r="BW75" i="2"/>
  <c r="BW77" i="2"/>
  <c r="BW79" i="2"/>
  <c r="BW81" i="2"/>
  <c r="BW67" i="2"/>
  <c r="BW84" i="2"/>
  <c r="BW87" i="2"/>
  <c r="BW83" i="2"/>
  <c r="BW100" i="2"/>
  <c r="BW99" i="2"/>
  <c r="BW103" i="2"/>
  <c r="BW102" i="2"/>
  <c r="BW107" i="2"/>
  <c r="BW109" i="2"/>
  <c r="BW106" i="2"/>
  <c r="BW112" i="2"/>
  <c r="BW114" i="2"/>
  <c r="BW116" i="2"/>
  <c r="BW118" i="2"/>
  <c r="BW111" i="2"/>
  <c r="BW121" i="2"/>
  <c r="BW125" i="2"/>
  <c r="BW129" i="2"/>
  <c r="BW133" i="2"/>
  <c r="BW135" i="2"/>
  <c r="BW137" i="2"/>
  <c r="BW120" i="2"/>
  <c r="BW142" i="2"/>
  <c r="BW146" i="2"/>
  <c r="BW149" i="2"/>
  <c r="BW141" i="2"/>
  <c r="BW157" i="2"/>
  <c r="BW160" i="2"/>
  <c r="BW156" i="2"/>
  <c r="BW164" i="2"/>
  <c r="BW166" i="2"/>
  <c r="BW169" i="2"/>
  <c r="BW172" i="2"/>
  <c r="BW174" i="2"/>
  <c r="BW163" i="2"/>
  <c r="BW177" i="2"/>
  <c r="BW179" i="2"/>
  <c r="BW184" i="2"/>
  <c r="BW183" i="2"/>
  <c r="BW185" i="2"/>
  <c r="BW187" i="2"/>
  <c r="BW189" i="2"/>
  <c r="BW194" i="2"/>
  <c r="BW195" i="2"/>
  <c r="BW196" i="2"/>
  <c r="BW191" i="2"/>
  <c r="BW199" i="2"/>
  <c r="BW176" i="2"/>
  <c r="BW202" i="2"/>
  <c r="BW201" i="2"/>
  <c r="BW208" i="2"/>
  <c r="BW207" i="2"/>
  <c r="BW212" i="2"/>
  <c r="BW214" i="2"/>
  <c r="BW237" i="2"/>
  <c r="BW217" i="2"/>
  <c r="BW265" i="2"/>
  <c r="BW279" i="2"/>
  <c r="BW211" i="2"/>
  <c r="BW282" i="2"/>
  <c r="BW281" i="2"/>
  <c r="BW285" i="2"/>
  <c r="BW288" i="2"/>
  <c r="BW287" i="2"/>
  <c r="BW289" i="2"/>
  <c r="BW291" i="2"/>
  <c r="BW293" i="2"/>
  <c r="BW295" i="2"/>
  <c r="BW297" i="2"/>
  <c r="BW284" i="2"/>
  <c r="BW205" i="2"/>
  <c r="BW204" i="2"/>
  <c r="BW299" i="2"/>
  <c r="BV11" i="2"/>
  <c r="BV13" i="2"/>
  <c r="BV17" i="2"/>
  <c r="BV34" i="2"/>
  <c r="BV36" i="2"/>
  <c r="BV42" i="2"/>
  <c r="BV44" i="2"/>
  <c r="BV10" i="2"/>
  <c r="BV47" i="2"/>
  <c r="BV49" i="2"/>
  <c r="BV51" i="2"/>
  <c r="BV53" i="2"/>
  <c r="BV55" i="2"/>
  <c r="BV46" i="2"/>
  <c r="BV58" i="2"/>
  <c r="BV60" i="2"/>
  <c r="BV57" i="2"/>
  <c r="BV63" i="2"/>
  <c r="BV65" i="2"/>
  <c r="BV62" i="2"/>
  <c r="BV68" i="2"/>
  <c r="BV70" i="2"/>
  <c r="BV73" i="2"/>
  <c r="BV75" i="2"/>
  <c r="BV77" i="2"/>
  <c r="BV79" i="2"/>
  <c r="BV81" i="2"/>
  <c r="BV67" i="2"/>
  <c r="BV84" i="2"/>
  <c r="BV87" i="2"/>
  <c r="BV83" i="2"/>
  <c r="BV100" i="2"/>
  <c r="BV99" i="2"/>
  <c r="BV103" i="2"/>
  <c r="BV102" i="2"/>
  <c r="BV107" i="2"/>
  <c r="BV109" i="2"/>
  <c r="BV106" i="2"/>
  <c r="BV112" i="2"/>
  <c r="BV114" i="2"/>
  <c r="BV116" i="2"/>
  <c r="BV118" i="2"/>
  <c r="BV111" i="2"/>
  <c r="BV121" i="2"/>
  <c r="BV125" i="2"/>
  <c r="BV129" i="2"/>
  <c r="BV133" i="2"/>
  <c r="BV135" i="2"/>
  <c r="BV137" i="2"/>
  <c r="BV120" i="2"/>
  <c r="BV142" i="2"/>
  <c r="BV146" i="2"/>
  <c r="BV149" i="2"/>
  <c r="BV141" i="2"/>
  <c r="BV157" i="2"/>
  <c r="BV160" i="2"/>
  <c r="BV156" i="2"/>
  <c r="BV164" i="2"/>
  <c r="BV166" i="2"/>
  <c r="BV169" i="2"/>
  <c r="BV172" i="2"/>
  <c r="BV174" i="2"/>
  <c r="BV163" i="2"/>
  <c r="BV179" i="2"/>
  <c r="BV183" i="2"/>
  <c r="BV185" i="2"/>
  <c r="BV187" i="2"/>
  <c r="BV189" i="2"/>
  <c r="BV194" i="2"/>
  <c r="BV191" i="2"/>
  <c r="BV199" i="2"/>
  <c r="BV176" i="2"/>
  <c r="BV202" i="2"/>
  <c r="BV201" i="2"/>
  <c r="BV208" i="2"/>
  <c r="BV207" i="2"/>
  <c r="BV212" i="2"/>
  <c r="BV214" i="2"/>
  <c r="BV237" i="2"/>
  <c r="BV217" i="2"/>
  <c r="BV265" i="2"/>
  <c r="BV279" i="2"/>
  <c r="BV211" i="2"/>
  <c r="BV282" i="2"/>
  <c r="BV281" i="2"/>
  <c r="BV285" i="2"/>
  <c r="BV287" i="2"/>
  <c r="BV289" i="2"/>
  <c r="BV291" i="2"/>
  <c r="BV293" i="2"/>
  <c r="BV295" i="2"/>
  <c r="BV297" i="2"/>
  <c r="BV284" i="2"/>
  <c r="BV205" i="2"/>
  <c r="BV204" i="2"/>
  <c r="BV299" i="2"/>
  <c r="BU11" i="2"/>
  <c r="BU13" i="2"/>
  <c r="BU17" i="2"/>
  <c r="BU34" i="2"/>
  <c r="BU36" i="2"/>
  <c r="BU42" i="2"/>
  <c r="BU44" i="2"/>
  <c r="BU10" i="2"/>
  <c r="BU47" i="2"/>
  <c r="BU49" i="2"/>
  <c r="BU51" i="2"/>
  <c r="BU53" i="2"/>
  <c r="BU55" i="2"/>
  <c r="BU46" i="2"/>
  <c r="BU58" i="2"/>
  <c r="BU60" i="2"/>
  <c r="BU57" i="2"/>
  <c r="BU63" i="2"/>
  <c r="BU65" i="2"/>
  <c r="BU62" i="2"/>
  <c r="BU68" i="2"/>
  <c r="BU70" i="2"/>
  <c r="BU73" i="2"/>
  <c r="BU75" i="2"/>
  <c r="BU77" i="2"/>
  <c r="BU79" i="2"/>
  <c r="BU81" i="2"/>
  <c r="BU67" i="2"/>
  <c r="BU84" i="2"/>
  <c r="BU87" i="2"/>
  <c r="BU83" i="2"/>
  <c r="BU100" i="2"/>
  <c r="BU99" i="2"/>
  <c r="BU103" i="2"/>
  <c r="BU102" i="2"/>
  <c r="BU107" i="2"/>
  <c r="BU109" i="2"/>
  <c r="BU106" i="2"/>
  <c r="BU112" i="2"/>
  <c r="BU114" i="2"/>
  <c r="BU116" i="2"/>
  <c r="BU118" i="2"/>
  <c r="BU111" i="2"/>
  <c r="BU121" i="2"/>
  <c r="BU125" i="2"/>
  <c r="BU129" i="2"/>
  <c r="BU133" i="2"/>
  <c r="BU135" i="2"/>
  <c r="BU137" i="2"/>
  <c r="BU120" i="2"/>
  <c r="BU142" i="2"/>
  <c r="BU146" i="2"/>
  <c r="BU149" i="2"/>
  <c r="BU141" i="2"/>
  <c r="BU157" i="2"/>
  <c r="BU160" i="2"/>
  <c r="BU156" i="2"/>
  <c r="BU164" i="2"/>
  <c r="BU166" i="2"/>
  <c r="BU169" i="2"/>
  <c r="BU172" i="2"/>
  <c r="BU174" i="2"/>
  <c r="BU163" i="2"/>
  <c r="BU179" i="2"/>
  <c r="BU183" i="2"/>
  <c r="BU185" i="2"/>
  <c r="BU187" i="2"/>
  <c r="BU189" i="2"/>
  <c r="BU191" i="2"/>
  <c r="BU199" i="2"/>
  <c r="BU176" i="2"/>
  <c r="BU202" i="2"/>
  <c r="BU201" i="2"/>
  <c r="BU208" i="2"/>
  <c r="BU207" i="2"/>
  <c r="BU212" i="2"/>
  <c r="BU214" i="2"/>
  <c r="BU237" i="2"/>
  <c r="BU217" i="2"/>
  <c r="BU265" i="2"/>
  <c r="BU279" i="2"/>
  <c r="BU211" i="2"/>
  <c r="BU282" i="2"/>
  <c r="BU281" i="2"/>
  <c r="BU285" i="2"/>
  <c r="BU287" i="2"/>
  <c r="BU289" i="2"/>
  <c r="BU291" i="2"/>
  <c r="BU293" i="2"/>
  <c r="BU295" i="2"/>
  <c r="BU297" i="2"/>
  <c r="BU284" i="2"/>
  <c r="BU205" i="2"/>
  <c r="BU204" i="2"/>
  <c r="BU299" i="2"/>
  <c r="BT11" i="2"/>
  <c r="BT13" i="2"/>
  <c r="BT17" i="2"/>
  <c r="BT34" i="2"/>
  <c r="BT36" i="2"/>
  <c r="BT42" i="2"/>
  <c r="BT44" i="2"/>
  <c r="BT10" i="2"/>
  <c r="BT47" i="2"/>
  <c r="BT49" i="2"/>
  <c r="BT51" i="2"/>
  <c r="BT53" i="2"/>
  <c r="BT55" i="2"/>
  <c r="BT46" i="2"/>
  <c r="BT58" i="2"/>
  <c r="BT60" i="2"/>
  <c r="BT57" i="2"/>
  <c r="BT63" i="2"/>
  <c r="BT65" i="2"/>
  <c r="BT62" i="2"/>
  <c r="BT68" i="2"/>
  <c r="BT70" i="2"/>
  <c r="BT73" i="2"/>
  <c r="BT75" i="2"/>
  <c r="BT77" i="2"/>
  <c r="BT79" i="2"/>
  <c r="BT81" i="2"/>
  <c r="BT67" i="2"/>
  <c r="BT84" i="2"/>
  <c r="BT87" i="2"/>
  <c r="BT83" i="2"/>
  <c r="BT100" i="2"/>
  <c r="BT99" i="2"/>
  <c r="BT103" i="2"/>
  <c r="BT102" i="2"/>
  <c r="BT107" i="2"/>
  <c r="BT109" i="2"/>
  <c r="BT106" i="2"/>
  <c r="BT112" i="2"/>
  <c r="BT114" i="2"/>
  <c r="BT116" i="2"/>
  <c r="BT118" i="2"/>
  <c r="BT111" i="2"/>
  <c r="BT121" i="2"/>
  <c r="BT125" i="2"/>
  <c r="BT129" i="2"/>
  <c r="BT133" i="2"/>
  <c r="BT135" i="2"/>
  <c r="BT137" i="2"/>
  <c r="BT120" i="2"/>
  <c r="BT142" i="2"/>
  <c r="BT146" i="2"/>
  <c r="BT149" i="2"/>
  <c r="BT141" i="2"/>
  <c r="BT157" i="2"/>
  <c r="BT160" i="2"/>
  <c r="BT156" i="2"/>
  <c r="BT164" i="2"/>
  <c r="BT166" i="2"/>
  <c r="BT169" i="2"/>
  <c r="BT172" i="2"/>
  <c r="BT174" i="2"/>
  <c r="BT163" i="2"/>
  <c r="BT179" i="2"/>
  <c r="BT184" i="2"/>
  <c r="BT183" i="2"/>
  <c r="BT185" i="2"/>
  <c r="BT187" i="2"/>
  <c r="BT189" i="2"/>
  <c r="BT191" i="2"/>
  <c r="BT199" i="2"/>
  <c r="BT176" i="2"/>
  <c r="BT202" i="2"/>
  <c r="BT201" i="2"/>
  <c r="BT208" i="2"/>
  <c r="BT207" i="2"/>
  <c r="BT212" i="2"/>
  <c r="BT214" i="2"/>
  <c r="BT237" i="2"/>
  <c r="BT217" i="2"/>
  <c r="BT265" i="2"/>
  <c r="BT279" i="2"/>
  <c r="BT211" i="2"/>
  <c r="BT282" i="2"/>
  <c r="BT281" i="2"/>
  <c r="BT285" i="2"/>
  <c r="BT287" i="2"/>
  <c r="BT289" i="2"/>
  <c r="BT291" i="2"/>
  <c r="BT293" i="2"/>
  <c r="BT295" i="2"/>
  <c r="BT297" i="2"/>
  <c r="BT284" i="2"/>
  <c r="BT205" i="2"/>
  <c r="BT204" i="2"/>
  <c r="BT299" i="2"/>
  <c r="BS11" i="2"/>
  <c r="BS13" i="2"/>
  <c r="BS17" i="2"/>
  <c r="BS34" i="2"/>
  <c r="BS36" i="2"/>
  <c r="BS42" i="2"/>
  <c r="BS44" i="2"/>
  <c r="BS10" i="2"/>
  <c r="BS47" i="2"/>
  <c r="BS49" i="2"/>
  <c r="BS51" i="2"/>
  <c r="BS53" i="2"/>
  <c r="BS55" i="2"/>
  <c r="BS46" i="2"/>
  <c r="BS58" i="2"/>
  <c r="BS60" i="2"/>
  <c r="BS57" i="2"/>
  <c r="BS63" i="2"/>
  <c r="BS65" i="2"/>
  <c r="BS62" i="2"/>
  <c r="BS68" i="2"/>
  <c r="BS70" i="2"/>
  <c r="BS73" i="2"/>
  <c r="BS75" i="2"/>
  <c r="BS77" i="2"/>
  <c r="BS79" i="2"/>
  <c r="BS81" i="2"/>
  <c r="BS67" i="2"/>
  <c r="BS84" i="2"/>
  <c r="BS87" i="2"/>
  <c r="BS83" i="2"/>
  <c r="BS100" i="2"/>
  <c r="BS99" i="2"/>
  <c r="BS103" i="2"/>
  <c r="BS102" i="2"/>
  <c r="BS107" i="2"/>
  <c r="BS109" i="2"/>
  <c r="BS106" i="2"/>
  <c r="BS112" i="2"/>
  <c r="BS114" i="2"/>
  <c r="BS116" i="2"/>
  <c r="BS118" i="2"/>
  <c r="BS111" i="2"/>
  <c r="BS121" i="2"/>
  <c r="BS125" i="2"/>
  <c r="BS129" i="2"/>
  <c r="BS133" i="2"/>
  <c r="BS135" i="2"/>
  <c r="BS137" i="2"/>
  <c r="BS120" i="2"/>
  <c r="BS142" i="2"/>
  <c r="BS146" i="2"/>
  <c r="BS149" i="2"/>
  <c r="BS141" i="2"/>
  <c r="BS157" i="2"/>
  <c r="BS160" i="2"/>
  <c r="BS156" i="2"/>
  <c r="BS164" i="2"/>
  <c r="BS166" i="2"/>
  <c r="BS169" i="2"/>
  <c r="BS172" i="2"/>
  <c r="BS174" i="2"/>
  <c r="BS163" i="2"/>
  <c r="BS179" i="2"/>
  <c r="BS183" i="2"/>
  <c r="BS185" i="2"/>
  <c r="BS187" i="2"/>
  <c r="BS189" i="2"/>
  <c r="BS191" i="2"/>
  <c r="BS199" i="2"/>
  <c r="BS176" i="2"/>
  <c r="BS202" i="2"/>
  <c r="BS201" i="2"/>
  <c r="BS208" i="2"/>
  <c r="BS207" i="2"/>
  <c r="BS212" i="2"/>
  <c r="BS214" i="2"/>
  <c r="BS237" i="2"/>
  <c r="BS217" i="2"/>
  <c r="BS265" i="2"/>
  <c r="BS279" i="2"/>
  <c r="BS211" i="2"/>
  <c r="BS282" i="2"/>
  <c r="BS281" i="2"/>
  <c r="BS285" i="2"/>
  <c r="BS287" i="2"/>
  <c r="BS289" i="2"/>
  <c r="BS291" i="2"/>
  <c r="BS293" i="2"/>
  <c r="BS295" i="2"/>
  <c r="BS297" i="2"/>
  <c r="BS284" i="2"/>
  <c r="BS205" i="2"/>
  <c r="BS204" i="2"/>
  <c r="BS299" i="2"/>
  <c r="BR11" i="2"/>
  <c r="BR13" i="2"/>
  <c r="BR17" i="2"/>
  <c r="BR34" i="2"/>
  <c r="BR36" i="2"/>
  <c r="BR42" i="2"/>
  <c r="BR44" i="2"/>
  <c r="BR10" i="2"/>
  <c r="BR47" i="2"/>
  <c r="BR49" i="2"/>
  <c r="BR51" i="2"/>
  <c r="BR53" i="2"/>
  <c r="BR55" i="2"/>
  <c r="BR46" i="2"/>
  <c r="BR58" i="2"/>
  <c r="BR60" i="2"/>
  <c r="BR57" i="2"/>
  <c r="BR63" i="2"/>
  <c r="BR65" i="2"/>
  <c r="BR62" i="2"/>
  <c r="BR68" i="2"/>
  <c r="BR70" i="2"/>
  <c r="BR73" i="2"/>
  <c r="BR75" i="2"/>
  <c r="BR77" i="2"/>
  <c r="BR79" i="2"/>
  <c r="BR81" i="2"/>
  <c r="BR67" i="2"/>
  <c r="BR84" i="2"/>
  <c r="BR87" i="2"/>
  <c r="BR83" i="2"/>
  <c r="BR100" i="2"/>
  <c r="BR99" i="2"/>
  <c r="BR103" i="2"/>
  <c r="BR102" i="2"/>
  <c r="BR107" i="2"/>
  <c r="BR109" i="2"/>
  <c r="BR106" i="2"/>
  <c r="BR112" i="2"/>
  <c r="BR114" i="2"/>
  <c r="BR116" i="2"/>
  <c r="BR118" i="2"/>
  <c r="BR111" i="2"/>
  <c r="BR121" i="2"/>
  <c r="BR125" i="2"/>
  <c r="BR129" i="2"/>
  <c r="BR133" i="2"/>
  <c r="BR135" i="2"/>
  <c r="BR137" i="2"/>
  <c r="BR120" i="2"/>
  <c r="BR142" i="2"/>
  <c r="BR146" i="2"/>
  <c r="BR149" i="2"/>
  <c r="BR141" i="2"/>
  <c r="BR157" i="2"/>
  <c r="BR160" i="2"/>
  <c r="BR156" i="2"/>
  <c r="BR164" i="2"/>
  <c r="BR166" i="2"/>
  <c r="BR169" i="2"/>
  <c r="BR172" i="2"/>
  <c r="BR174" i="2"/>
  <c r="BR163" i="2"/>
  <c r="BR179" i="2"/>
  <c r="BR183" i="2"/>
  <c r="BR185" i="2"/>
  <c r="BR187" i="2"/>
  <c r="BR189" i="2"/>
  <c r="BR191" i="2"/>
  <c r="BR199" i="2"/>
  <c r="BR176" i="2"/>
  <c r="BR202" i="2"/>
  <c r="BR201" i="2"/>
  <c r="BR208" i="2"/>
  <c r="BR207" i="2"/>
  <c r="BR212" i="2"/>
  <c r="BR214" i="2"/>
  <c r="BR237" i="2"/>
  <c r="BR217" i="2"/>
  <c r="BR265" i="2"/>
  <c r="BR279" i="2"/>
  <c r="BR211" i="2"/>
  <c r="BR282" i="2"/>
  <c r="BR281" i="2"/>
  <c r="BR285" i="2"/>
  <c r="BR287" i="2"/>
  <c r="BR289" i="2"/>
  <c r="BR291" i="2"/>
  <c r="BR293" i="2"/>
  <c r="BR295" i="2"/>
  <c r="BR297" i="2"/>
  <c r="BR284" i="2"/>
  <c r="BR205" i="2"/>
  <c r="BR204" i="2"/>
  <c r="BR299" i="2"/>
  <c r="BQ11" i="2"/>
  <c r="BQ13" i="2"/>
  <c r="BQ17" i="2"/>
  <c r="BQ34" i="2"/>
  <c r="BQ36" i="2"/>
  <c r="BQ42" i="2"/>
  <c r="BQ44" i="2"/>
  <c r="BQ10" i="2"/>
  <c r="BQ47" i="2"/>
  <c r="BQ49" i="2"/>
  <c r="BQ51" i="2"/>
  <c r="BQ53" i="2"/>
  <c r="BQ55" i="2"/>
  <c r="BQ46" i="2"/>
  <c r="BQ58" i="2"/>
  <c r="BQ60" i="2"/>
  <c r="BQ57" i="2"/>
  <c r="BQ63" i="2"/>
  <c r="BQ65" i="2"/>
  <c r="BQ62" i="2"/>
  <c r="BQ68" i="2"/>
  <c r="BQ70" i="2"/>
  <c r="BQ73" i="2"/>
  <c r="BQ75" i="2"/>
  <c r="BQ77" i="2"/>
  <c r="BQ79" i="2"/>
  <c r="BQ81" i="2"/>
  <c r="BQ67" i="2"/>
  <c r="BQ84" i="2"/>
  <c r="BQ87" i="2"/>
  <c r="BQ83" i="2"/>
  <c r="BQ100" i="2"/>
  <c r="BQ99" i="2"/>
  <c r="BQ103" i="2"/>
  <c r="BQ102" i="2"/>
  <c r="BQ107" i="2"/>
  <c r="BQ109" i="2"/>
  <c r="BQ106" i="2"/>
  <c r="BQ112" i="2"/>
  <c r="BQ114" i="2"/>
  <c r="BQ116" i="2"/>
  <c r="BQ118" i="2"/>
  <c r="BQ111" i="2"/>
  <c r="BQ121" i="2"/>
  <c r="BQ125" i="2"/>
  <c r="BQ129" i="2"/>
  <c r="BQ133" i="2"/>
  <c r="BQ135" i="2"/>
  <c r="BQ137" i="2"/>
  <c r="BQ120" i="2"/>
  <c r="BQ142" i="2"/>
  <c r="BQ146" i="2"/>
  <c r="BQ149" i="2"/>
  <c r="BQ141" i="2"/>
  <c r="BQ157" i="2"/>
  <c r="BQ160" i="2"/>
  <c r="BQ156" i="2"/>
  <c r="BQ164" i="2"/>
  <c r="BQ166" i="2"/>
  <c r="BQ169" i="2"/>
  <c r="BQ172" i="2"/>
  <c r="BQ174" i="2"/>
  <c r="BQ163" i="2"/>
  <c r="BQ179" i="2"/>
  <c r="BQ183" i="2"/>
  <c r="BQ185" i="2"/>
  <c r="BQ187" i="2"/>
  <c r="BQ189" i="2"/>
  <c r="BQ191" i="2"/>
  <c r="BQ199" i="2"/>
  <c r="BQ176" i="2"/>
  <c r="BQ202" i="2"/>
  <c r="BQ201" i="2"/>
  <c r="BQ208" i="2"/>
  <c r="BQ207" i="2"/>
  <c r="BQ212" i="2"/>
  <c r="BQ214" i="2"/>
  <c r="BQ237" i="2"/>
  <c r="BQ217" i="2"/>
  <c r="BQ265" i="2"/>
  <c r="BQ279" i="2"/>
  <c r="BQ211" i="2"/>
  <c r="BQ282" i="2"/>
  <c r="BQ281" i="2"/>
  <c r="BQ285" i="2"/>
  <c r="BQ287" i="2"/>
  <c r="BQ289" i="2"/>
  <c r="BQ291" i="2"/>
  <c r="BQ293" i="2"/>
  <c r="BQ295" i="2"/>
  <c r="BQ297" i="2"/>
  <c r="BQ284" i="2"/>
  <c r="BQ205" i="2"/>
  <c r="BQ204" i="2"/>
  <c r="BQ299" i="2"/>
  <c r="BP11" i="2"/>
  <c r="BP13" i="2"/>
  <c r="BP17" i="2"/>
  <c r="BP34" i="2"/>
  <c r="BP36" i="2"/>
  <c r="BP42" i="2"/>
  <c r="BP44" i="2"/>
  <c r="BP10" i="2"/>
  <c r="BP47" i="2"/>
  <c r="BP49" i="2"/>
  <c r="BP51" i="2"/>
  <c r="BP53" i="2"/>
  <c r="BP55" i="2"/>
  <c r="BP46" i="2"/>
  <c r="BP58" i="2"/>
  <c r="BP60" i="2"/>
  <c r="BP57" i="2"/>
  <c r="BP63" i="2"/>
  <c r="BP65" i="2"/>
  <c r="BP62" i="2"/>
  <c r="BP68" i="2"/>
  <c r="BP70" i="2"/>
  <c r="BP73" i="2"/>
  <c r="BP75" i="2"/>
  <c r="BP77" i="2"/>
  <c r="BP79" i="2"/>
  <c r="BP81" i="2"/>
  <c r="BP67" i="2"/>
  <c r="BP85" i="2"/>
  <c r="BP84" i="2"/>
  <c r="BP87" i="2"/>
  <c r="BP83" i="2"/>
  <c r="BP100" i="2"/>
  <c r="BP99" i="2"/>
  <c r="BP103" i="2"/>
  <c r="BP102" i="2"/>
  <c r="BP107" i="2"/>
  <c r="BP109" i="2"/>
  <c r="BP106" i="2"/>
  <c r="BP112" i="2"/>
  <c r="BP114" i="2"/>
  <c r="BP116" i="2"/>
  <c r="BP118" i="2"/>
  <c r="BP111" i="2"/>
  <c r="BP121" i="2"/>
  <c r="BP125" i="2"/>
  <c r="BP131" i="2"/>
  <c r="BP129" i="2"/>
  <c r="BP133" i="2"/>
  <c r="BP135" i="2"/>
  <c r="BP137" i="2"/>
  <c r="BP120" i="2"/>
  <c r="BP142" i="2"/>
  <c r="BP146" i="2"/>
  <c r="BP149" i="2"/>
  <c r="BP141" i="2"/>
  <c r="BP157" i="2"/>
  <c r="BP160" i="2"/>
  <c r="BP156" i="2"/>
  <c r="BP164" i="2"/>
  <c r="BP166" i="2"/>
  <c r="BP169" i="2"/>
  <c r="BP172" i="2"/>
  <c r="BP174" i="2"/>
  <c r="BP163" i="2"/>
  <c r="BP179" i="2"/>
  <c r="BP183" i="2"/>
  <c r="BP185" i="2"/>
  <c r="BP187" i="2"/>
  <c r="BP189" i="2"/>
  <c r="BP191" i="2"/>
  <c r="BP199" i="2"/>
  <c r="BP176" i="2"/>
  <c r="BP202" i="2"/>
  <c r="BP201" i="2"/>
  <c r="BP208" i="2"/>
  <c r="BP207" i="2"/>
  <c r="BP212" i="2"/>
  <c r="BP214" i="2"/>
  <c r="BP237" i="2"/>
  <c r="BP217" i="2"/>
  <c r="BP265" i="2"/>
  <c r="BP279" i="2"/>
  <c r="BP211" i="2"/>
  <c r="BP282" i="2"/>
  <c r="BP281" i="2"/>
  <c r="BP285" i="2"/>
  <c r="BP287" i="2"/>
  <c r="BP289" i="2"/>
  <c r="BP291" i="2"/>
  <c r="BP293" i="2"/>
  <c r="BP295" i="2"/>
  <c r="BP297" i="2"/>
  <c r="BP284" i="2"/>
  <c r="BP205" i="2"/>
  <c r="BP204" i="2"/>
  <c r="BP299" i="2"/>
  <c r="BO11" i="2"/>
  <c r="BO13" i="2"/>
  <c r="BO17" i="2"/>
  <c r="BO34" i="2"/>
  <c r="BO36" i="2"/>
  <c r="BO42" i="2"/>
  <c r="BO44" i="2"/>
  <c r="BO10" i="2"/>
  <c r="BO47" i="2"/>
  <c r="BO49" i="2"/>
  <c r="BO51" i="2"/>
  <c r="BO53" i="2"/>
  <c r="BO55" i="2"/>
  <c r="BO46" i="2"/>
  <c r="BO58" i="2"/>
  <c r="BO60" i="2"/>
  <c r="BO57" i="2"/>
  <c r="BO63" i="2"/>
  <c r="BO65" i="2"/>
  <c r="BO62" i="2"/>
  <c r="BO68" i="2"/>
  <c r="BO70" i="2"/>
  <c r="BO73" i="2"/>
  <c r="BO75" i="2"/>
  <c r="BO77" i="2"/>
  <c r="BO79" i="2"/>
  <c r="BO81" i="2"/>
  <c r="BO67" i="2"/>
  <c r="BO84" i="2"/>
  <c r="BO87" i="2"/>
  <c r="BO83" i="2"/>
  <c r="BO100" i="2"/>
  <c r="BO99" i="2"/>
  <c r="BO103" i="2"/>
  <c r="BO102" i="2"/>
  <c r="BO107" i="2"/>
  <c r="BO109" i="2"/>
  <c r="BO106" i="2"/>
  <c r="BO112" i="2"/>
  <c r="BO114" i="2"/>
  <c r="BO116" i="2"/>
  <c r="BO118" i="2"/>
  <c r="BO111" i="2"/>
  <c r="BO121" i="2"/>
  <c r="BO125" i="2"/>
  <c r="BO129" i="2"/>
  <c r="BO133" i="2"/>
  <c r="BO135" i="2"/>
  <c r="BO137" i="2"/>
  <c r="BO120" i="2"/>
  <c r="BO142" i="2"/>
  <c r="BO146" i="2"/>
  <c r="BO149" i="2"/>
  <c r="BO141" i="2"/>
  <c r="BO157" i="2"/>
  <c r="BO160" i="2"/>
  <c r="BO156" i="2"/>
  <c r="BO164" i="2"/>
  <c r="BO166" i="2"/>
  <c r="BO169" i="2"/>
  <c r="BO172" i="2"/>
  <c r="BO174" i="2"/>
  <c r="BO163" i="2"/>
  <c r="BO179" i="2"/>
  <c r="BO183" i="2"/>
  <c r="BO185" i="2"/>
  <c r="BO187" i="2"/>
  <c r="BO189" i="2"/>
  <c r="BO191" i="2"/>
  <c r="BO199" i="2"/>
  <c r="BO176" i="2"/>
  <c r="BO202" i="2"/>
  <c r="BO201" i="2"/>
  <c r="BO208" i="2"/>
  <c r="BO207" i="2"/>
  <c r="BO212" i="2"/>
  <c r="BO214" i="2"/>
  <c r="BO237" i="2"/>
  <c r="BO217" i="2"/>
  <c r="BO265" i="2"/>
  <c r="BO279" i="2"/>
  <c r="BO211" i="2"/>
  <c r="BO282" i="2"/>
  <c r="BO281" i="2"/>
  <c r="BO285" i="2"/>
  <c r="BO287" i="2"/>
  <c r="BO289" i="2"/>
  <c r="BO291" i="2"/>
  <c r="BO293" i="2"/>
  <c r="BO295" i="2"/>
  <c r="BO297" i="2"/>
  <c r="BO284" i="2"/>
  <c r="BO205" i="2"/>
  <c r="BO204" i="2"/>
  <c r="BO299" i="2"/>
  <c r="BN11" i="2"/>
  <c r="BN13" i="2"/>
  <c r="BN17" i="2"/>
  <c r="BN34" i="2"/>
  <c r="BN36" i="2"/>
  <c r="BN42" i="2"/>
  <c r="BN44" i="2"/>
  <c r="BN10" i="2"/>
  <c r="BN47" i="2"/>
  <c r="BN49" i="2"/>
  <c r="BN51" i="2"/>
  <c r="BN53" i="2"/>
  <c r="BN55" i="2"/>
  <c r="BN46" i="2"/>
  <c r="BN58" i="2"/>
  <c r="BN60" i="2"/>
  <c r="BN57" i="2"/>
  <c r="BN63" i="2"/>
  <c r="BN65" i="2"/>
  <c r="BN62" i="2"/>
  <c r="BN68" i="2"/>
  <c r="BN70" i="2"/>
  <c r="BN73" i="2"/>
  <c r="BN75" i="2"/>
  <c r="BN77" i="2"/>
  <c r="BN79" i="2"/>
  <c r="BN81" i="2"/>
  <c r="BN67" i="2"/>
  <c r="BN84" i="2"/>
  <c r="BN87" i="2"/>
  <c r="BN83" i="2"/>
  <c r="BN100" i="2"/>
  <c r="BN99" i="2"/>
  <c r="BN103" i="2"/>
  <c r="BN102" i="2"/>
  <c r="BN107" i="2"/>
  <c r="BN109" i="2"/>
  <c r="BN106" i="2"/>
  <c r="BN112" i="2"/>
  <c r="BN114" i="2"/>
  <c r="BN116" i="2"/>
  <c r="BN118" i="2"/>
  <c r="BN111" i="2"/>
  <c r="BN121" i="2"/>
  <c r="BN125" i="2"/>
  <c r="BN129" i="2"/>
  <c r="BN133" i="2"/>
  <c r="BN135" i="2"/>
  <c r="BN137" i="2"/>
  <c r="BN120" i="2"/>
  <c r="BN142" i="2"/>
  <c r="BN146" i="2"/>
  <c r="BN149" i="2"/>
  <c r="BN141" i="2"/>
  <c r="BN157" i="2"/>
  <c r="BN160" i="2"/>
  <c r="BN156" i="2"/>
  <c r="BN164" i="2"/>
  <c r="BN166" i="2"/>
  <c r="BN169" i="2"/>
  <c r="BN172" i="2"/>
  <c r="BN174" i="2"/>
  <c r="BN163" i="2"/>
  <c r="BN177" i="2"/>
  <c r="BN179" i="2"/>
  <c r="BN183" i="2"/>
  <c r="BN185" i="2"/>
  <c r="BN187" i="2"/>
  <c r="BN189" i="2"/>
  <c r="BN191" i="2"/>
  <c r="BN199" i="2"/>
  <c r="BN176" i="2"/>
  <c r="BN202" i="2"/>
  <c r="BN201" i="2"/>
  <c r="BN208" i="2"/>
  <c r="BN207" i="2"/>
  <c r="BN212" i="2"/>
  <c r="BN214" i="2"/>
  <c r="BN237" i="2"/>
  <c r="BN217" i="2"/>
  <c r="BN265" i="2"/>
  <c r="BN279" i="2"/>
  <c r="BN211" i="2"/>
  <c r="BN282" i="2"/>
  <c r="BN281" i="2"/>
  <c r="BN285" i="2"/>
  <c r="BN287" i="2"/>
  <c r="BN289" i="2"/>
  <c r="BN291" i="2"/>
  <c r="BN293" i="2"/>
  <c r="BN295" i="2"/>
  <c r="BN297" i="2"/>
  <c r="BN284" i="2"/>
  <c r="BN205" i="2"/>
  <c r="BN204" i="2"/>
  <c r="BN299" i="2"/>
  <c r="BM12" i="2"/>
  <c r="BM11" i="2"/>
  <c r="BM14" i="2"/>
  <c r="BM15" i="2"/>
  <c r="BM16" i="2"/>
  <c r="BM13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17" i="2"/>
  <c r="BM35" i="2"/>
  <c r="BM34" i="2"/>
  <c r="BM37" i="2"/>
  <c r="BM38" i="2"/>
  <c r="BM39" i="2"/>
  <c r="BM40" i="2"/>
  <c r="BM41" i="2"/>
  <c r="BM36" i="2"/>
  <c r="BM43" i="2"/>
  <c r="BM42" i="2"/>
  <c r="BM45" i="2"/>
  <c r="BM44" i="2"/>
  <c r="BM10" i="2"/>
  <c r="BM48" i="2"/>
  <c r="BM47" i="2"/>
  <c r="BM50" i="2"/>
  <c r="BM49" i="2"/>
  <c r="BM52" i="2"/>
  <c r="BM51" i="2"/>
  <c r="BM54" i="2"/>
  <c r="BM53" i="2"/>
  <c r="BM56" i="2"/>
  <c r="BM55" i="2"/>
  <c r="BM46" i="2"/>
  <c r="BM59" i="2"/>
  <c r="BM58" i="2"/>
  <c r="BM61" i="2"/>
  <c r="BM60" i="2"/>
  <c r="BM57" i="2"/>
  <c r="BM64" i="2"/>
  <c r="BM63" i="2"/>
  <c r="BM66" i="2"/>
  <c r="BM65" i="2"/>
  <c r="BM62" i="2"/>
  <c r="BM69" i="2"/>
  <c r="BM68" i="2"/>
  <c r="BM71" i="2"/>
  <c r="BM72" i="2"/>
  <c r="BM70" i="2"/>
  <c r="BM74" i="2"/>
  <c r="BM73" i="2"/>
  <c r="BM76" i="2"/>
  <c r="BM75" i="2"/>
  <c r="BM78" i="2"/>
  <c r="BM77" i="2"/>
  <c r="BM80" i="2"/>
  <c r="BM79" i="2"/>
  <c r="BM82" i="2"/>
  <c r="BM81" i="2"/>
  <c r="BM67" i="2"/>
  <c r="BM85" i="2"/>
  <c r="BM86" i="2"/>
  <c r="BM84" i="2"/>
  <c r="BM88" i="2"/>
  <c r="BM89" i="2"/>
  <c r="BM90" i="2"/>
  <c r="BM91" i="2"/>
  <c r="BM92" i="2"/>
  <c r="BM93" i="2"/>
  <c r="BM94" i="2"/>
  <c r="BM95" i="2"/>
  <c r="BM96" i="2"/>
  <c r="BM97" i="2"/>
  <c r="BM98" i="2"/>
  <c r="BM87" i="2"/>
  <c r="BM83" i="2"/>
  <c r="BM101" i="2"/>
  <c r="BM100" i="2"/>
  <c r="BM99" i="2"/>
  <c r="BM104" i="2"/>
  <c r="BM105" i="2"/>
  <c r="BM103" i="2"/>
  <c r="BM102" i="2"/>
  <c r="BM108" i="2"/>
  <c r="BM107" i="2"/>
  <c r="BM110" i="2"/>
  <c r="BM109" i="2"/>
  <c r="BM106" i="2"/>
  <c r="BM113" i="2"/>
  <c r="BM112" i="2"/>
  <c r="BM115" i="2"/>
  <c r="BM114" i="2"/>
  <c r="BM117" i="2"/>
  <c r="BM116" i="2"/>
  <c r="BM119" i="2"/>
  <c r="BM118" i="2"/>
  <c r="BM111" i="2"/>
  <c r="BM122" i="2"/>
  <c r="BM123" i="2"/>
  <c r="BM124" i="2"/>
  <c r="BM121" i="2"/>
  <c r="BM126" i="2"/>
  <c r="BM127" i="2"/>
  <c r="BM128" i="2"/>
  <c r="BM125" i="2"/>
  <c r="BM130" i="2"/>
  <c r="BM131" i="2"/>
  <c r="BM132" i="2"/>
  <c r="BM129" i="2"/>
  <c r="BM134" i="2"/>
  <c r="BM133" i="2"/>
  <c r="BM136" i="2"/>
  <c r="BM135" i="2"/>
  <c r="BM138" i="2"/>
  <c r="BM139" i="2"/>
  <c r="BM140" i="2"/>
  <c r="BM137" i="2"/>
  <c r="BM120" i="2"/>
  <c r="BM143" i="2"/>
  <c r="BM144" i="2"/>
  <c r="BM145" i="2"/>
  <c r="BM142" i="2"/>
  <c r="BM147" i="2"/>
  <c r="BM148" i="2"/>
  <c r="BM146" i="2"/>
  <c r="BM150" i="2"/>
  <c r="BM151" i="2"/>
  <c r="BM152" i="2"/>
  <c r="BM153" i="2"/>
  <c r="BM154" i="2"/>
  <c r="BM155" i="2"/>
  <c r="BM149" i="2"/>
  <c r="BM141" i="2"/>
  <c r="BM158" i="2"/>
  <c r="BM159" i="2"/>
  <c r="BM157" i="2"/>
  <c r="BM161" i="2"/>
  <c r="BM162" i="2"/>
  <c r="BM160" i="2"/>
  <c r="BM156" i="2"/>
  <c r="BM165" i="2"/>
  <c r="BM164" i="2"/>
  <c r="BM167" i="2"/>
  <c r="BM168" i="2"/>
  <c r="BM166" i="2"/>
  <c r="BM170" i="2"/>
  <c r="BM171" i="2"/>
  <c r="BM169" i="2"/>
  <c r="BM173" i="2"/>
  <c r="BM172" i="2"/>
  <c r="BM175" i="2"/>
  <c r="BM174" i="2"/>
  <c r="BM163" i="2"/>
  <c r="BM177" i="2"/>
  <c r="BM178" i="2"/>
  <c r="BM180" i="2"/>
  <c r="BM181" i="2"/>
  <c r="BM182" i="2"/>
  <c r="BM179" i="2"/>
  <c r="BM184" i="2"/>
  <c r="BM183" i="2"/>
  <c r="BM186" i="2"/>
  <c r="BM185" i="2"/>
  <c r="BM188" i="2"/>
  <c r="BM187" i="2"/>
  <c r="BM190" i="2"/>
  <c r="BM189" i="2"/>
  <c r="BM192" i="2"/>
  <c r="BM193" i="2"/>
  <c r="BM194" i="2"/>
  <c r="BM195" i="2"/>
  <c r="BM196" i="2"/>
  <c r="BM197" i="2"/>
  <c r="BM198" i="2"/>
  <c r="BM191" i="2"/>
  <c r="BM200" i="2"/>
  <c r="BM199" i="2"/>
  <c r="BM176" i="2"/>
  <c r="BM203" i="2"/>
  <c r="BM202" i="2"/>
  <c r="BM201" i="2"/>
  <c r="BM209" i="2"/>
  <c r="BM210" i="2"/>
  <c r="BM208" i="2"/>
  <c r="BM207" i="2"/>
  <c r="BM213" i="2"/>
  <c r="BM212" i="2"/>
  <c r="BM215" i="2"/>
  <c r="BM216" i="2"/>
  <c r="BM214" i="2"/>
  <c r="BM218" i="2"/>
  <c r="BM219" i="2"/>
  <c r="BM220" i="2"/>
  <c r="BM221" i="2"/>
  <c r="BM222" i="2"/>
  <c r="BM223" i="2"/>
  <c r="BM224" i="2"/>
  <c r="BM225" i="2"/>
  <c r="BM226" i="2"/>
  <c r="BM227" i="2"/>
  <c r="BM228" i="2"/>
  <c r="BM229" i="2"/>
  <c r="BM230" i="2"/>
  <c r="BM231" i="2"/>
  <c r="BM232" i="2"/>
  <c r="BM233" i="2"/>
  <c r="BM234" i="2"/>
  <c r="BM235" i="2"/>
  <c r="BM236" i="2"/>
  <c r="BM238" i="2"/>
  <c r="BM239" i="2"/>
  <c r="BM240" i="2"/>
  <c r="BM241" i="2"/>
  <c r="BM242" i="2"/>
  <c r="BM243" i="2"/>
  <c r="BM244" i="2"/>
  <c r="BM245" i="2"/>
  <c r="BM246" i="2"/>
  <c r="BM247" i="2"/>
  <c r="BM248" i="2"/>
  <c r="BM249" i="2"/>
  <c r="BM250" i="2"/>
  <c r="BM251" i="2"/>
  <c r="BM252" i="2"/>
  <c r="BM253" i="2"/>
  <c r="BM254" i="2"/>
  <c r="BM255" i="2"/>
  <c r="BM256" i="2"/>
  <c r="BM257" i="2"/>
  <c r="BM258" i="2"/>
  <c r="BM259" i="2"/>
  <c r="BM260" i="2"/>
  <c r="BM261" i="2"/>
  <c r="BM262" i="2"/>
  <c r="BM263" i="2"/>
  <c r="BM264" i="2"/>
  <c r="BM237" i="2"/>
  <c r="BM217" i="2"/>
  <c r="BM266" i="2"/>
  <c r="BM267" i="2"/>
  <c r="BM268" i="2"/>
  <c r="BM269" i="2"/>
  <c r="BM270" i="2"/>
  <c r="BM271" i="2"/>
  <c r="BM272" i="2"/>
  <c r="BM273" i="2"/>
  <c r="BM274" i="2"/>
  <c r="BM275" i="2"/>
  <c r="BM276" i="2"/>
  <c r="BM277" i="2"/>
  <c r="BM278" i="2"/>
  <c r="BM265" i="2"/>
  <c r="BM280" i="2"/>
  <c r="BM279" i="2"/>
  <c r="BM211" i="2"/>
  <c r="BM283" i="2"/>
  <c r="BM282" i="2"/>
  <c r="BM281" i="2"/>
  <c r="BM286" i="2"/>
  <c r="BM285" i="2"/>
  <c r="BM288" i="2"/>
  <c r="BM287" i="2"/>
  <c r="BM290" i="2"/>
  <c r="BM289" i="2"/>
  <c r="BM292" i="2"/>
  <c r="BM291" i="2"/>
  <c r="BM294" i="2"/>
  <c r="BM293" i="2"/>
  <c r="BM296" i="2"/>
  <c r="BM295" i="2"/>
  <c r="BM298" i="2"/>
  <c r="BM297" i="2"/>
  <c r="BM284" i="2"/>
  <c r="BM206" i="2"/>
  <c r="BM205" i="2"/>
  <c r="BM204" i="2"/>
  <c r="BM299" i="2"/>
  <c r="BL11" i="2"/>
  <c r="BL13" i="2"/>
  <c r="BL17" i="2"/>
  <c r="BL34" i="2"/>
  <c r="BL36" i="2"/>
  <c r="BL42" i="2"/>
  <c r="BL44" i="2"/>
  <c r="BL10" i="2"/>
  <c r="BL47" i="2"/>
  <c r="BL49" i="2"/>
  <c r="BL51" i="2"/>
  <c r="BL53" i="2"/>
  <c r="BL55" i="2"/>
  <c r="BL46" i="2"/>
  <c r="BL58" i="2"/>
  <c r="BL60" i="2"/>
  <c r="BL57" i="2"/>
  <c r="BL63" i="2"/>
  <c r="BL65" i="2"/>
  <c r="BL62" i="2"/>
  <c r="BL68" i="2"/>
  <c r="BL70" i="2"/>
  <c r="BL73" i="2"/>
  <c r="BL75" i="2"/>
  <c r="BL77" i="2"/>
  <c r="BL79" i="2"/>
  <c r="BL81" i="2"/>
  <c r="BL67" i="2"/>
  <c r="BL84" i="2"/>
  <c r="BL87" i="2"/>
  <c r="BL83" i="2"/>
  <c r="BL100" i="2"/>
  <c r="BL99" i="2"/>
  <c r="BL103" i="2"/>
  <c r="BL102" i="2"/>
  <c r="BL107" i="2"/>
  <c r="BL109" i="2"/>
  <c r="BL106" i="2"/>
  <c r="BL112" i="2"/>
  <c r="BL114" i="2"/>
  <c r="BL116" i="2"/>
  <c r="BL118" i="2"/>
  <c r="BL111" i="2"/>
  <c r="BL121" i="2"/>
  <c r="BL125" i="2"/>
  <c r="BL129" i="2"/>
  <c r="BL133" i="2"/>
  <c r="BL135" i="2"/>
  <c r="BL137" i="2"/>
  <c r="BL120" i="2"/>
  <c r="BL142" i="2"/>
  <c r="BL146" i="2"/>
  <c r="BL149" i="2"/>
  <c r="BL141" i="2"/>
  <c r="BL157" i="2"/>
  <c r="BL160" i="2"/>
  <c r="BL156" i="2"/>
  <c r="BL164" i="2"/>
  <c r="BL166" i="2"/>
  <c r="BL169" i="2"/>
  <c r="BL172" i="2"/>
  <c r="BL174" i="2"/>
  <c r="BL163" i="2"/>
  <c r="BL179" i="2"/>
  <c r="BL183" i="2"/>
  <c r="BL185" i="2"/>
  <c r="BL187" i="2"/>
  <c r="BL189" i="2"/>
  <c r="BL191" i="2"/>
  <c r="BL199" i="2"/>
  <c r="BL176" i="2"/>
  <c r="BL202" i="2"/>
  <c r="BL201" i="2"/>
  <c r="BL208" i="2"/>
  <c r="BL207" i="2"/>
  <c r="BL212" i="2"/>
  <c r="BL214" i="2"/>
  <c r="BL237" i="2"/>
  <c r="BL217" i="2"/>
  <c r="BL265" i="2"/>
  <c r="BL279" i="2"/>
  <c r="BL211" i="2"/>
  <c r="BL282" i="2"/>
  <c r="BL281" i="2"/>
  <c r="BL285" i="2"/>
  <c r="BL287" i="2"/>
  <c r="BL289" i="2"/>
  <c r="BL291" i="2"/>
  <c r="BL293" i="2"/>
  <c r="BL295" i="2"/>
  <c r="BL297" i="2"/>
  <c r="BL284" i="2"/>
  <c r="BL205" i="2"/>
  <c r="BL204" i="2"/>
  <c r="BL299" i="2"/>
  <c r="BK12" i="2"/>
  <c r="BK11" i="2"/>
  <c r="BK14" i="2"/>
  <c r="BK15" i="2"/>
  <c r="BK16" i="2"/>
  <c r="BK13" i="2"/>
  <c r="BK18" i="2"/>
  <c r="BK19" i="2"/>
  <c r="BK20" i="2"/>
  <c r="BK21" i="2"/>
  <c r="BK22" i="2"/>
  <c r="BK23" i="2"/>
  <c r="BK24" i="2"/>
  <c r="BK25" i="2"/>
  <c r="BK26" i="2"/>
  <c r="BK27" i="2"/>
  <c r="BK28" i="2"/>
  <c r="BK29" i="2"/>
  <c r="BK30" i="2"/>
  <c r="BK31" i="2"/>
  <c r="BK32" i="2"/>
  <c r="BK33" i="2"/>
  <c r="BK17" i="2"/>
  <c r="BK35" i="2"/>
  <c r="BK34" i="2"/>
  <c r="BK37" i="2"/>
  <c r="BK38" i="2"/>
  <c r="BK39" i="2"/>
  <c r="BK40" i="2"/>
  <c r="BK41" i="2"/>
  <c r="BK36" i="2"/>
  <c r="BK43" i="2"/>
  <c r="BK42" i="2"/>
  <c r="BK45" i="2"/>
  <c r="BK44" i="2"/>
  <c r="BK10" i="2"/>
  <c r="BK48" i="2"/>
  <c r="BK47" i="2"/>
  <c r="BK50" i="2"/>
  <c r="BK49" i="2"/>
  <c r="BK52" i="2"/>
  <c r="BK51" i="2"/>
  <c r="BK54" i="2"/>
  <c r="BK53" i="2"/>
  <c r="BK56" i="2"/>
  <c r="BK55" i="2"/>
  <c r="BK46" i="2"/>
  <c r="BK59" i="2"/>
  <c r="BK58" i="2"/>
  <c r="BK61" i="2"/>
  <c r="BK60" i="2"/>
  <c r="BK57" i="2"/>
  <c r="BK64" i="2"/>
  <c r="BK63" i="2"/>
  <c r="BK66" i="2"/>
  <c r="BK65" i="2"/>
  <c r="BK62" i="2"/>
  <c r="BK69" i="2"/>
  <c r="BK68" i="2"/>
  <c r="BK71" i="2"/>
  <c r="BK72" i="2"/>
  <c r="BK70" i="2"/>
  <c r="BK74" i="2"/>
  <c r="BK73" i="2"/>
  <c r="BK76" i="2"/>
  <c r="BK75" i="2"/>
  <c r="BK78" i="2"/>
  <c r="BK77" i="2"/>
  <c r="BK80" i="2"/>
  <c r="BK79" i="2"/>
  <c r="BK82" i="2"/>
  <c r="BK81" i="2"/>
  <c r="BK67" i="2"/>
  <c r="BK85" i="2"/>
  <c r="BK86" i="2"/>
  <c r="BK84" i="2"/>
  <c r="BK88" i="2"/>
  <c r="BK89" i="2"/>
  <c r="BK90" i="2"/>
  <c r="BK91" i="2"/>
  <c r="BK92" i="2"/>
  <c r="BK93" i="2"/>
  <c r="BK94" i="2"/>
  <c r="BK95" i="2"/>
  <c r="BK96" i="2"/>
  <c r="BK97" i="2"/>
  <c r="BK98" i="2"/>
  <c r="BK87" i="2"/>
  <c r="BK83" i="2"/>
  <c r="BK101" i="2"/>
  <c r="BK100" i="2"/>
  <c r="BK99" i="2"/>
  <c r="BK104" i="2"/>
  <c r="BK105" i="2"/>
  <c r="BK103" i="2"/>
  <c r="BK102" i="2"/>
  <c r="BK108" i="2"/>
  <c r="BK107" i="2"/>
  <c r="BK110" i="2"/>
  <c r="BK109" i="2"/>
  <c r="BK106" i="2"/>
  <c r="BK113" i="2"/>
  <c r="BK112" i="2"/>
  <c r="BK115" i="2"/>
  <c r="BK114" i="2"/>
  <c r="BK117" i="2"/>
  <c r="BK116" i="2"/>
  <c r="BK119" i="2"/>
  <c r="BK118" i="2"/>
  <c r="BK111" i="2"/>
  <c r="BK122" i="2"/>
  <c r="BK123" i="2"/>
  <c r="BK124" i="2"/>
  <c r="BK121" i="2"/>
  <c r="BK126" i="2"/>
  <c r="BK127" i="2"/>
  <c r="BK128" i="2"/>
  <c r="BK125" i="2"/>
  <c r="BK130" i="2"/>
  <c r="BK131" i="2"/>
  <c r="BK132" i="2"/>
  <c r="BK129" i="2"/>
  <c r="BK134" i="2"/>
  <c r="BK133" i="2"/>
  <c r="BK136" i="2"/>
  <c r="BK135" i="2"/>
  <c r="BK138" i="2"/>
  <c r="BK139" i="2"/>
  <c r="BK140" i="2"/>
  <c r="BK137" i="2"/>
  <c r="BK120" i="2"/>
  <c r="BK143" i="2"/>
  <c r="BK144" i="2"/>
  <c r="BK145" i="2"/>
  <c r="BK142" i="2"/>
  <c r="BK147" i="2"/>
  <c r="BK148" i="2"/>
  <c r="BK146" i="2"/>
  <c r="BK150" i="2"/>
  <c r="BK151" i="2"/>
  <c r="BK152" i="2"/>
  <c r="BK153" i="2"/>
  <c r="BK154" i="2"/>
  <c r="BK155" i="2"/>
  <c r="BK149" i="2"/>
  <c r="BK141" i="2"/>
  <c r="BK158" i="2"/>
  <c r="BK159" i="2"/>
  <c r="BK157" i="2"/>
  <c r="BK161" i="2"/>
  <c r="BK162" i="2"/>
  <c r="BK160" i="2"/>
  <c r="BK156" i="2"/>
  <c r="BK165" i="2"/>
  <c r="BK164" i="2"/>
  <c r="BK167" i="2"/>
  <c r="BK168" i="2"/>
  <c r="BK166" i="2"/>
  <c r="BK170" i="2"/>
  <c r="BK171" i="2"/>
  <c r="BK169" i="2"/>
  <c r="BK173" i="2"/>
  <c r="BK172" i="2"/>
  <c r="BK175" i="2"/>
  <c r="BK174" i="2"/>
  <c r="BK163" i="2"/>
  <c r="BK177" i="2"/>
  <c r="BK178" i="2"/>
  <c r="BK180" i="2"/>
  <c r="BK181" i="2"/>
  <c r="BK182" i="2"/>
  <c r="BK179" i="2"/>
  <c r="BK184" i="2"/>
  <c r="BK183" i="2"/>
  <c r="BK186" i="2"/>
  <c r="BK185" i="2"/>
  <c r="BK188" i="2"/>
  <c r="BK187" i="2"/>
  <c r="BK190" i="2"/>
  <c r="BK189" i="2"/>
  <c r="BK192" i="2"/>
  <c r="BK193" i="2"/>
  <c r="BK194" i="2"/>
  <c r="BK195" i="2"/>
  <c r="BK196" i="2"/>
  <c r="BK197" i="2"/>
  <c r="BK198" i="2"/>
  <c r="BK191" i="2"/>
  <c r="BK200" i="2"/>
  <c r="BK199" i="2"/>
  <c r="BK176" i="2"/>
  <c r="BK203" i="2"/>
  <c r="BK202" i="2"/>
  <c r="BK201" i="2"/>
  <c r="BK209" i="2"/>
  <c r="BK210" i="2"/>
  <c r="BK208" i="2"/>
  <c r="BK207" i="2"/>
  <c r="BK213" i="2"/>
  <c r="BK212" i="2"/>
  <c r="BK215" i="2"/>
  <c r="BK216" i="2"/>
  <c r="BK214" i="2"/>
  <c r="BK218" i="2"/>
  <c r="BK219" i="2"/>
  <c r="BK220" i="2"/>
  <c r="BK221" i="2"/>
  <c r="BK222" i="2"/>
  <c r="BK223" i="2"/>
  <c r="BK224" i="2"/>
  <c r="BK225" i="2"/>
  <c r="BK226" i="2"/>
  <c r="BK227" i="2"/>
  <c r="BK228" i="2"/>
  <c r="BK229" i="2"/>
  <c r="BK230" i="2"/>
  <c r="BK231" i="2"/>
  <c r="BK232" i="2"/>
  <c r="BK233" i="2"/>
  <c r="BK234" i="2"/>
  <c r="BK235" i="2"/>
  <c r="BK236" i="2"/>
  <c r="BK238" i="2"/>
  <c r="BK239" i="2"/>
  <c r="BK240" i="2"/>
  <c r="BK241" i="2"/>
  <c r="BK242" i="2"/>
  <c r="BK243" i="2"/>
  <c r="BK244" i="2"/>
  <c r="BK245" i="2"/>
  <c r="BK246" i="2"/>
  <c r="BK247" i="2"/>
  <c r="BK248" i="2"/>
  <c r="BK249" i="2"/>
  <c r="BK250" i="2"/>
  <c r="BK251" i="2"/>
  <c r="BK252" i="2"/>
  <c r="BK253" i="2"/>
  <c r="BK254" i="2"/>
  <c r="BK255" i="2"/>
  <c r="BK256" i="2"/>
  <c r="BK257" i="2"/>
  <c r="BK258" i="2"/>
  <c r="BK259" i="2"/>
  <c r="BK260" i="2"/>
  <c r="BK261" i="2"/>
  <c r="BK262" i="2"/>
  <c r="BK263" i="2"/>
  <c r="BK264" i="2"/>
  <c r="BK237" i="2"/>
  <c r="BK217" i="2"/>
  <c r="BK266" i="2"/>
  <c r="BK267" i="2"/>
  <c r="BK268" i="2"/>
  <c r="BK269" i="2"/>
  <c r="BK270" i="2"/>
  <c r="BK271" i="2"/>
  <c r="BK272" i="2"/>
  <c r="BK273" i="2"/>
  <c r="BK274" i="2"/>
  <c r="BK275" i="2"/>
  <c r="BK276" i="2"/>
  <c r="BK277" i="2"/>
  <c r="BK278" i="2"/>
  <c r="BK265" i="2"/>
  <c r="BK280" i="2"/>
  <c r="BK279" i="2"/>
  <c r="BK211" i="2"/>
  <c r="BK283" i="2"/>
  <c r="BK282" i="2"/>
  <c r="BK281" i="2"/>
  <c r="BK286" i="2"/>
  <c r="BK285" i="2"/>
  <c r="BK288" i="2"/>
  <c r="BK287" i="2"/>
  <c r="BK290" i="2"/>
  <c r="BK289" i="2"/>
  <c r="BK292" i="2"/>
  <c r="BK291" i="2"/>
  <c r="BK294" i="2"/>
  <c r="BK293" i="2"/>
  <c r="BK296" i="2"/>
  <c r="BK295" i="2"/>
  <c r="BK298" i="2"/>
  <c r="BK297" i="2"/>
  <c r="BK284" i="2"/>
  <c r="BK206" i="2"/>
  <c r="BK205" i="2"/>
  <c r="BK204" i="2"/>
  <c r="BK299" i="2"/>
  <c r="BJ11" i="2"/>
  <c r="BJ13" i="2"/>
  <c r="BJ17" i="2"/>
  <c r="BJ34" i="2"/>
  <c r="BJ36" i="2"/>
  <c r="BJ42" i="2"/>
  <c r="BJ44" i="2"/>
  <c r="BJ10" i="2"/>
  <c r="BJ47" i="2"/>
  <c r="BJ49" i="2"/>
  <c r="BJ51" i="2"/>
  <c r="BJ53" i="2"/>
  <c r="BJ55" i="2"/>
  <c r="BJ46" i="2"/>
  <c r="BJ58" i="2"/>
  <c r="BJ60" i="2"/>
  <c r="BJ57" i="2"/>
  <c r="BJ63" i="2"/>
  <c r="BJ65" i="2"/>
  <c r="BJ62" i="2"/>
  <c r="BJ68" i="2"/>
  <c r="BJ70" i="2"/>
  <c r="BJ73" i="2"/>
  <c r="BJ75" i="2"/>
  <c r="BJ77" i="2"/>
  <c r="BJ79" i="2"/>
  <c r="BJ81" i="2"/>
  <c r="BJ67" i="2"/>
  <c r="BJ84" i="2"/>
  <c r="BJ87" i="2"/>
  <c r="BJ83" i="2"/>
  <c r="BJ100" i="2"/>
  <c r="BJ99" i="2"/>
  <c r="BJ103" i="2"/>
  <c r="BJ102" i="2"/>
  <c r="BJ107" i="2"/>
  <c r="BJ109" i="2"/>
  <c r="BJ106" i="2"/>
  <c r="BJ112" i="2"/>
  <c r="BJ114" i="2"/>
  <c r="BJ116" i="2"/>
  <c r="BJ118" i="2"/>
  <c r="BJ111" i="2"/>
  <c r="BJ121" i="2"/>
  <c r="BJ125" i="2"/>
  <c r="BJ129" i="2"/>
  <c r="BJ133" i="2"/>
  <c r="BJ135" i="2"/>
  <c r="BJ137" i="2"/>
  <c r="BJ120" i="2"/>
  <c r="BJ142" i="2"/>
  <c r="BJ146" i="2"/>
  <c r="BJ149" i="2"/>
  <c r="BJ141" i="2"/>
  <c r="BJ157" i="2"/>
  <c r="BJ160" i="2"/>
  <c r="BJ156" i="2"/>
  <c r="BJ164" i="2"/>
  <c r="BJ166" i="2"/>
  <c r="BJ169" i="2"/>
  <c r="BJ172" i="2"/>
  <c r="BJ174" i="2"/>
  <c r="BJ163" i="2"/>
  <c r="BJ179" i="2"/>
  <c r="BJ183" i="2"/>
  <c r="BJ185" i="2"/>
  <c r="BJ187" i="2"/>
  <c r="BJ189" i="2"/>
  <c r="BJ191" i="2"/>
  <c r="BJ199" i="2"/>
  <c r="BJ176" i="2"/>
  <c r="BJ202" i="2"/>
  <c r="BJ201" i="2"/>
  <c r="BJ208" i="2"/>
  <c r="BJ207" i="2"/>
  <c r="BJ212" i="2"/>
  <c r="BJ214" i="2"/>
  <c r="BJ233" i="2"/>
  <c r="BJ237" i="2"/>
  <c r="BJ217" i="2"/>
  <c r="BJ265" i="2"/>
  <c r="BJ279" i="2"/>
  <c r="BJ211" i="2"/>
  <c r="BJ282" i="2"/>
  <c r="BJ281" i="2"/>
  <c r="BJ285" i="2"/>
  <c r="BJ287" i="2"/>
  <c r="BJ289" i="2"/>
  <c r="BJ291" i="2"/>
  <c r="BJ293" i="2"/>
  <c r="BJ295" i="2"/>
  <c r="BJ297" i="2"/>
  <c r="BJ284" i="2"/>
  <c r="BJ205" i="2"/>
  <c r="BJ204" i="2"/>
  <c r="BJ299" i="2"/>
  <c r="BI11" i="2"/>
  <c r="BI13" i="2"/>
  <c r="BI17" i="2"/>
  <c r="BI34" i="2"/>
  <c r="BI36" i="2"/>
  <c r="BI42" i="2"/>
  <c r="BI44" i="2"/>
  <c r="BI10" i="2"/>
  <c r="BI47" i="2"/>
  <c r="BI49" i="2"/>
  <c r="BI51" i="2"/>
  <c r="BI53" i="2"/>
  <c r="BI55" i="2"/>
  <c r="BI46" i="2"/>
  <c r="BI58" i="2"/>
  <c r="BI60" i="2"/>
  <c r="BI57" i="2"/>
  <c r="BI63" i="2"/>
  <c r="BI65" i="2"/>
  <c r="BI62" i="2"/>
  <c r="BI68" i="2"/>
  <c r="BI70" i="2"/>
  <c r="BI73" i="2"/>
  <c r="BI75" i="2"/>
  <c r="BI77" i="2"/>
  <c r="BI79" i="2"/>
  <c r="BI81" i="2"/>
  <c r="BI67" i="2"/>
  <c r="BI84" i="2"/>
  <c r="BI87" i="2"/>
  <c r="BI83" i="2"/>
  <c r="BI100" i="2"/>
  <c r="BI99" i="2"/>
  <c r="BI103" i="2"/>
  <c r="BI102" i="2"/>
  <c r="BI107" i="2"/>
  <c r="BI109" i="2"/>
  <c r="BI106" i="2"/>
  <c r="BI112" i="2"/>
  <c r="BI114" i="2"/>
  <c r="BI116" i="2"/>
  <c r="BI118" i="2"/>
  <c r="BI111" i="2"/>
  <c r="BI121" i="2"/>
  <c r="BI125" i="2"/>
  <c r="BI129" i="2"/>
  <c r="BI133" i="2"/>
  <c r="BI135" i="2"/>
  <c r="BI137" i="2"/>
  <c r="BI120" i="2"/>
  <c r="BI142" i="2"/>
  <c r="BI146" i="2"/>
  <c r="BI149" i="2"/>
  <c r="BI141" i="2"/>
  <c r="BI157" i="2"/>
  <c r="BI160" i="2"/>
  <c r="BI156" i="2"/>
  <c r="BI164" i="2"/>
  <c r="BI166" i="2"/>
  <c r="BI169" i="2"/>
  <c r="BI172" i="2"/>
  <c r="BI174" i="2"/>
  <c r="BI163" i="2"/>
  <c r="BI179" i="2"/>
  <c r="BI183" i="2"/>
  <c r="BI185" i="2"/>
  <c r="BI187" i="2"/>
  <c r="BI189" i="2"/>
  <c r="BI191" i="2"/>
  <c r="BI199" i="2"/>
  <c r="BI176" i="2"/>
  <c r="BI202" i="2"/>
  <c r="BI201" i="2"/>
  <c r="BI209" i="2"/>
  <c r="BI208" i="2"/>
  <c r="BI207" i="2"/>
  <c r="BI212" i="2"/>
  <c r="BI214" i="2"/>
  <c r="BI233" i="2"/>
  <c r="BI236" i="2"/>
  <c r="BI237" i="2"/>
  <c r="BI217" i="2"/>
  <c r="BI265" i="2"/>
  <c r="BI279" i="2"/>
  <c r="BI211" i="2"/>
  <c r="BI282" i="2"/>
  <c r="BI281" i="2"/>
  <c r="BI285" i="2"/>
  <c r="BI287" i="2"/>
  <c r="BI289" i="2"/>
  <c r="BI291" i="2"/>
  <c r="BI293" i="2"/>
  <c r="BI295" i="2"/>
  <c r="BI298" i="2"/>
  <c r="BI297" i="2"/>
  <c r="BI284" i="2"/>
  <c r="BI205" i="2"/>
  <c r="BI204" i="2"/>
  <c r="BI299" i="2"/>
  <c r="BH11" i="2"/>
  <c r="BH13" i="2"/>
  <c r="BH17" i="2"/>
  <c r="BH34" i="2"/>
  <c r="BH36" i="2"/>
  <c r="BH42" i="2"/>
  <c r="BH44" i="2"/>
  <c r="BH10" i="2"/>
  <c r="BH47" i="2"/>
  <c r="BH49" i="2"/>
  <c r="BH51" i="2"/>
  <c r="BH53" i="2"/>
  <c r="BH55" i="2"/>
  <c r="BH46" i="2"/>
  <c r="BH58" i="2"/>
  <c r="BH60" i="2"/>
  <c r="BH57" i="2"/>
  <c r="BH63" i="2"/>
  <c r="BH65" i="2"/>
  <c r="BH62" i="2"/>
  <c r="BH68" i="2"/>
  <c r="BH70" i="2"/>
  <c r="BH73" i="2"/>
  <c r="BH75" i="2"/>
  <c r="BH77" i="2"/>
  <c r="BH79" i="2"/>
  <c r="BH81" i="2"/>
  <c r="BH67" i="2"/>
  <c r="BH84" i="2"/>
  <c r="BH87" i="2"/>
  <c r="BH83" i="2"/>
  <c r="BH100" i="2"/>
  <c r="BH99" i="2"/>
  <c r="BH103" i="2"/>
  <c r="BH102" i="2"/>
  <c r="BH107" i="2"/>
  <c r="BH109" i="2"/>
  <c r="BH106" i="2"/>
  <c r="BH112" i="2"/>
  <c r="BH114" i="2"/>
  <c r="BH116" i="2"/>
  <c r="BH118" i="2"/>
  <c r="BH111" i="2"/>
  <c r="BH121" i="2"/>
  <c r="BH125" i="2"/>
  <c r="BH129" i="2"/>
  <c r="BH133" i="2"/>
  <c r="BH135" i="2"/>
  <c r="BH137" i="2"/>
  <c r="BH120" i="2"/>
  <c r="BH142" i="2"/>
  <c r="BH146" i="2"/>
  <c r="BH149" i="2"/>
  <c r="BH141" i="2"/>
  <c r="BH157" i="2"/>
  <c r="BH160" i="2"/>
  <c r="BH156" i="2"/>
  <c r="BH164" i="2"/>
  <c r="BH166" i="2"/>
  <c r="BH169" i="2"/>
  <c r="BH172" i="2"/>
  <c r="BH174" i="2"/>
  <c r="BH163" i="2"/>
  <c r="BH179" i="2"/>
  <c r="BH183" i="2"/>
  <c r="BH185" i="2"/>
  <c r="BH187" i="2"/>
  <c r="BH189" i="2"/>
  <c r="BH191" i="2"/>
  <c r="BH199" i="2"/>
  <c r="BH176" i="2"/>
  <c r="BH202" i="2"/>
  <c r="BH201" i="2"/>
  <c r="BH208" i="2"/>
  <c r="BH207" i="2"/>
  <c r="BH212" i="2"/>
  <c r="BH214" i="2"/>
  <c r="BH237" i="2"/>
  <c r="BH217" i="2"/>
  <c r="BH265" i="2"/>
  <c r="BH279" i="2"/>
  <c r="BH211" i="2"/>
  <c r="BH282" i="2"/>
  <c r="BH281" i="2"/>
  <c r="BH286" i="2"/>
  <c r="BH285" i="2"/>
  <c r="BH287" i="2"/>
  <c r="BH289" i="2"/>
  <c r="BH291" i="2"/>
  <c r="BH293" i="2"/>
  <c r="BH295" i="2"/>
  <c r="BH297" i="2"/>
  <c r="BH284" i="2"/>
  <c r="BH205" i="2"/>
  <c r="BH204" i="2"/>
  <c r="BH299" i="2"/>
  <c r="BG11" i="2"/>
  <c r="BG13" i="2"/>
  <c r="BG17" i="2"/>
  <c r="BG34" i="2"/>
  <c r="BG36" i="2"/>
  <c r="BG42" i="2"/>
  <c r="BG44" i="2"/>
  <c r="BG10" i="2"/>
  <c r="BG47" i="2"/>
  <c r="BG49" i="2"/>
  <c r="BG51" i="2"/>
  <c r="BG53" i="2"/>
  <c r="BG55" i="2"/>
  <c r="BG46" i="2"/>
  <c r="BG58" i="2"/>
  <c r="BG60" i="2"/>
  <c r="BG57" i="2"/>
  <c r="BG63" i="2"/>
  <c r="BG65" i="2"/>
  <c r="BG62" i="2"/>
  <c r="BG68" i="2"/>
  <c r="BG70" i="2"/>
  <c r="BG73" i="2"/>
  <c r="BG75" i="2"/>
  <c r="BG77" i="2"/>
  <c r="BG79" i="2"/>
  <c r="BG81" i="2"/>
  <c r="BG67" i="2"/>
  <c r="BG84" i="2"/>
  <c r="BG87" i="2"/>
  <c r="BG83" i="2"/>
  <c r="BG100" i="2"/>
  <c r="BG99" i="2"/>
  <c r="BG103" i="2"/>
  <c r="BG102" i="2"/>
  <c r="BG107" i="2"/>
  <c r="BG109" i="2"/>
  <c r="BG106" i="2"/>
  <c r="BG112" i="2"/>
  <c r="BG114" i="2"/>
  <c r="BG116" i="2"/>
  <c r="BG118" i="2"/>
  <c r="BG111" i="2"/>
  <c r="BG121" i="2"/>
  <c r="BG125" i="2"/>
  <c r="BG129" i="2"/>
  <c r="BG133" i="2"/>
  <c r="BG135" i="2"/>
  <c r="BG137" i="2"/>
  <c r="BG120" i="2"/>
  <c r="BG142" i="2"/>
  <c r="BG146" i="2"/>
  <c r="BG149" i="2"/>
  <c r="BG141" i="2"/>
  <c r="BG157" i="2"/>
  <c r="BG160" i="2"/>
  <c r="BG156" i="2"/>
  <c r="BG164" i="2"/>
  <c r="BG166" i="2"/>
  <c r="BG169" i="2"/>
  <c r="BG172" i="2"/>
  <c r="BG174" i="2"/>
  <c r="BG163" i="2"/>
  <c r="BG179" i="2"/>
  <c r="BG183" i="2"/>
  <c r="BG185" i="2"/>
  <c r="BG187" i="2"/>
  <c r="BG189" i="2"/>
  <c r="BG191" i="2"/>
  <c r="BG199" i="2"/>
  <c r="BG176" i="2"/>
  <c r="BG202" i="2"/>
  <c r="BG201" i="2"/>
  <c r="BG208" i="2"/>
  <c r="BG207" i="2"/>
  <c r="BG212" i="2"/>
  <c r="BG214" i="2"/>
  <c r="BG237" i="2"/>
  <c r="BG217" i="2"/>
  <c r="BG265" i="2"/>
  <c r="BG279" i="2"/>
  <c r="BG211" i="2"/>
  <c r="BG282" i="2"/>
  <c r="BG281" i="2"/>
  <c r="BG285" i="2"/>
  <c r="BG287" i="2"/>
  <c r="BG289" i="2"/>
  <c r="BG291" i="2"/>
  <c r="BG293" i="2"/>
  <c r="BG295" i="2"/>
  <c r="BG297" i="2"/>
  <c r="BG284" i="2"/>
  <c r="BG205" i="2"/>
  <c r="BG204" i="2"/>
  <c r="BG299" i="2"/>
  <c r="BF12" i="2"/>
  <c r="BF11" i="2"/>
  <c r="BF14" i="2"/>
  <c r="BF15" i="2"/>
  <c r="BF16" i="2"/>
  <c r="BF13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31" i="2"/>
  <c r="BF32" i="2"/>
  <c r="BF33" i="2"/>
  <c r="BF17" i="2"/>
  <c r="BF35" i="2"/>
  <c r="BF34" i="2"/>
  <c r="BF37" i="2"/>
  <c r="BF38" i="2"/>
  <c r="BF39" i="2"/>
  <c r="BF40" i="2"/>
  <c r="BF41" i="2"/>
  <c r="BF36" i="2"/>
  <c r="BF43" i="2"/>
  <c r="BF42" i="2"/>
  <c r="BF45" i="2"/>
  <c r="BF44" i="2"/>
  <c r="BF10" i="2"/>
  <c r="BF48" i="2"/>
  <c r="BF47" i="2"/>
  <c r="BF50" i="2"/>
  <c r="BF49" i="2"/>
  <c r="BF52" i="2"/>
  <c r="BF51" i="2"/>
  <c r="BF54" i="2"/>
  <c r="BF53" i="2"/>
  <c r="BF56" i="2"/>
  <c r="BF55" i="2"/>
  <c r="BF46" i="2"/>
  <c r="BF59" i="2"/>
  <c r="BF58" i="2"/>
  <c r="BF61" i="2"/>
  <c r="BF60" i="2"/>
  <c r="BF57" i="2"/>
  <c r="BF64" i="2"/>
  <c r="BF63" i="2"/>
  <c r="BF66" i="2"/>
  <c r="BF65" i="2"/>
  <c r="BF62" i="2"/>
  <c r="BF69" i="2"/>
  <c r="BF68" i="2"/>
  <c r="BF71" i="2"/>
  <c r="BF72" i="2"/>
  <c r="BF70" i="2"/>
  <c r="BF74" i="2"/>
  <c r="BF73" i="2"/>
  <c r="BF76" i="2"/>
  <c r="BF75" i="2"/>
  <c r="BF78" i="2"/>
  <c r="BF77" i="2"/>
  <c r="BF80" i="2"/>
  <c r="BF79" i="2"/>
  <c r="BF82" i="2"/>
  <c r="BF81" i="2"/>
  <c r="BF67" i="2"/>
  <c r="BF85" i="2"/>
  <c r="BF86" i="2"/>
  <c r="BF84" i="2"/>
  <c r="BF88" i="2"/>
  <c r="BF89" i="2"/>
  <c r="BF90" i="2"/>
  <c r="BF91" i="2"/>
  <c r="BF92" i="2"/>
  <c r="BF93" i="2"/>
  <c r="BF94" i="2"/>
  <c r="BF95" i="2"/>
  <c r="BF96" i="2"/>
  <c r="BF97" i="2"/>
  <c r="BF98" i="2"/>
  <c r="BF87" i="2"/>
  <c r="BF83" i="2"/>
  <c r="BF101" i="2"/>
  <c r="BF100" i="2"/>
  <c r="BF99" i="2"/>
  <c r="BF104" i="2"/>
  <c r="BF105" i="2"/>
  <c r="BF103" i="2"/>
  <c r="BF102" i="2"/>
  <c r="BF108" i="2"/>
  <c r="BF107" i="2"/>
  <c r="BF110" i="2"/>
  <c r="BF109" i="2"/>
  <c r="BF106" i="2"/>
  <c r="BF113" i="2"/>
  <c r="BF112" i="2"/>
  <c r="BF115" i="2"/>
  <c r="BF114" i="2"/>
  <c r="BF117" i="2"/>
  <c r="BF116" i="2"/>
  <c r="BF119" i="2"/>
  <c r="BF118" i="2"/>
  <c r="BF111" i="2"/>
  <c r="BF122" i="2"/>
  <c r="BF123" i="2"/>
  <c r="BF124" i="2"/>
  <c r="BF121" i="2"/>
  <c r="BF126" i="2"/>
  <c r="BF127" i="2"/>
  <c r="BF128" i="2"/>
  <c r="BF125" i="2"/>
  <c r="BF130" i="2"/>
  <c r="BF131" i="2"/>
  <c r="BF132" i="2"/>
  <c r="BF129" i="2"/>
  <c r="BF134" i="2"/>
  <c r="BF133" i="2"/>
  <c r="BF136" i="2"/>
  <c r="BF135" i="2"/>
  <c r="BF138" i="2"/>
  <c r="BF139" i="2"/>
  <c r="BF140" i="2"/>
  <c r="BF137" i="2"/>
  <c r="BF120" i="2"/>
  <c r="BF143" i="2"/>
  <c r="BF144" i="2"/>
  <c r="BF145" i="2"/>
  <c r="BF142" i="2"/>
  <c r="BF147" i="2"/>
  <c r="BF148" i="2"/>
  <c r="BF146" i="2"/>
  <c r="BF150" i="2"/>
  <c r="BF151" i="2"/>
  <c r="BF152" i="2"/>
  <c r="BF153" i="2"/>
  <c r="BF154" i="2"/>
  <c r="BF155" i="2"/>
  <c r="BF149" i="2"/>
  <c r="BF141" i="2"/>
  <c r="BF158" i="2"/>
  <c r="BF159" i="2"/>
  <c r="BF157" i="2"/>
  <c r="BF161" i="2"/>
  <c r="BF162" i="2"/>
  <c r="BF160" i="2"/>
  <c r="BF156" i="2"/>
  <c r="BF165" i="2"/>
  <c r="BF164" i="2"/>
  <c r="BF167" i="2"/>
  <c r="BF168" i="2"/>
  <c r="BF166" i="2"/>
  <c r="BF170" i="2"/>
  <c r="BF171" i="2"/>
  <c r="BF169" i="2"/>
  <c r="BF173" i="2"/>
  <c r="BF172" i="2"/>
  <c r="BF175" i="2"/>
  <c r="BF174" i="2"/>
  <c r="BF163" i="2"/>
  <c r="BF177" i="2"/>
  <c r="BF178" i="2"/>
  <c r="BF180" i="2"/>
  <c r="BF181" i="2"/>
  <c r="BF182" i="2"/>
  <c r="BF179" i="2"/>
  <c r="BF184" i="2"/>
  <c r="BF183" i="2"/>
  <c r="BF186" i="2"/>
  <c r="BF185" i="2"/>
  <c r="BF188" i="2"/>
  <c r="BF187" i="2"/>
  <c r="BF190" i="2"/>
  <c r="BF189" i="2"/>
  <c r="BF192" i="2"/>
  <c r="BF193" i="2"/>
  <c r="BF194" i="2"/>
  <c r="BF195" i="2"/>
  <c r="BF196" i="2"/>
  <c r="BF197" i="2"/>
  <c r="BF198" i="2"/>
  <c r="BF191" i="2"/>
  <c r="BF200" i="2"/>
  <c r="BF199" i="2"/>
  <c r="BF176" i="2"/>
  <c r="BF203" i="2"/>
  <c r="BF202" i="2"/>
  <c r="BF201" i="2"/>
  <c r="BF209" i="2"/>
  <c r="BF210" i="2"/>
  <c r="BF208" i="2"/>
  <c r="BF207" i="2"/>
  <c r="BF213" i="2"/>
  <c r="BF212" i="2"/>
  <c r="BF215" i="2"/>
  <c r="BF216" i="2"/>
  <c r="BF214" i="2"/>
  <c r="BF218" i="2"/>
  <c r="BF219" i="2"/>
  <c r="BF220" i="2"/>
  <c r="BF221" i="2"/>
  <c r="BF222" i="2"/>
  <c r="BF223" i="2"/>
  <c r="BF224" i="2"/>
  <c r="BF225" i="2"/>
  <c r="BF226" i="2"/>
  <c r="BF227" i="2"/>
  <c r="BF228" i="2"/>
  <c r="BF229" i="2"/>
  <c r="BF230" i="2"/>
  <c r="BF231" i="2"/>
  <c r="BF232" i="2"/>
  <c r="BF233" i="2"/>
  <c r="BF234" i="2"/>
  <c r="BF235" i="2"/>
  <c r="BF236" i="2"/>
  <c r="BF238" i="2"/>
  <c r="BF239" i="2"/>
  <c r="BF240" i="2"/>
  <c r="BF241" i="2"/>
  <c r="BF242" i="2"/>
  <c r="BF243" i="2"/>
  <c r="BF244" i="2"/>
  <c r="BF245" i="2"/>
  <c r="BF246" i="2"/>
  <c r="BF247" i="2"/>
  <c r="BF248" i="2"/>
  <c r="BF249" i="2"/>
  <c r="BF250" i="2"/>
  <c r="BF251" i="2"/>
  <c r="BF252" i="2"/>
  <c r="BF253" i="2"/>
  <c r="BF254" i="2"/>
  <c r="BF255" i="2"/>
  <c r="BF256" i="2"/>
  <c r="BF257" i="2"/>
  <c r="BF258" i="2"/>
  <c r="BF259" i="2"/>
  <c r="BF260" i="2"/>
  <c r="BF261" i="2"/>
  <c r="BF262" i="2"/>
  <c r="BF263" i="2"/>
  <c r="BF264" i="2"/>
  <c r="BF237" i="2"/>
  <c r="BF217" i="2"/>
  <c r="BF266" i="2"/>
  <c r="BF267" i="2"/>
  <c r="BF268" i="2"/>
  <c r="BF269" i="2"/>
  <c r="BF270" i="2"/>
  <c r="BF271" i="2"/>
  <c r="BF272" i="2"/>
  <c r="BF273" i="2"/>
  <c r="BF274" i="2"/>
  <c r="BF275" i="2"/>
  <c r="BF276" i="2"/>
  <c r="BF277" i="2"/>
  <c r="BF278" i="2"/>
  <c r="BF265" i="2"/>
  <c r="BF280" i="2"/>
  <c r="BF279" i="2"/>
  <c r="BF211" i="2"/>
  <c r="BF283" i="2"/>
  <c r="BF282" i="2"/>
  <c r="BF281" i="2"/>
  <c r="BF286" i="2"/>
  <c r="BF285" i="2"/>
  <c r="BF288" i="2"/>
  <c r="BF287" i="2"/>
  <c r="BF290" i="2"/>
  <c r="BF289" i="2"/>
  <c r="BF292" i="2"/>
  <c r="BF291" i="2"/>
  <c r="BF294" i="2"/>
  <c r="BF293" i="2"/>
  <c r="BF296" i="2"/>
  <c r="BF295" i="2"/>
  <c r="BF298" i="2"/>
  <c r="BF297" i="2"/>
  <c r="BF284" i="2"/>
  <c r="BF206" i="2"/>
  <c r="BF205" i="2"/>
  <c r="BF204" i="2"/>
  <c r="BF299" i="2"/>
  <c r="BE11" i="2"/>
  <c r="BE13" i="2"/>
  <c r="BE17" i="2"/>
  <c r="BE34" i="2"/>
  <c r="BE36" i="2"/>
  <c r="BE42" i="2"/>
  <c r="BE44" i="2"/>
  <c r="BE10" i="2"/>
  <c r="BE47" i="2"/>
  <c r="BE49" i="2"/>
  <c r="BE51" i="2"/>
  <c r="BE53" i="2"/>
  <c r="BE55" i="2"/>
  <c r="BE46" i="2"/>
  <c r="BE58" i="2"/>
  <c r="BE60" i="2"/>
  <c r="BE57" i="2"/>
  <c r="BE63" i="2"/>
  <c r="BE65" i="2"/>
  <c r="BE62" i="2"/>
  <c r="BE68" i="2"/>
  <c r="BE70" i="2"/>
  <c r="BE73" i="2"/>
  <c r="BE75" i="2"/>
  <c r="BE77" i="2"/>
  <c r="BE79" i="2"/>
  <c r="BE81" i="2"/>
  <c r="BE67" i="2"/>
  <c r="BE84" i="2"/>
  <c r="BE87" i="2"/>
  <c r="BE83" i="2"/>
  <c r="BE100" i="2"/>
  <c r="BE99" i="2"/>
  <c r="BE103" i="2"/>
  <c r="BE102" i="2"/>
  <c r="BE107" i="2"/>
  <c r="BE109" i="2"/>
  <c r="BE106" i="2"/>
  <c r="BE112" i="2"/>
  <c r="BE114" i="2"/>
  <c r="BE116" i="2"/>
  <c r="BE118" i="2"/>
  <c r="BE111" i="2"/>
  <c r="BE121" i="2"/>
  <c r="BE125" i="2"/>
  <c r="BE129" i="2"/>
  <c r="BE133" i="2"/>
  <c r="BE135" i="2"/>
  <c r="BE137" i="2"/>
  <c r="BE120" i="2"/>
  <c r="BE142" i="2"/>
  <c r="BE146" i="2"/>
  <c r="BE149" i="2"/>
  <c r="BE141" i="2"/>
  <c r="BE157" i="2"/>
  <c r="BE160" i="2"/>
  <c r="BE156" i="2"/>
  <c r="BE164" i="2"/>
  <c r="BE166" i="2"/>
  <c r="BE169" i="2"/>
  <c r="BE172" i="2"/>
  <c r="BE174" i="2"/>
  <c r="BE163" i="2"/>
  <c r="BE179" i="2"/>
  <c r="BE183" i="2"/>
  <c r="BE185" i="2"/>
  <c r="BE187" i="2"/>
  <c r="BE189" i="2"/>
  <c r="BE191" i="2"/>
  <c r="BE199" i="2"/>
  <c r="BE176" i="2"/>
  <c r="BE202" i="2"/>
  <c r="BE201" i="2"/>
  <c r="BE208" i="2"/>
  <c r="BE207" i="2"/>
  <c r="BE212" i="2"/>
  <c r="BE214" i="2"/>
  <c r="BE237" i="2"/>
  <c r="BE217" i="2"/>
  <c r="BE265" i="2"/>
  <c r="BE279" i="2"/>
  <c r="BE211" i="2"/>
  <c r="BE282" i="2"/>
  <c r="BE281" i="2"/>
  <c r="BE285" i="2"/>
  <c r="BE287" i="2"/>
  <c r="BE289" i="2"/>
  <c r="BE291" i="2"/>
  <c r="BE293" i="2"/>
  <c r="BE295" i="2"/>
  <c r="BE297" i="2"/>
  <c r="BE284" i="2"/>
  <c r="BE205" i="2"/>
  <c r="BE204" i="2"/>
  <c r="BE299" i="2"/>
  <c r="BD11" i="2"/>
  <c r="BD13" i="2"/>
  <c r="BD17" i="2"/>
  <c r="BD34" i="2"/>
  <c r="BD36" i="2"/>
  <c r="BD42" i="2"/>
  <c r="BD44" i="2"/>
  <c r="BD10" i="2"/>
  <c r="BD47" i="2"/>
  <c r="BD49" i="2"/>
  <c r="BD51" i="2"/>
  <c r="BD53" i="2"/>
  <c r="BD55" i="2"/>
  <c r="BD46" i="2"/>
  <c r="BD58" i="2"/>
  <c r="BD60" i="2"/>
  <c r="BD57" i="2"/>
  <c r="BD63" i="2"/>
  <c r="BD65" i="2"/>
  <c r="BD62" i="2"/>
  <c r="BD68" i="2"/>
  <c r="BD70" i="2"/>
  <c r="BD73" i="2"/>
  <c r="BD75" i="2"/>
  <c r="BD77" i="2"/>
  <c r="BD79" i="2"/>
  <c r="BD81" i="2"/>
  <c r="BD67" i="2"/>
  <c r="BD84" i="2"/>
  <c r="BD87" i="2"/>
  <c r="BD83" i="2"/>
  <c r="BD100" i="2"/>
  <c r="BD99" i="2"/>
  <c r="BD103" i="2"/>
  <c r="BD102" i="2"/>
  <c r="BD107" i="2"/>
  <c r="BD109" i="2"/>
  <c r="BD106" i="2"/>
  <c r="BD112" i="2"/>
  <c r="BD114" i="2"/>
  <c r="BD116" i="2"/>
  <c r="BD118" i="2"/>
  <c r="BD111" i="2"/>
  <c r="BD121" i="2"/>
  <c r="BD125" i="2"/>
  <c r="BD129" i="2"/>
  <c r="BD133" i="2"/>
  <c r="BD135" i="2"/>
  <c r="BD137" i="2"/>
  <c r="BD120" i="2"/>
  <c r="BD142" i="2"/>
  <c r="BD146" i="2"/>
  <c r="BD149" i="2"/>
  <c r="BD141" i="2"/>
  <c r="BD157" i="2"/>
  <c r="BD160" i="2"/>
  <c r="BD156" i="2"/>
  <c r="BD164" i="2"/>
  <c r="BD166" i="2"/>
  <c r="BD169" i="2"/>
  <c r="BD172" i="2"/>
  <c r="BD174" i="2"/>
  <c r="BD163" i="2"/>
  <c r="BD179" i="2"/>
  <c r="BD183" i="2"/>
  <c r="BD185" i="2"/>
  <c r="BD187" i="2"/>
  <c r="BD189" i="2"/>
  <c r="BD191" i="2"/>
  <c r="BD199" i="2"/>
  <c r="BD176" i="2"/>
  <c r="BD202" i="2"/>
  <c r="BD201" i="2"/>
  <c r="BD208" i="2"/>
  <c r="BD207" i="2"/>
  <c r="BD212" i="2"/>
  <c r="BD214" i="2"/>
  <c r="BD237" i="2"/>
  <c r="BD217" i="2"/>
  <c r="BD265" i="2"/>
  <c r="BD279" i="2"/>
  <c r="BD211" i="2"/>
  <c r="BD282" i="2"/>
  <c r="BD281" i="2"/>
  <c r="BD285" i="2"/>
  <c r="BD287" i="2"/>
  <c r="BD289" i="2"/>
  <c r="BD291" i="2"/>
  <c r="BD293" i="2"/>
  <c r="BD295" i="2"/>
  <c r="BD297" i="2"/>
  <c r="BD284" i="2"/>
  <c r="BD205" i="2"/>
  <c r="BD204" i="2"/>
  <c r="BD299" i="2"/>
  <c r="BC11" i="2"/>
  <c r="BC13" i="2"/>
  <c r="BC17" i="2"/>
  <c r="BC34" i="2"/>
  <c r="BC36" i="2"/>
  <c r="BC42" i="2"/>
  <c r="BC44" i="2"/>
  <c r="BC10" i="2"/>
  <c r="BC47" i="2"/>
  <c r="BC49" i="2"/>
  <c r="BC51" i="2"/>
  <c r="BC53" i="2"/>
  <c r="BC55" i="2"/>
  <c r="BC46" i="2"/>
  <c r="BC58" i="2"/>
  <c r="BC60" i="2"/>
  <c r="BC57" i="2"/>
  <c r="BC63" i="2"/>
  <c r="BC65" i="2"/>
  <c r="BC62" i="2"/>
  <c r="BC68" i="2"/>
  <c r="BC70" i="2"/>
  <c r="BC73" i="2"/>
  <c r="BC75" i="2"/>
  <c r="BC77" i="2"/>
  <c r="BC79" i="2"/>
  <c r="BC81" i="2"/>
  <c r="BC67" i="2"/>
  <c r="BC84" i="2"/>
  <c r="BC87" i="2"/>
  <c r="BC83" i="2"/>
  <c r="BC100" i="2"/>
  <c r="BC99" i="2"/>
  <c r="BC103" i="2"/>
  <c r="BC102" i="2"/>
  <c r="BC107" i="2"/>
  <c r="BC109" i="2"/>
  <c r="BC106" i="2"/>
  <c r="BC112" i="2"/>
  <c r="BC114" i="2"/>
  <c r="BC116" i="2"/>
  <c r="BC118" i="2"/>
  <c r="BC111" i="2"/>
  <c r="BC121" i="2"/>
  <c r="BC125" i="2"/>
  <c r="BC129" i="2"/>
  <c r="BC133" i="2"/>
  <c r="BC135" i="2"/>
  <c r="BC137" i="2"/>
  <c r="BC120" i="2"/>
  <c r="BC142" i="2"/>
  <c r="BC146" i="2"/>
  <c r="BC149" i="2"/>
  <c r="BC141" i="2"/>
  <c r="BC157" i="2"/>
  <c r="BC160" i="2"/>
  <c r="BC156" i="2"/>
  <c r="BC164" i="2"/>
  <c r="BC166" i="2"/>
  <c r="BC169" i="2"/>
  <c r="BC172" i="2"/>
  <c r="BC174" i="2"/>
  <c r="BC163" i="2"/>
  <c r="BC179" i="2"/>
  <c r="BC183" i="2"/>
  <c r="BC185" i="2"/>
  <c r="BC187" i="2"/>
  <c r="BC189" i="2"/>
  <c r="BC191" i="2"/>
  <c r="BC199" i="2"/>
  <c r="BC176" i="2"/>
  <c r="BC202" i="2"/>
  <c r="BC201" i="2"/>
  <c r="BC208" i="2"/>
  <c r="BC207" i="2"/>
  <c r="BC212" i="2"/>
  <c r="BC214" i="2"/>
  <c r="BC237" i="2"/>
  <c r="BC217" i="2"/>
  <c r="BC265" i="2"/>
  <c r="BC279" i="2"/>
  <c r="BC211" i="2"/>
  <c r="BC282" i="2"/>
  <c r="BC281" i="2"/>
  <c r="BC285" i="2"/>
  <c r="BC287" i="2"/>
  <c r="BC289" i="2"/>
  <c r="BC291" i="2"/>
  <c r="BC293" i="2"/>
  <c r="BC295" i="2"/>
  <c r="BC297" i="2"/>
  <c r="BC284" i="2"/>
  <c r="BC205" i="2"/>
  <c r="BC204" i="2"/>
  <c r="BC299" i="2"/>
  <c r="BB12" i="2"/>
  <c r="BB11" i="2"/>
  <c r="BB14" i="2"/>
  <c r="BB15" i="2"/>
  <c r="BB16" i="2"/>
  <c r="BB13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17" i="2"/>
  <c r="BB35" i="2"/>
  <c r="BB34" i="2"/>
  <c r="BB37" i="2"/>
  <c r="BB38" i="2"/>
  <c r="BB39" i="2"/>
  <c r="BB40" i="2"/>
  <c r="BB41" i="2"/>
  <c r="BB36" i="2"/>
  <c r="BB43" i="2"/>
  <c r="BB42" i="2"/>
  <c r="BB45" i="2"/>
  <c r="BB44" i="2"/>
  <c r="BB10" i="2"/>
  <c r="BB48" i="2"/>
  <c r="BB47" i="2"/>
  <c r="BB50" i="2"/>
  <c r="BB49" i="2"/>
  <c r="BB52" i="2"/>
  <c r="BB51" i="2"/>
  <c r="BB54" i="2"/>
  <c r="BB53" i="2"/>
  <c r="BB56" i="2"/>
  <c r="BB55" i="2"/>
  <c r="BB46" i="2"/>
  <c r="BB59" i="2"/>
  <c r="BB58" i="2"/>
  <c r="BB61" i="2"/>
  <c r="BB60" i="2"/>
  <c r="BB57" i="2"/>
  <c r="BB64" i="2"/>
  <c r="BB63" i="2"/>
  <c r="BB66" i="2"/>
  <c r="BB65" i="2"/>
  <c r="BB62" i="2"/>
  <c r="BB69" i="2"/>
  <c r="BB68" i="2"/>
  <c r="BB71" i="2"/>
  <c r="BB72" i="2"/>
  <c r="BB70" i="2"/>
  <c r="BB74" i="2"/>
  <c r="BB73" i="2"/>
  <c r="BB76" i="2"/>
  <c r="BB75" i="2"/>
  <c r="BB78" i="2"/>
  <c r="BB77" i="2"/>
  <c r="BB80" i="2"/>
  <c r="BB79" i="2"/>
  <c r="BB82" i="2"/>
  <c r="BB81" i="2"/>
  <c r="BB67" i="2"/>
  <c r="BB85" i="2"/>
  <c r="BB86" i="2"/>
  <c r="BB84" i="2"/>
  <c r="BB88" i="2"/>
  <c r="BB89" i="2"/>
  <c r="BB90" i="2"/>
  <c r="BB91" i="2"/>
  <c r="BB92" i="2"/>
  <c r="BB93" i="2"/>
  <c r="BB94" i="2"/>
  <c r="BB95" i="2"/>
  <c r="BB96" i="2"/>
  <c r="BB97" i="2"/>
  <c r="BB98" i="2"/>
  <c r="BB87" i="2"/>
  <c r="BB83" i="2"/>
  <c r="BB101" i="2"/>
  <c r="BB100" i="2"/>
  <c r="BB99" i="2"/>
  <c r="BB104" i="2"/>
  <c r="BB105" i="2"/>
  <c r="BB103" i="2"/>
  <c r="BB102" i="2"/>
  <c r="BB108" i="2"/>
  <c r="BB107" i="2"/>
  <c r="BB110" i="2"/>
  <c r="BB109" i="2"/>
  <c r="BB106" i="2"/>
  <c r="BB113" i="2"/>
  <c r="BB112" i="2"/>
  <c r="BB115" i="2"/>
  <c r="BB114" i="2"/>
  <c r="BB117" i="2"/>
  <c r="BB116" i="2"/>
  <c r="BB119" i="2"/>
  <c r="BB118" i="2"/>
  <c r="BB111" i="2"/>
  <c r="BB122" i="2"/>
  <c r="BB123" i="2"/>
  <c r="BB124" i="2"/>
  <c r="BB121" i="2"/>
  <c r="BB126" i="2"/>
  <c r="BB127" i="2"/>
  <c r="BB128" i="2"/>
  <c r="BB125" i="2"/>
  <c r="BB130" i="2"/>
  <c r="BB131" i="2"/>
  <c r="BB132" i="2"/>
  <c r="BB129" i="2"/>
  <c r="BB134" i="2"/>
  <c r="BB133" i="2"/>
  <c r="BB136" i="2"/>
  <c r="BB135" i="2"/>
  <c r="BB138" i="2"/>
  <c r="BB139" i="2"/>
  <c r="BB140" i="2"/>
  <c r="BB137" i="2"/>
  <c r="BB120" i="2"/>
  <c r="BB143" i="2"/>
  <c r="BB144" i="2"/>
  <c r="BB145" i="2"/>
  <c r="BB142" i="2"/>
  <c r="BB147" i="2"/>
  <c r="BB148" i="2"/>
  <c r="BB146" i="2"/>
  <c r="BB150" i="2"/>
  <c r="BB151" i="2"/>
  <c r="BB152" i="2"/>
  <c r="BB153" i="2"/>
  <c r="BB154" i="2"/>
  <c r="BB155" i="2"/>
  <c r="BB149" i="2"/>
  <c r="BB141" i="2"/>
  <c r="BB158" i="2"/>
  <c r="BB159" i="2"/>
  <c r="BB157" i="2"/>
  <c r="BB161" i="2"/>
  <c r="BB162" i="2"/>
  <c r="BB160" i="2"/>
  <c r="BB156" i="2"/>
  <c r="BB165" i="2"/>
  <c r="BB164" i="2"/>
  <c r="BB167" i="2"/>
  <c r="BB168" i="2"/>
  <c r="BB166" i="2"/>
  <c r="BB170" i="2"/>
  <c r="BB171" i="2"/>
  <c r="BB169" i="2"/>
  <c r="BB173" i="2"/>
  <c r="BB172" i="2"/>
  <c r="BB175" i="2"/>
  <c r="BB174" i="2"/>
  <c r="BB163" i="2"/>
  <c r="BB177" i="2"/>
  <c r="BB178" i="2"/>
  <c r="BB180" i="2"/>
  <c r="BB181" i="2"/>
  <c r="BB182" i="2"/>
  <c r="BB179" i="2"/>
  <c r="BB184" i="2"/>
  <c r="BB183" i="2"/>
  <c r="BB186" i="2"/>
  <c r="BB185" i="2"/>
  <c r="BB188" i="2"/>
  <c r="BB187" i="2"/>
  <c r="BB190" i="2"/>
  <c r="BB189" i="2"/>
  <c r="BB192" i="2"/>
  <c r="BB193" i="2"/>
  <c r="BB194" i="2"/>
  <c r="BB195" i="2"/>
  <c r="BB196" i="2"/>
  <c r="BB197" i="2"/>
  <c r="BB198" i="2"/>
  <c r="BB191" i="2"/>
  <c r="BB200" i="2"/>
  <c r="BB199" i="2"/>
  <c r="BB176" i="2"/>
  <c r="BB203" i="2"/>
  <c r="BB202" i="2"/>
  <c r="BB201" i="2"/>
  <c r="BB209" i="2"/>
  <c r="BB210" i="2"/>
  <c r="BB208" i="2"/>
  <c r="BB207" i="2"/>
  <c r="BB213" i="2"/>
  <c r="BB212" i="2"/>
  <c r="BB215" i="2"/>
  <c r="BB216" i="2"/>
  <c r="BB214" i="2"/>
  <c r="BB218" i="2"/>
  <c r="BB219" i="2"/>
  <c r="BB220" i="2"/>
  <c r="BB221" i="2"/>
  <c r="BB222" i="2"/>
  <c r="BB223" i="2"/>
  <c r="BB224" i="2"/>
  <c r="BB225" i="2"/>
  <c r="BB226" i="2"/>
  <c r="BB227" i="2"/>
  <c r="BB228" i="2"/>
  <c r="BB229" i="2"/>
  <c r="BB230" i="2"/>
  <c r="BB231" i="2"/>
  <c r="BB232" i="2"/>
  <c r="BB233" i="2"/>
  <c r="BB234" i="2"/>
  <c r="BB235" i="2"/>
  <c r="BB236" i="2"/>
  <c r="BB238" i="2"/>
  <c r="BB239" i="2"/>
  <c r="BB240" i="2"/>
  <c r="BB241" i="2"/>
  <c r="BB242" i="2"/>
  <c r="BB243" i="2"/>
  <c r="BB244" i="2"/>
  <c r="BB245" i="2"/>
  <c r="BB246" i="2"/>
  <c r="BB247" i="2"/>
  <c r="BB248" i="2"/>
  <c r="BB249" i="2"/>
  <c r="BB250" i="2"/>
  <c r="BB251" i="2"/>
  <c r="BB252" i="2"/>
  <c r="BB253" i="2"/>
  <c r="BB254" i="2"/>
  <c r="BB255" i="2"/>
  <c r="BB256" i="2"/>
  <c r="BB257" i="2"/>
  <c r="BB258" i="2"/>
  <c r="BB259" i="2"/>
  <c r="BB260" i="2"/>
  <c r="BB261" i="2"/>
  <c r="BB262" i="2"/>
  <c r="BB263" i="2"/>
  <c r="BB264" i="2"/>
  <c r="BB237" i="2"/>
  <c r="BB217" i="2"/>
  <c r="BB266" i="2"/>
  <c r="BB267" i="2"/>
  <c r="BB268" i="2"/>
  <c r="BB269" i="2"/>
  <c r="BB270" i="2"/>
  <c r="BB271" i="2"/>
  <c r="BB272" i="2"/>
  <c r="BB273" i="2"/>
  <c r="BB274" i="2"/>
  <c r="BB275" i="2"/>
  <c r="BB276" i="2"/>
  <c r="BB277" i="2"/>
  <c r="BB278" i="2"/>
  <c r="BB265" i="2"/>
  <c r="BB280" i="2"/>
  <c r="BB279" i="2"/>
  <c r="BB211" i="2"/>
  <c r="BB283" i="2"/>
  <c r="BB282" i="2"/>
  <c r="BB281" i="2"/>
  <c r="BB286" i="2"/>
  <c r="BB285" i="2"/>
  <c r="BB288" i="2"/>
  <c r="BB287" i="2"/>
  <c r="BB290" i="2"/>
  <c r="BB289" i="2"/>
  <c r="BB292" i="2"/>
  <c r="BB291" i="2"/>
  <c r="BB294" i="2"/>
  <c r="BB293" i="2"/>
  <c r="BB296" i="2"/>
  <c r="BB295" i="2"/>
  <c r="BB298" i="2"/>
  <c r="BB297" i="2"/>
  <c r="BB284" i="2"/>
  <c r="BB206" i="2"/>
  <c r="BB205" i="2"/>
  <c r="BB204" i="2"/>
  <c r="BB299" i="2"/>
  <c r="BA12" i="2"/>
  <c r="BA11" i="2"/>
  <c r="BA14" i="2"/>
  <c r="BA15" i="2"/>
  <c r="BA16" i="2"/>
  <c r="BA13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17" i="2"/>
  <c r="BA35" i="2"/>
  <c r="BA34" i="2"/>
  <c r="BA37" i="2"/>
  <c r="BA38" i="2"/>
  <c r="BA39" i="2"/>
  <c r="BA40" i="2"/>
  <c r="BA41" i="2"/>
  <c r="BA36" i="2"/>
  <c r="BA43" i="2"/>
  <c r="BA42" i="2"/>
  <c r="BA45" i="2"/>
  <c r="BA44" i="2"/>
  <c r="BA10" i="2"/>
  <c r="BA48" i="2"/>
  <c r="BA47" i="2"/>
  <c r="BA50" i="2"/>
  <c r="BA49" i="2"/>
  <c r="BA52" i="2"/>
  <c r="BA51" i="2"/>
  <c r="BA54" i="2"/>
  <c r="BA53" i="2"/>
  <c r="BA56" i="2"/>
  <c r="BA55" i="2"/>
  <c r="BA46" i="2"/>
  <c r="BA59" i="2"/>
  <c r="BA58" i="2"/>
  <c r="BA61" i="2"/>
  <c r="BA60" i="2"/>
  <c r="BA57" i="2"/>
  <c r="BA64" i="2"/>
  <c r="BA63" i="2"/>
  <c r="BA66" i="2"/>
  <c r="BA65" i="2"/>
  <c r="BA62" i="2"/>
  <c r="BA69" i="2"/>
  <c r="BA68" i="2"/>
  <c r="BA71" i="2"/>
  <c r="BA72" i="2"/>
  <c r="BA70" i="2"/>
  <c r="BA74" i="2"/>
  <c r="BA73" i="2"/>
  <c r="BA76" i="2"/>
  <c r="BA75" i="2"/>
  <c r="BA78" i="2"/>
  <c r="BA77" i="2"/>
  <c r="BA80" i="2"/>
  <c r="BA79" i="2"/>
  <c r="BA82" i="2"/>
  <c r="BA81" i="2"/>
  <c r="BA67" i="2"/>
  <c r="BA85" i="2"/>
  <c r="BA86" i="2"/>
  <c r="BA84" i="2"/>
  <c r="BA88" i="2"/>
  <c r="BA89" i="2"/>
  <c r="BA90" i="2"/>
  <c r="BA91" i="2"/>
  <c r="BA92" i="2"/>
  <c r="BA93" i="2"/>
  <c r="BA94" i="2"/>
  <c r="BA95" i="2"/>
  <c r="BA96" i="2"/>
  <c r="BA97" i="2"/>
  <c r="BA98" i="2"/>
  <c r="BA87" i="2"/>
  <c r="BA83" i="2"/>
  <c r="BA101" i="2"/>
  <c r="BA100" i="2"/>
  <c r="BA99" i="2"/>
  <c r="BA104" i="2"/>
  <c r="BA105" i="2"/>
  <c r="BA103" i="2"/>
  <c r="BA102" i="2"/>
  <c r="BA108" i="2"/>
  <c r="BA107" i="2"/>
  <c r="BA110" i="2"/>
  <c r="BA109" i="2"/>
  <c r="BA106" i="2"/>
  <c r="BA113" i="2"/>
  <c r="BA112" i="2"/>
  <c r="BA115" i="2"/>
  <c r="BA114" i="2"/>
  <c r="BA117" i="2"/>
  <c r="BA116" i="2"/>
  <c r="BA119" i="2"/>
  <c r="BA118" i="2"/>
  <c r="BA111" i="2"/>
  <c r="BA122" i="2"/>
  <c r="BA123" i="2"/>
  <c r="BA124" i="2"/>
  <c r="BA121" i="2"/>
  <c r="BA126" i="2"/>
  <c r="BA127" i="2"/>
  <c r="BA128" i="2"/>
  <c r="BA125" i="2"/>
  <c r="BA130" i="2"/>
  <c r="BA131" i="2"/>
  <c r="BA132" i="2"/>
  <c r="BA129" i="2"/>
  <c r="BA134" i="2"/>
  <c r="BA133" i="2"/>
  <c r="BA136" i="2"/>
  <c r="BA135" i="2"/>
  <c r="BA138" i="2"/>
  <c r="BA139" i="2"/>
  <c r="BA140" i="2"/>
  <c r="BA137" i="2"/>
  <c r="BA120" i="2"/>
  <c r="BA143" i="2"/>
  <c r="BA144" i="2"/>
  <c r="BA145" i="2"/>
  <c r="BA142" i="2"/>
  <c r="BA147" i="2"/>
  <c r="BA148" i="2"/>
  <c r="BA146" i="2"/>
  <c r="BA150" i="2"/>
  <c r="BA151" i="2"/>
  <c r="BA152" i="2"/>
  <c r="BA153" i="2"/>
  <c r="BA154" i="2"/>
  <c r="BA155" i="2"/>
  <c r="BA149" i="2"/>
  <c r="BA141" i="2"/>
  <c r="BA158" i="2"/>
  <c r="BA159" i="2"/>
  <c r="BA157" i="2"/>
  <c r="BA161" i="2"/>
  <c r="BA162" i="2"/>
  <c r="BA160" i="2"/>
  <c r="BA156" i="2"/>
  <c r="BA165" i="2"/>
  <c r="BA164" i="2"/>
  <c r="BA167" i="2"/>
  <c r="BA168" i="2"/>
  <c r="BA166" i="2"/>
  <c r="BA170" i="2"/>
  <c r="BA171" i="2"/>
  <c r="BA169" i="2"/>
  <c r="BA173" i="2"/>
  <c r="BA172" i="2"/>
  <c r="BA175" i="2"/>
  <c r="BA174" i="2"/>
  <c r="BA163" i="2"/>
  <c r="BA177" i="2"/>
  <c r="BA178" i="2"/>
  <c r="BA180" i="2"/>
  <c r="BA181" i="2"/>
  <c r="BA182" i="2"/>
  <c r="BA179" i="2"/>
  <c r="BA184" i="2"/>
  <c r="BA183" i="2"/>
  <c r="BA186" i="2"/>
  <c r="BA185" i="2"/>
  <c r="BA188" i="2"/>
  <c r="BA187" i="2"/>
  <c r="BA190" i="2"/>
  <c r="BA189" i="2"/>
  <c r="BA192" i="2"/>
  <c r="BA193" i="2"/>
  <c r="BA194" i="2"/>
  <c r="BA195" i="2"/>
  <c r="BA196" i="2"/>
  <c r="BA197" i="2"/>
  <c r="BA198" i="2"/>
  <c r="BA191" i="2"/>
  <c r="BA200" i="2"/>
  <c r="BA199" i="2"/>
  <c r="BA176" i="2"/>
  <c r="BA203" i="2"/>
  <c r="BA202" i="2"/>
  <c r="BA201" i="2"/>
  <c r="BA209" i="2"/>
  <c r="BA210" i="2"/>
  <c r="BA208" i="2"/>
  <c r="BA207" i="2"/>
  <c r="BA213" i="2"/>
  <c r="BA212" i="2"/>
  <c r="BA215" i="2"/>
  <c r="BA216" i="2"/>
  <c r="BA214" i="2"/>
  <c r="BA218" i="2"/>
  <c r="BA219" i="2"/>
  <c r="BA220" i="2"/>
  <c r="BA221" i="2"/>
  <c r="BA222" i="2"/>
  <c r="BA223" i="2"/>
  <c r="BA224" i="2"/>
  <c r="BA225" i="2"/>
  <c r="BA226" i="2"/>
  <c r="BA227" i="2"/>
  <c r="BA228" i="2"/>
  <c r="BA229" i="2"/>
  <c r="BA230" i="2"/>
  <c r="BA231" i="2"/>
  <c r="BA232" i="2"/>
  <c r="BA233" i="2"/>
  <c r="BA234" i="2"/>
  <c r="BA235" i="2"/>
  <c r="BA236" i="2"/>
  <c r="BA238" i="2"/>
  <c r="BA239" i="2"/>
  <c r="BA240" i="2"/>
  <c r="BA241" i="2"/>
  <c r="BA242" i="2"/>
  <c r="BA243" i="2"/>
  <c r="BA244" i="2"/>
  <c r="BA245" i="2"/>
  <c r="BA246" i="2"/>
  <c r="BA247" i="2"/>
  <c r="BA248" i="2"/>
  <c r="BA249" i="2"/>
  <c r="BA250" i="2"/>
  <c r="BA251" i="2"/>
  <c r="BA252" i="2"/>
  <c r="BA253" i="2"/>
  <c r="BA254" i="2"/>
  <c r="BA255" i="2"/>
  <c r="BA256" i="2"/>
  <c r="BA257" i="2"/>
  <c r="BA258" i="2"/>
  <c r="BA259" i="2"/>
  <c r="BA260" i="2"/>
  <c r="BA261" i="2"/>
  <c r="BA262" i="2"/>
  <c r="BA263" i="2"/>
  <c r="BA264" i="2"/>
  <c r="BA237" i="2"/>
  <c r="BA217" i="2"/>
  <c r="BA266" i="2"/>
  <c r="BA267" i="2"/>
  <c r="BA268" i="2"/>
  <c r="BA269" i="2"/>
  <c r="BA270" i="2"/>
  <c r="BA271" i="2"/>
  <c r="BA272" i="2"/>
  <c r="BA273" i="2"/>
  <c r="BA274" i="2"/>
  <c r="BA275" i="2"/>
  <c r="BA276" i="2"/>
  <c r="BA277" i="2"/>
  <c r="BA278" i="2"/>
  <c r="BA265" i="2"/>
  <c r="BA280" i="2"/>
  <c r="BA279" i="2"/>
  <c r="BA211" i="2"/>
  <c r="BA283" i="2"/>
  <c r="BA282" i="2"/>
  <c r="BA281" i="2"/>
  <c r="BA286" i="2"/>
  <c r="BA285" i="2"/>
  <c r="BA288" i="2"/>
  <c r="BA287" i="2"/>
  <c r="BA290" i="2"/>
  <c r="BA289" i="2"/>
  <c r="BA292" i="2"/>
  <c r="BA291" i="2"/>
  <c r="BA294" i="2"/>
  <c r="BA293" i="2"/>
  <c r="BA296" i="2"/>
  <c r="BA295" i="2"/>
  <c r="BA298" i="2"/>
  <c r="BA297" i="2"/>
  <c r="BA284" i="2"/>
  <c r="BA206" i="2"/>
  <c r="BA205" i="2"/>
  <c r="BA204" i="2"/>
  <c r="BA299" i="2"/>
  <c r="AZ11" i="2"/>
  <c r="AZ13" i="2"/>
  <c r="AZ18" i="2"/>
  <c r="AZ19" i="2"/>
  <c r="AZ17" i="2"/>
  <c r="AZ34" i="2"/>
  <c r="AZ37" i="2"/>
  <c r="AZ38" i="2"/>
  <c r="AZ36" i="2"/>
  <c r="AZ42" i="2"/>
  <c r="AZ45" i="2"/>
  <c r="AZ44" i="2"/>
  <c r="AZ10" i="2"/>
  <c r="AZ47" i="2"/>
  <c r="AZ49" i="2"/>
  <c r="AZ51" i="2"/>
  <c r="AZ53" i="2"/>
  <c r="AZ55" i="2"/>
  <c r="AZ46" i="2"/>
  <c r="AZ58" i="2"/>
  <c r="AZ61" i="2"/>
  <c r="AZ60" i="2"/>
  <c r="AZ57" i="2"/>
  <c r="AZ63" i="2"/>
  <c r="AZ65" i="2"/>
  <c r="AZ62" i="2"/>
  <c r="AZ68" i="2"/>
  <c r="AZ70" i="2"/>
  <c r="AZ73" i="2"/>
  <c r="AZ76" i="2"/>
  <c r="AZ75" i="2"/>
  <c r="AZ78" i="2"/>
  <c r="AZ77" i="2"/>
  <c r="AZ79" i="2"/>
  <c r="AZ82" i="2"/>
  <c r="AZ81" i="2"/>
  <c r="AZ67" i="2"/>
  <c r="AZ84" i="2"/>
  <c r="AZ87" i="2"/>
  <c r="AZ83" i="2"/>
  <c r="AZ100" i="2"/>
  <c r="AZ99" i="2"/>
  <c r="AZ103" i="2"/>
  <c r="AZ102" i="2"/>
  <c r="AZ107" i="2"/>
  <c r="AZ109" i="2"/>
  <c r="AZ106" i="2"/>
  <c r="AZ112" i="2"/>
  <c r="AZ114" i="2"/>
  <c r="AZ117" i="2"/>
  <c r="AZ116" i="2"/>
  <c r="AZ118" i="2"/>
  <c r="AZ111" i="2"/>
  <c r="AZ121" i="2"/>
  <c r="AZ125" i="2"/>
  <c r="AZ129" i="2"/>
  <c r="AZ133" i="2"/>
  <c r="AZ135" i="2"/>
  <c r="AZ137" i="2"/>
  <c r="AZ120" i="2"/>
  <c r="AZ142" i="2"/>
  <c r="AZ147" i="2"/>
  <c r="AZ148" i="2"/>
  <c r="AZ146" i="2"/>
  <c r="AZ149" i="2"/>
  <c r="AZ141" i="2"/>
  <c r="AZ159" i="2"/>
  <c r="AZ157" i="2"/>
  <c r="AZ160" i="2"/>
  <c r="AZ156" i="2"/>
  <c r="AZ165" i="2"/>
  <c r="AZ164" i="2"/>
  <c r="AZ167" i="2"/>
  <c r="AZ166" i="2"/>
  <c r="AZ169" i="2"/>
  <c r="AZ172" i="2"/>
  <c r="AZ174" i="2"/>
  <c r="AZ163" i="2"/>
  <c r="AZ179" i="2"/>
  <c r="AZ183" i="2"/>
  <c r="AZ185" i="2"/>
  <c r="AZ187" i="2"/>
  <c r="AZ189" i="2"/>
  <c r="AZ191" i="2"/>
  <c r="AZ199" i="2"/>
  <c r="AZ176" i="2"/>
  <c r="AZ202" i="2"/>
  <c r="AZ201" i="2"/>
  <c r="AZ208" i="2"/>
  <c r="AZ207" i="2"/>
  <c r="AZ212" i="2"/>
  <c r="AZ214" i="2"/>
  <c r="AZ223" i="2"/>
  <c r="AZ224" i="2"/>
  <c r="AZ230" i="2"/>
  <c r="AZ234" i="2"/>
  <c r="AZ238" i="2"/>
  <c r="AZ239" i="2"/>
  <c r="AZ240" i="2"/>
  <c r="AZ241" i="2"/>
  <c r="AZ242" i="2"/>
  <c r="AZ243" i="2"/>
  <c r="AZ244" i="2"/>
  <c r="AZ246" i="2"/>
  <c r="AZ247" i="2"/>
  <c r="AZ248" i="2"/>
  <c r="AZ249" i="2"/>
  <c r="AZ250" i="2"/>
  <c r="AZ252" i="2"/>
  <c r="AZ253" i="2"/>
  <c r="AZ254" i="2"/>
  <c r="AZ255" i="2"/>
  <c r="AZ256" i="2"/>
  <c r="AZ257" i="2"/>
  <c r="AZ258" i="2"/>
  <c r="AZ259" i="2"/>
  <c r="AZ260" i="2"/>
  <c r="AZ237" i="2"/>
  <c r="AZ217" i="2"/>
  <c r="AZ265" i="2"/>
  <c r="AZ279" i="2"/>
  <c r="AZ211" i="2"/>
  <c r="AZ282" i="2"/>
  <c r="AZ281" i="2"/>
  <c r="AZ285" i="2"/>
  <c r="AZ288" i="2"/>
  <c r="AZ287" i="2"/>
  <c r="AZ289" i="2"/>
  <c r="AZ291" i="2"/>
  <c r="AZ294" i="2"/>
  <c r="AZ293" i="2"/>
  <c r="AZ295" i="2"/>
  <c r="AZ297" i="2"/>
  <c r="AZ284" i="2"/>
  <c r="AZ205" i="2"/>
  <c r="AZ204" i="2"/>
  <c r="AZ299" i="2"/>
  <c r="AY11" i="2"/>
  <c r="AY17" i="2"/>
  <c r="AY34" i="2"/>
  <c r="AY37" i="2"/>
  <c r="AY36" i="2"/>
  <c r="AY42" i="2"/>
  <c r="AY45" i="2"/>
  <c r="AY44" i="2"/>
  <c r="AY10" i="2"/>
  <c r="AY47" i="2"/>
  <c r="AY49" i="2"/>
  <c r="AY51" i="2"/>
  <c r="AY53" i="2"/>
  <c r="AY55" i="2"/>
  <c r="AY46" i="2"/>
  <c r="AY58" i="2"/>
  <c r="AY60" i="2"/>
  <c r="AY57" i="2"/>
  <c r="AY63" i="2"/>
  <c r="AY65" i="2"/>
  <c r="AY62" i="2"/>
  <c r="AY68" i="2"/>
  <c r="AY70" i="2"/>
  <c r="AY73" i="2"/>
  <c r="AY75" i="2"/>
  <c r="AY77" i="2"/>
  <c r="AY79" i="2"/>
  <c r="AY81" i="2"/>
  <c r="AY67" i="2"/>
  <c r="AY85" i="2"/>
  <c r="AY84" i="2"/>
  <c r="AY87" i="2"/>
  <c r="AY83" i="2"/>
  <c r="AY100" i="2"/>
  <c r="AY99" i="2"/>
  <c r="AY103" i="2"/>
  <c r="AY102" i="2"/>
  <c r="AY107" i="2"/>
  <c r="AY109" i="2"/>
  <c r="AY106" i="2"/>
  <c r="AY112" i="2"/>
  <c r="AY114" i="2"/>
  <c r="AY116" i="2"/>
  <c r="AY118" i="2"/>
  <c r="AY111" i="2"/>
  <c r="AY121" i="2"/>
  <c r="AY125" i="2"/>
  <c r="AY129" i="2"/>
  <c r="AY133" i="2"/>
  <c r="AY135" i="2"/>
  <c r="AY137" i="2"/>
  <c r="AY120" i="2"/>
  <c r="AY142" i="2"/>
  <c r="AY146" i="2"/>
  <c r="AY149" i="2"/>
  <c r="AY141" i="2"/>
  <c r="AY157" i="2"/>
  <c r="AY160" i="2"/>
  <c r="AY156" i="2"/>
  <c r="AY164" i="2"/>
  <c r="AY166" i="2"/>
  <c r="AY169" i="2"/>
  <c r="AY172" i="2"/>
  <c r="AY174" i="2"/>
  <c r="AY163" i="2"/>
  <c r="AY179" i="2"/>
  <c r="AY183" i="2"/>
  <c r="AY185" i="2"/>
  <c r="AY187" i="2"/>
  <c r="AY189" i="2"/>
  <c r="AY191" i="2"/>
  <c r="AY199" i="2"/>
  <c r="AY176" i="2"/>
  <c r="AY202" i="2"/>
  <c r="AY201" i="2"/>
  <c r="AY208" i="2"/>
  <c r="AY207" i="2"/>
  <c r="AY212" i="2"/>
  <c r="AY214" i="2"/>
  <c r="AY237" i="2"/>
  <c r="AY217" i="2"/>
  <c r="AY265" i="2"/>
  <c r="AY279" i="2"/>
  <c r="AY211" i="2"/>
  <c r="AY282" i="2"/>
  <c r="AY281" i="2"/>
  <c r="AY285" i="2"/>
  <c r="AY288" i="2"/>
  <c r="AY287" i="2"/>
  <c r="AY289" i="2"/>
  <c r="AY291" i="2"/>
  <c r="AY293" i="2"/>
  <c r="AY295" i="2"/>
  <c r="AY297" i="2"/>
  <c r="AY284" i="2"/>
  <c r="AY205" i="2"/>
  <c r="AY204" i="2"/>
  <c r="AY299" i="2"/>
  <c r="AX11" i="2"/>
  <c r="AX13" i="2"/>
  <c r="AX17" i="2"/>
  <c r="AX34" i="2"/>
  <c r="AX36" i="2"/>
  <c r="AX42" i="2"/>
  <c r="AX44" i="2"/>
  <c r="AX10" i="2"/>
  <c r="AX47" i="2"/>
  <c r="AX49" i="2"/>
  <c r="AX51" i="2"/>
  <c r="AX53" i="2"/>
  <c r="AX55" i="2"/>
  <c r="AX46" i="2"/>
  <c r="AX58" i="2"/>
  <c r="AX60" i="2"/>
  <c r="AX57" i="2"/>
  <c r="AX63" i="2"/>
  <c r="AX65" i="2"/>
  <c r="AX62" i="2"/>
  <c r="AX68" i="2"/>
  <c r="AX70" i="2"/>
  <c r="AX73" i="2"/>
  <c r="AX75" i="2"/>
  <c r="AX77" i="2"/>
  <c r="AX79" i="2"/>
  <c r="AX81" i="2"/>
  <c r="AX67" i="2"/>
  <c r="AX84" i="2"/>
  <c r="AX87" i="2"/>
  <c r="AX83" i="2"/>
  <c r="AX100" i="2"/>
  <c r="AX99" i="2"/>
  <c r="AX103" i="2"/>
  <c r="AX102" i="2"/>
  <c r="AX107" i="2"/>
  <c r="AX109" i="2"/>
  <c r="AX106" i="2"/>
  <c r="AX112" i="2"/>
  <c r="AX114" i="2"/>
  <c r="AX116" i="2"/>
  <c r="AX118" i="2"/>
  <c r="AX111" i="2"/>
  <c r="AX121" i="2"/>
  <c r="AX125" i="2"/>
  <c r="AX129" i="2"/>
  <c r="AX133" i="2"/>
  <c r="AX135" i="2"/>
  <c r="AX137" i="2"/>
  <c r="AX120" i="2"/>
  <c r="AX142" i="2"/>
  <c r="AX146" i="2"/>
  <c r="AX149" i="2"/>
  <c r="AX141" i="2"/>
  <c r="AX157" i="2"/>
  <c r="AX160" i="2"/>
  <c r="AX156" i="2"/>
  <c r="AX164" i="2"/>
  <c r="AX166" i="2"/>
  <c r="AX169" i="2"/>
  <c r="AX172" i="2"/>
  <c r="AX174" i="2"/>
  <c r="AX163" i="2"/>
  <c r="AX179" i="2"/>
  <c r="AX183" i="2"/>
  <c r="AX185" i="2"/>
  <c r="AX187" i="2"/>
  <c r="AX189" i="2"/>
  <c r="AX191" i="2"/>
  <c r="AX199" i="2"/>
  <c r="AX176" i="2"/>
  <c r="AX202" i="2"/>
  <c r="AX201" i="2"/>
  <c r="AX208" i="2"/>
  <c r="AX207" i="2"/>
  <c r="AX212" i="2"/>
  <c r="AX214" i="2"/>
  <c r="AX237" i="2"/>
  <c r="AX217" i="2"/>
  <c r="AX265" i="2"/>
  <c r="AX279" i="2"/>
  <c r="AX211" i="2"/>
  <c r="AX282" i="2"/>
  <c r="AX281" i="2"/>
  <c r="AX285" i="2"/>
  <c r="AX287" i="2"/>
  <c r="AX289" i="2"/>
  <c r="AX291" i="2"/>
  <c r="AX293" i="2"/>
  <c r="AX295" i="2"/>
  <c r="AX297" i="2"/>
  <c r="AX284" i="2"/>
  <c r="AX205" i="2"/>
  <c r="AX204" i="2"/>
  <c r="AX299" i="2"/>
  <c r="AW11" i="2"/>
  <c r="AW13" i="2"/>
  <c r="AW17" i="2"/>
  <c r="AW34" i="2"/>
  <c r="AW36" i="2"/>
  <c r="AW42" i="2"/>
  <c r="AW44" i="2"/>
  <c r="AW10" i="2"/>
  <c r="AW47" i="2"/>
  <c r="AW49" i="2"/>
  <c r="AW51" i="2"/>
  <c r="AW53" i="2"/>
  <c r="AW55" i="2"/>
  <c r="AW46" i="2"/>
  <c r="AW58" i="2"/>
  <c r="AW60" i="2"/>
  <c r="AW57" i="2"/>
  <c r="AW63" i="2"/>
  <c r="AW65" i="2"/>
  <c r="AW62" i="2"/>
  <c r="AW68" i="2"/>
  <c r="AW70" i="2"/>
  <c r="AW73" i="2"/>
  <c r="AW76" i="2"/>
  <c r="AW75" i="2"/>
  <c r="AW77" i="2"/>
  <c r="AW79" i="2"/>
  <c r="AW81" i="2"/>
  <c r="AW67" i="2"/>
  <c r="AW84" i="2"/>
  <c r="AW87" i="2"/>
  <c r="AW83" i="2"/>
  <c r="AW100" i="2"/>
  <c r="AW99" i="2"/>
  <c r="AW103" i="2"/>
  <c r="AW102" i="2"/>
  <c r="AW107" i="2"/>
  <c r="AW109" i="2"/>
  <c r="AW106" i="2"/>
  <c r="AW112" i="2"/>
  <c r="AW114" i="2"/>
  <c r="AW116" i="2"/>
  <c r="AW118" i="2"/>
  <c r="AW111" i="2"/>
  <c r="AW121" i="2"/>
  <c r="AW125" i="2"/>
  <c r="AW129" i="2"/>
  <c r="AW133" i="2"/>
  <c r="AW135" i="2"/>
  <c r="AW137" i="2"/>
  <c r="AW120" i="2"/>
  <c r="AW142" i="2"/>
  <c r="AW146" i="2"/>
  <c r="AW149" i="2"/>
  <c r="AW141" i="2"/>
  <c r="AW157" i="2"/>
  <c r="AW160" i="2"/>
  <c r="AW156" i="2"/>
  <c r="AW164" i="2"/>
  <c r="AW166" i="2"/>
  <c r="AW169" i="2"/>
  <c r="AW172" i="2"/>
  <c r="AW174" i="2"/>
  <c r="AW163" i="2"/>
  <c r="AW179" i="2"/>
  <c r="AW183" i="2"/>
  <c r="AW185" i="2"/>
  <c r="AW187" i="2"/>
  <c r="AW189" i="2"/>
  <c r="AW191" i="2"/>
  <c r="AW199" i="2"/>
  <c r="AW176" i="2"/>
  <c r="AW202" i="2"/>
  <c r="AW201" i="2"/>
  <c r="AW208" i="2"/>
  <c r="AW207" i="2"/>
  <c r="AW212" i="2"/>
  <c r="AW216" i="2"/>
  <c r="AW214" i="2"/>
  <c r="AW237" i="2"/>
  <c r="AW217" i="2"/>
  <c r="AW265" i="2"/>
  <c r="AW279" i="2"/>
  <c r="AW211" i="2"/>
  <c r="AW282" i="2"/>
  <c r="AW281" i="2"/>
  <c r="AW285" i="2"/>
  <c r="AW288" i="2"/>
  <c r="AW287" i="2"/>
  <c r="AW289" i="2"/>
  <c r="AW291" i="2"/>
  <c r="AW293" i="2"/>
  <c r="AW295" i="2"/>
  <c r="AW297" i="2"/>
  <c r="AW284" i="2"/>
  <c r="AW205" i="2"/>
  <c r="AW204" i="2"/>
  <c r="AW299" i="2"/>
  <c r="AV11" i="2"/>
  <c r="AV13" i="2"/>
  <c r="AV17" i="2"/>
  <c r="AV34" i="2"/>
  <c r="AV36" i="2"/>
  <c r="AV42" i="2"/>
  <c r="AV44" i="2"/>
  <c r="AV10" i="2"/>
  <c r="AV47" i="2"/>
  <c r="AV49" i="2"/>
  <c r="AV51" i="2"/>
  <c r="AV53" i="2"/>
  <c r="AV55" i="2"/>
  <c r="AV46" i="2"/>
  <c r="AV58" i="2"/>
  <c r="AV60" i="2"/>
  <c r="AV57" i="2"/>
  <c r="AV63" i="2"/>
  <c r="AV65" i="2"/>
  <c r="AV62" i="2"/>
  <c r="AV68" i="2"/>
  <c r="AV70" i="2"/>
  <c r="AV73" i="2"/>
  <c r="AV75" i="2"/>
  <c r="AV77" i="2"/>
  <c r="AV79" i="2"/>
  <c r="AV81" i="2"/>
  <c r="AV67" i="2"/>
  <c r="AV84" i="2"/>
  <c r="AV87" i="2"/>
  <c r="AV83" i="2"/>
  <c r="AV100" i="2"/>
  <c r="AV99" i="2"/>
  <c r="AV103" i="2"/>
  <c r="AV102" i="2"/>
  <c r="AV107" i="2"/>
  <c r="AV109" i="2"/>
  <c r="AV106" i="2"/>
  <c r="AV112" i="2"/>
  <c r="AV114" i="2"/>
  <c r="AV116" i="2"/>
  <c r="AV118" i="2"/>
  <c r="AV111" i="2"/>
  <c r="AV121" i="2"/>
  <c r="AV125" i="2"/>
  <c r="AV129" i="2"/>
  <c r="AV133" i="2"/>
  <c r="AV135" i="2"/>
  <c r="AV137" i="2"/>
  <c r="AV120" i="2"/>
  <c r="AV142" i="2"/>
  <c r="AV146" i="2"/>
  <c r="AV149" i="2"/>
  <c r="AV141" i="2"/>
  <c r="AV157" i="2"/>
  <c r="AV160" i="2"/>
  <c r="AV156" i="2"/>
  <c r="AV164" i="2"/>
  <c r="AV166" i="2"/>
  <c r="AV169" i="2"/>
  <c r="AV172" i="2"/>
  <c r="AV174" i="2"/>
  <c r="AV163" i="2"/>
  <c r="AV179" i="2"/>
  <c r="AV183" i="2"/>
  <c r="AV185" i="2"/>
  <c r="AV187" i="2"/>
  <c r="AV189" i="2"/>
  <c r="AV191" i="2"/>
  <c r="AV199" i="2"/>
  <c r="AV176" i="2"/>
  <c r="AV202" i="2"/>
  <c r="AV201" i="2"/>
  <c r="AV208" i="2"/>
  <c r="AV207" i="2"/>
  <c r="AV212" i="2"/>
  <c r="AV214" i="2"/>
  <c r="AV237" i="2"/>
  <c r="AV217" i="2"/>
  <c r="AV265" i="2"/>
  <c r="AV279" i="2"/>
  <c r="AV211" i="2"/>
  <c r="AV282" i="2"/>
  <c r="AV281" i="2"/>
  <c r="AV285" i="2"/>
  <c r="AV287" i="2"/>
  <c r="AV289" i="2"/>
  <c r="AV292" i="2"/>
  <c r="AV291" i="2"/>
  <c r="AV293" i="2"/>
  <c r="AV295" i="2"/>
  <c r="AV297" i="2"/>
  <c r="AV284" i="2"/>
  <c r="AV205" i="2"/>
  <c r="AV204" i="2"/>
  <c r="AV299" i="2"/>
  <c r="AU11" i="2"/>
  <c r="AU13" i="2"/>
  <c r="AU17" i="2"/>
  <c r="AU34" i="2"/>
  <c r="AU36" i="2"/>
  <c r="AU42" i="2"/>
  <c r="AU44" i="2"/>
  <c r="AU10" i="2"/>
  <c r="AU47" i="2"/>
  <c r="AU49" i="2"/>
  <c r="AU51" i="2"/>
  <c r="AU53" i="2"/>
  <c r="AU55" i="2"/>
  <c r="AU46" i="2"/>
  <c r="AU58" i="2"/>
  <c r="AU60" i="2"/>
  <c r="AU57" i="2"/>
  <c r="AU63" i="2"/>
  <c r="AU65" i="2"/>
  <c r="AU62" i="2"/>
  <c r="AU68" i="2"/>
  <c r="AU70" i="2"/>
  <c r="AU73" i="2"/>
  <c r="AU75" i="2"/>
  <c r="AU77" i="2"/>
  <c r="AU79" i="2"/>
  <c r="AU81" i="2"/>
  <c r="AU67" i="2"/>
  <c r="AU84" i="2"/>
  <c r="AU87" i="2"/>
  <c r="AU83" i="2"/>
  <c r="AU100" i="2"/>
  <c r="AU99" i="2"/>
  <c r="AU103" i="2"/>
  <c r="AU102" i="2"/>
  <c r="AU107" i="2"/>
  <c r="AU109" i="2"/>
  <c r="AU106" i="2"/>
  <c r="AU112" i="2"/>
  <c r="AU114" i="2"/>
  <c r="AU116" i="2"/>
  <c r="AU118" i="2"/>
  <c r="AU111" i="2"/>
  <c r="AU121" i="2"/>
  <c r="AU125" i="2"/>
  <c r="AU129" i="2"/>
  <c r="AU133" i="2"/>
  <c r="AU135" i="2"/>
  <c r="AU137" i="2"/>
  <c r="AU120" i="2"/>
  <c r="AU142" i="2"/>
  <c r="AU146" i="2"/>
  <c r="AU149" i="2"/>
  <c r="AU141" i="2"/>
  <c r="AU157" i="2"/>
  <c r="AU160" i="2"/>
  <c r="AU156" i="2"/>
  <c r="AU165" i="2"/>
  <c r="AU164" i="2"/>
  <c r="AU166" i="2"/>
  <c r="AU169" i="2"/>
  <c r="AU172" i="2"/>
  <c r="AU174" i="2"/>
  <c r="AU163" i="2"/>
  <c r="AU179" i="2"/>
  <c r="AU183" i="2"/>
  <c r="AU185" i="2"/>
  <c r="AU187" i="2"/>
  <c r="AU189" i="2"/>
  <c r="AU191" i="2"/>
  <c r="AU199" i="2"/>
  <c r="AU176" i="2"/>
  <c r="AU202" i="2"/>
  <c r="AU201" i="2"/>
  <c r="AU208" i="2"/>
  <c r="AU207" i="2"/>
  <c r="AU212" i="2"/>
  <c r="AU214" i="2"/>
  <c r="AU237" i="2"/>
  <c r="AU217" i="2"/>
  <c r="AU265" i="2"/>
  <c r="AU279" i="2"/>
  <c r="AU211" i="2"/>
  <c r="AU282" i="2"/>
  <c r="AU281" i="2"/>
  <c r="AU285" i="2"/>
  <c r="AU287" i="2"/>
  <c r="AU289" i="2"/>
  <c r="AU291" i="2"/>
  <c r="AU293" i="2"/>
  <c r="AU295" i="2"/>
  <c r="AU297" i="2"/>
  <c r="AU284" i="2"/>
  <c r="AU205" i="2"/>
  <c r="AU204" i="2"/>
  <c r="AU299" i="2"/>
  <c r="AT11" i="2"/>
  <c r="AT13" i="2"/>
  <c r="AT17" i="2"/>
  <c r="AT34" i="2"/>
  <c r="AT36" i="2"/>
  <c r="AT42" i="2"/>
  <c r="AT44" i="2"/>
  <c r="AT10" i="2"/>
  <c r="AT47" i="2"/>
  <c r="AT49" i="2"/>
  <c r="AT51" i="2"/>
  <c r="AT53" i="2"/>
  <c r="AT55" i="2"/>
  <c r="AT46" i="2"/>
  <c r="AT58" i="2"/>
  <c r="AT60" i="2"/>
  <c r="AT57" i="2"/>
  <c r="AT63" i="2"/>
  <c r="AT65" i="2"/>
  <c r="AT62" i="2"/>
  <c r="AT68" i="2"/>
  <c r="AT70" i="2"/>
  <c r="AT73" i="2"/>
  <c r="AT75" i="2"/>
  <c r="AT77" i="2"/>
  <c r="AT79" i="2"/>
  <c r="AT81" i="2"/>
  <c r="AT67" i="2"/>
  <c r="AT84" i="2"/>
  <c r="AT87" i="2"/>
  <c r="AT83" i="2"/>
  <c r="AT100" i="2"/>
  <c r="AT99" i="2"/>
  <c r="AT103" i="2"/>
  <c r="AT102" i="2"/>
  <c r="AT107" i="2"/>
  <c r="AT109" i="2"/>
  <c r="AT106" i="2"/>
  <c r="AT112" i="2"/>
  <c r="AT114" i="2"/>
  <c r="AT116" i="2"/>
  <c r="AT118" i="2"/>
  <c r="AT111" i="2"/>
  <c r="AT121" i="2"/>
  <c r="AT125" i="2"/>
  <c r="AT132" i="2"/>
  <c r="AT129" i="2"/>
  <c r="AT133" i="2"/>
  <c r="AT135" i="2"/>
  <c r="AT137" i="2"/>
  <c r="AT120" i="2"/>
  <c r="AT142" i="2"/>
  <c r="AT146" i="2"/>
  <c r="AT149" i="2"/>
  <c r="AT141" i="2"/>
  <c r="AT157" i="2"/>
  <c r="AT160" i="2"/>
  <c r="AT156" i="2"/>
  <c r="AT164" i="2"/>
  <c r="AT166" i="2"/>
  <c r="AT169" i="2"/>
  <c r="AT172" i="2"/>
  <c r="AT174" i="2"/>
  <c r="AT163" i="2"/>
  <c r="AT179" i="2"/>
  <c r="AT183" i="2"/>
  <c r="AT185" i="2"/>
  <c r="AT187" i="2"/>
  <c r="AT189" i="2"/>
  <c r="AT191" i="2"/>
  <c r="AT199" i="2"/>
  <c r="AT176" i="2"/>
  <c r="AT202" i="2"/>
  <c r="AT201" i="2"/>
  <c r="AT208" i="2"/>
  <c r="AT207" i="2"/>
  <c r="AT212" i="2"/>
  <c r="AT214" i="2"/>
  <c r="AT237" i="2"/>
  <c r="AT217" i="2"/>
  <c r="AT265" i="2"/>
  <c r="AT279" i="2"/>
  <c r="AT211" i="2"/>
  <c r="AT282" i="2"/>
  <c r="AT281" i="2"/>
  <c r="AT285" i="2"/>
  <c r="AT287" i="2"/>
  <c r="AT289" i="2"/>
  <c r="AT291" i="2"/>
  <c r="AT293" i="2"/>
  <c r="AT295" i="2"/>
  <c r="AT297" i="2"/>
  <c r="AT284" i="2"/>
  <c r="AT205" i="2"/>
  <c r="AT204" i="2"/>
  <c r="AT299" i="2"/>
  <c r="AS11" i="2"/>
  <c r="AS13" i="2"/>
  <c r="AS21" i="2"/>
  <c r="AS17" i="2"/>
  <c r="AS34" i="2"/>
  <c r="AS36" i="2"/>
  <c r="AS42" i="2"/>
  <c r="AS45" i="2"/>
  <c r="AS44" i="2"/>
  <c r="AS10" i="2"/>
  <c r="AS47" i="2"/>
  <c r="AS49" i="2"/>
  <c r="AS51" i="2"/>
  <c r="AS53" i="2"/>
  <c r="AS55" i="2"/>
  <c r="AS46" i="2"/>
  <c r="AS58" i="2"/>
  <c r="AS60" i="2"/>
  <c r="AS57" i="2"/>
  <c r="AS63" i="2"/>
  <c r="AS65" i="2"/>
  <c r="AS62" i="2"/>
  <c r="AS68" i="2"/>
  <c r="AS70" i="2"/>
  <c r="AS73" i="2"/>
  <c r="AS75" i="2"/>
  <c r="AS77" i="2"/>
  <c r="AS79" i="2"/>
  <c r="AS81" i="2"/>
  <c r="AS67" i="2"/>
  <c r="AS84" i="2"/>
  <c r="AS87" i="2"/>
  <c r="AS83" i="2"/>
  <c r="AS100" i="2"/>
  <c r="AS99" i="2"/>
  <c r="AS103" i="2"/>
  <c r="AS102" i="2"/>
  <c r="AS107" i="2"/>
  <c r="AS109" i="2"/>
  <c r="AS106" i="2"/>
  <c r="AS112" i="2"/>
  <c r="AS114" i="2"/>
  <c r="AS116" i="2"/>
  <c r="AS118" i="2"/>
  <c r="AS111" i="2"/>
  <c r="AS121" i="2"/>
  <c r="AS125" i="2"/>
  <c r="AS132" i="2"/>
  <c r="AS129" i="2"/>
  <c r="AS133" i="2"/>
  <c r="AS135" i="2"/>
  <c r="AS137" i="2"/>
  <c r="AS120" i="2"/>
  <c r="AS142" i="2"/>
  <c r="AS146" i="2"/>
  <c r="AS149" i="2"/>
  <c r="AS141" i="2"/>
  <c r="AS157" i="2"/>
  <c r="AS160" i="2"/>
  <c r="AS156" i="2"/>
  <c r="AS164" i="2"/>
  <c r="AS166" i="2"/>
  <c r="AS169" i="2"/>
  <c r="AS172" i="2"/>
  <c r="AS174" i="2"/>
  <c r="AS163" i="2"/>
  <c r="AS179" i="2"/>
  <c r="AS183" i="2"/>
  <c r="AS185" i="2"/>
  <c r="AS187" i="2"/>
  <c r="AS189" i="2"/>
  <c r="AS191" i="2"/>
  <c r="AS199" i="2"/>
  <c r="AS176" i="2"/>
  <c r="AS202" i="2"/>
  <c r="AS201" i="2"/>
  <c r="AS208" i="2"/>
  <c r="AS207" i="2"/>
  <c r="AS212" i="2"/>
  <c r="AS214" i="2"/>
  <c r="AS240" i="2"/>
  <c r="AS241" i="2"/>
  <c r="AS242" i="2"/>
  <c r="AS246" i="2"/>
  <c r="AS247" i="2"/>
  <c r="AS237" i="2"/>
  <c r="AS217" i="2"/>
  <c r="AS265" i="2"/>
  <c r="AS279" i="2"/>
  <c r="AS211" i="2"/>
  <c r="AS282" i="2"/>
  <c r="AS281" i="2"/>
  <c r="AS285" i="2"/>
  <c r="AS287" i="2"/>
  <c r="AS289" i="2"/>
  <c r="AS291" i="2"/>
  <c r="AS293" i="2"/>
  <c r="AS295" i="2"/>
  <c r="AS297" i="2"/>
  <c r="AS284" i="2"/>
  <c r="AS205" i="2"/>
  <c r="AS204" i="2"/>
  <c r="AS299" i="2"/>
  <c r="AR11" i="2"/>
  <c r="AR13" i="2"/>
  <c r="AR21" i="2"/>
  <c r="AR17" i="2"/>
  <c r="AR34" i="2"/>
  <c r="AR36" i="2"/>
  <c r="AR42" i="2"/>
  <c r="AR44" i="2"/>
  <c r="AR10" i="2"/>
  <c r="AR47" i="2"/>
  <c r="AR49" i="2"/>
  <c r="AR51" i="2"/>
  <c r="AR53" i="2"/>
  <c r="AR55" i="2"/>
  <c r="AR46" i="2"/>
  <c r="AR58" i="2"/>
  <c r="AR60" i="2"/>
  <c r="AR57" i="2"/>
  <c r="AR63" i="2"/>
  <c r="AR65" i="2"/>
  <c r="AR62" i="2"/>
  <c r="AR68" i="2"/>
  <c r="AR70" i="2"/>
  <c r="AR73" i="2"/>
  <c r="AR75" i="2"/>
  <c r="AR77" i="2"/>
  <c r="AR79" i="2"/>
  <c r="AR81" i="2"/>
  <c r="AR67" i="2"/>
  <c r="AR84" i="2"/>
  <c r="AR87" i="2"/>
  <c r="AR83" i="2"/>
  <c r="AR100" i="2"/>
  <c r="AR99" i="2"/>
  <c r="AR103" i="2"/>
  <c r="AR102" i="2"/>
  <c r="AR107" i="2"/>
  <c r="AR109" i="2"/>
  <c r="AR106" i="2"/>
  <c r="AR112" i="2"/>
  <c r="AR114" i="2"/>
  <c r="AR116" i="2"/>
  <c r="AR118" i="2"/>
  <c r="AR111" i="2"/>
  <c r="AR121" i="2"/>
  <c r="AR125" i="2"/>
  <c r="AR129" i="2"/>
  <c r="AR133" i="2"/>
  <c r="AR135" i="2"/>
  <c r="AR137" i="2"/>
  <c r="AR120" i="2"/>
  <c r="AR142" i="2"/>
  <c r="AR146" i="2"/>
  <c r="AR149" i="2"/>
  <c r="AR141" i="2"/>
  <c r="AR157" i="2"/>
  <c r="AR160" i="2"/>
  <c r="AR156" i="2"/>
  <c r="AR164" i="2"/>
  <c r="AR166" i="2"/>
  <c r="AR169" i="2"/>
  <c r="AR172" i="2"/>
  <c r="AR174" i="2"/>
  <c r="AR163" i="2"/>
  <c r="AR179" i="2"/>
  <c r="AR183" i="2"/>
  <c r="AR185" i="2"/>
  <c r="AR187" i="2"/>
  <c r="AR189" i="2"/>
  <c r="AR191" i="2"/>
  <c r="AR199" i="2"/>
  <c r="AR176" i="2"/>
  <c r="AR202" i="2"/>
  <c r="AR201" i="2"/>
  <c r="AR208" i="2"/>
  <c r="AR207" i="2"/>
  <c r="AR212" i="2"/>
  <c r="AR216" i="2"/>
  <c r="AR214" i="2"/>
  <c r="AR249" i="2"/>
  <c r="AR237" i="2"/>
  <c r="AR217" i="2"/>
  <c r="AR265" i="2"/>
  <c r="AR279" i="2"/>
  <c r="AR211" i="2"/>
  <c r="AR282" i="2"/>
  <c r="AR281" i="2"/>
  <c r="AR285" i="2"/>
  <c r="AR287" i="2"/>
  <c r="AR289" i="2"/>
  <c r="AR291" i="2"/>
  <c r="AR293" i="2"/>
  <c r="AR295" i="2"/>
  <c r="AR297" i="2"/>
  <c r="AR284" i="2"/>
  <c r="AR205" i="2"/>
  <c r="AR204" i="2"/>
  <c r="AR299" i="2"/>
  <c r="AQ11" i="2"/>
  <c r="AQ13" i="2"/>
  <c r="AQ17" i="2"/>
  <c r="AQ34" i="2"/>
  <c r="AQ36" i="2"/>
  <c r="AQ42" i="2"/>
  <c r="AQ44" i="2"/>
  <c r="AQ10" i="2"/>
  <c r="AQ47" i="2"/>
  <c r="AQ49" i="2"/>
  <c r="AQ51" i="2"/>
  <c r="AQ53" i="2"/>
  <c r="AQ55" i="2"/>
  <c r="AQ46" i="2"/>
  <c r="AQ58" i="2"/>
  <c r="AQ60" i="2"/>
  <c r="AQ57" i="2"/>
  <c r="AQ63" i="2"/>
  <c r="AQ65" i="2"/>
  <c r="AQ62" i="2"/>
  <c r="AQ68" i="2"/>
  <c r="AQ70" i="2"/>
  <c r="AQ73" i="2"/>
  <c r="AQ75" i="2"/>
  <c r="AQ77" i="2"/>
  <c r="AQ79" i="2"/>
  <c r="AQ81" i="2"/>
  <c r="AQ67" i="2"/>
  <c r="AQ84" i="2"/>
  <c r="AQ87" i="2"/>
  <c r="AQ83" i="2"/>
  <c r="AQ100" i="2"/>
  <c r="AQ99" i="2"/>
  <c r="AQ103" i="2"/>
  <c r="AQ102" i="2"/>
  <c r="AQ107" i="2"/>
  <c r="AQ109" i="2"/>
  <c r="AQ106" i="2"/>
  <c r="AQ112" i="2"/>
  <c r="AQ114" i="2"/>
  <c r="AQ116" i="2"/>
  <c r="AQ118" i="2"/>
  <c r="AQ111" i="2"/>
  <c r="AQ121" i="2"/>
  <c r="AQ125" i="2"/>
  <c r="AQ129" i="2"/>
  <c r="AQ133" i="2"/>
  <c r="AQ135" i="2"/>
  <c r="AQ137" i="2"/>
  <c r="AQ120" i="2"/>
  <c r="AQ142" i="2"/>
  <c r="AQ146" i="2"/>
  <c r="AQ149" i="2"/>
  <c r="AQ141" i="2"/>
  <c r="AQ157" i="2"/>
  <c r="AQ160" i="2"/>
  <c r="AQ156" i="2"/>
  <c r="AQ164" i="2"/>
  <c r="AQ166" i="2"/>
  <c r="AQ169" i="2"/>
  <c r="AQ172" i="2"/>
  <c r="AQ174" i="2"/>
  <c r="AQ163" i="2"/>
  <c r="AQ179" i="2"/>
  <c r="AQ183" i="2"/>
  <c r="AQ185" i="2"/>
  <c r="AQ187" i="2"/>
  <c r="AQ189" i="2"/>
  <c r="AQ191" i="2"/>
  <c r="AQ199" i="2"/>
  <c r="AQ176" i="2"/>
  <c r="AQ202" i="2"/>
  <c r="AQ201" i="2"/>
  <c r="AQ208" i="2"/>
  <c r="AQ207" i="2"/>
  <c r="AQ212" i="2"/>
  <c r="AQ214" i="2"/>
  <c r="AQ218" i="2"/>
  <c r="AQ246" i="2"/>
  <c r="AQ237" i="2"/>
  <c r="AQ217" i="2"/>
  <c r="AQ265" i="2"/>
  <c r="AQ279" i="2"/>
  <c r="AQ211" i="2"/>
  <c r="AQ282" i="2"/>
  <c r="AQ281" i="2"/>
  <c r="AQ285" i="2"/>
  <c r="AQ287" i="2"/>
  <c r="AQ289" i="2"/>
  <c r="AQ291" i="2"/>
  <c r="AQ293" i="2"/>
  <c r="AQ295" i="2"/>
  <c r="AQ297" i="2"/>
  <c r="AQ284" i="2"/>
  <c r="AQ205" i="2"/>
  <c r="AQ204" i="2"/>
  <c r="AQ299" i="2"/>
  <c r="AP11" i="2"/>
  <c r="AP17" i="2"/>
  <c r="AP34" i="2"/>
  <c r="AP36" i="2"/>
  <c r="AP42" i="2"/>
  <c r="AP44" i="2"/>
  <c r="AP10" i="2"/>
  <c r="AP47" i="2"/>
  <c r="AP49" i="2"/>
  <c r="AP51" i="2"/>
  <c r="AP53" i="2"/>
  <c r="AP55" i="2"/>
  <c r="AP46" i="2"/>
  <c r="AP58" i="2"/>
  <c r="AP60" i="2"/>
  <c r="AP57" i="2"/>
  <c r="AP63" i="2"/>
  <c r="AP65" i="2"/>
  <c r="AP62" i="2"/>
  <c r="AP68" i="2"/>
  <c r="AP70" i="2"/>
  <c r="AP73" i="2"/>
  <c r="AP75" i="2"/>
  <c r="AP77" i="2"/>
  <c r="AP79" i="2"/>
  <c r="AP81" i="2"/>
  <c r="AP67" i="2"/>
  <c r="AP84" i="2"/>
  <c r="AP87" i="2"/>
  <c r="AP83" i="2"/>
  <c r="AP100" i="2"/>
  <c r="AP99" i="2"/>
  <c r="AP103" i="2"/>
  <c r="AP102" i="2"/>
  <c r="AP107" i="2"/>
  <c r="AP109" i="2"/>
  <c r="AP106" i="2"/>
  <c r="AP112" i="2"/>
  <c r="AP114" i="2"/>
  <c r="AP116" i="2"/>
  <c r="AP118" i="2"/>
  <c r="AP111" i="2"/>
  <c r="AP121" i="2"/>
  <c r="AP125" i="2"/>
  <c r="AP129" i="2"/>
  <c r="AP133" i="2"/>
  <c r="AP135" i="2"/>
  <c r="AP137" i="2"/>
  <c r="AP120" i="2"/>
  <c r="AP142" i="2"/>
  <c r="AP146" i="2"/>
  <c r="AP149" i="2"/>
  <c r="AP141" i="2"/>
  <c r="AP157" i="2"/>
  <c r="AP160" i="2"/>
  <c r="AP156" i="2"/>
  <c r="AP164" i="2"/>
  <c r="AP166" i="2"/>
  <c r="AP169" i="2"/>
  <c r="AP172" i="2"/>
  <c r="AP174" i="2"/>
  <c r="AP163" i="2"/>
  <c r="AP179" i="2"/>
  <c r="AP183" i="2"/>
  <c r="AP185" i="2"/>
  <c r="AP187" i="2"/>
  <c r="AP189" i="2"/>
  <c r="AP191" i="2"/>
  <c r="AP199" i="2"/>
  <c r="AP176" i="2"/>
  <c r="AP202" i="2"/>
  <c r="AP201" i="2"/>
  <c r="AP208" i="2"/>
  <c r="AP207" i="2"/>
  <c r="AP212" i="2"/>
  <c r="AP214" i="2"/>
  <c r="AP253" i="2"/>
  <c r="AP257" i="2"/>
  <c r="AP237" i="2"/>
  <c r="AP217" i="2"/>
  <c r="AP265" i="2"/>
  <c r="AP279" i="2"/>
  <c r="AP211" i="2"/>
  <c r="AP282" i="2"/>
  <c r="AP281" i="2"/>
  <c r="AP285" i="2"/>
  <c r="AP287" i="2"/>
  <c r="AP289" i="2"/>
  <c r="AP291" i="2"/>
  <c r="AP293" i="2"/>
  <c r="AP295" i="2"/>
  <c r="AP297" i="2"/>
  <c r="AP284" i="2"/>
  <c r="AP205" i="2"/>
  <c r="AP204" i="2"/>
  <c r="AP299" i="2"/>
  <c r="AO11" i="2"/>
  <c r="AO13" i="2"/>
  <c r="AO17" i="2"/>
  <c r="AO34" i="2"/>
  <c r="AO36" i="2"/>
  <c r="AO42" i="2"/>
  <c r="AO44" i="2"/>
  <c r="AO10" i="2"/>
  <c r="AO47" i="2"/>
  <c r="AO49" i="2"/>
  <c r="AO51" i="2"/>
  <c r="AO53" i="2"/>
  <c r="AO55" i="2"/>
  <c r="AO46" i="2"/>
  <c r="AO58" i="2"/>
  <c r="AO60" i="2"/>
  <c r="AO57" i="2"/>
  <c r="AO63" i="2"/>
  <c r="AO65" i="2"/>
  <c r="AO62" i="2"/>
  <c r="AO68" i="2"/>
  <c r="AO70" i="2"/>
  <c r="AO73" i="2"/>
  <c r="AO75" i="2"/>
  <c r="AO77" i="2"/>
  <c r="AO79" i="2"/>
  <c r="AO81" i="2"/>
  <c r="AO67" i="2"/>
  <c r="AO84" i="2"/>
  <c r="AO87" i="2"/>
  <c r="AO83" i="2"/>
  <c r="AO100" i="2"/>
  <c r="AO99" i="2"/>
  <c r="AO103" i="2"/>
  <c r="AO102" i="2"/>
  <c r="AO107" i="2"/>
  <c r="AO109" i="2"/>
  <c r="AO106" i="2"/>
  <c r="AO112" i="2"/>
  <c r="AO114" i="2"/>
  <c r="AO116" i="2"/>
  <c r="AO118" i="2"/>
  <c r="AO111" i="2"/>
  <c r="AO121" i="2"/>
  <c r="AO125" i="2"/>
  <c r="AO129" i="2"/>
  <c r="AO133" i="2"/>
  <c r="AO135" i="2"/>
  <c r="AO137" i="2"/>
  <c r="AO120" i="2"/>
  <c r="AO142" i="2"/>
  <c r="AO146" i="2"/>
  <c r="AO149" i="2"/>
  <c r="AO141" i="2"/>
  <c r="AO157" i="2"/>
  <c r="AO160" i="2"/>
  <c r="AO156" i="2"/>
  <c r="AO164" i="2"/>
  <c r="AO166" i="2"/>
  <c r="AO169" i="2"/>
  <c r="AO172" i="2"/>
  <c r="AO174" i="2"/>
  <c r="AO163" i="2"/>
  <c r="AO179" i="2"/>
  <c r="AO183" i="2"/>
  <c r="AO185" i="2"/>
  <c r="AO187" i="2"/>
  <c r="AO189" i="2"/>
  <c r="AO191" i="2"/>
  <c r="AO199" i="2"/>
  <c r="AO176" i="2"/>
  <c r="AO202" i="2"/>
  <c r="AO201" i="2"/>
  <c r="AO208" i="2"/>
  <c r="AO207" i="2"/>
  <c r="AO212" i="2"/>
  <c r="AO214" i="2"/>
  <c r="AO237" i="2"/>
  <c r="AO217" i="2"/>
  <c r="AO265" i="2"/>
  <c r="AO279" i="2"/>
  <c r="AO211" i="2"/>
  <c r="AO282" i="2"/>
  <c r="AO281" i="2"/>
  <c r="AO285" i="2"/>
  <c r="AO287" i="2"/>
  <c r="AO289" i="2"/>
  <c r="AO291" i="2"/>
  <c r="AO293" i="2"/>
  <c r="AO295" i="2"/>
  <c r="AO297" i="2"/>
  <c r="AO284" i="2"/>
  <c r="AO205" i="2"/>
  <c r="AO204" i="2"/>
  <c r="AO299" i="2"/>
  <c r="AN11" i="2"/>
  <c r="AN13" i="2"/>
  <c r="AN17" i="2"/>
  <c r="AN34" i="2"/>
  <c r="AN36" i="2"/>
  <c r="AN42" i="2"/>
  <c r="AN45" i="2"/>
  <c r="AN44" i="2"/>
  <c r="AN10" i="2"/>
  <c r="AN47" i="2"/>
  <c r="AN49" i="2"/>
  <c r="AN51" i="2"/>
  <c r="AN53" i="2"/>
  <c r="AN55" i="2"/>
  <c r="AN46" i="2"/>
  <c r="AN58" i="2"/>
  <c r="AN60" i="2"/>
  <c r="AN57" i="2"/>
  <c r="AN63" i="2"/>
  <c r="AN65" i="2"/>
  <c r="AN62" i="2"/>
  <c r="AN68" i="2"/>
  <c r="AN70" i="2"/>
  <c r="AN73" i="2"/>
  <c r="AN75" i="2"/>
  <c r="AN77" i="2"/>
  <c r="AN79" i="2"/>
  <c r="AN81" i="2"/>
  <c r="AN67" i="2"/>
  <c r="AN84" i="2"/>
  <c r="AN87" i="2"/>
  <c r="AN83" i="2"/>
  <c r="AN100" i="2"/>
  <c r="AN99" i="2"/>
  <c r="AN103" i="2"/>
  <c r="AN102" i="2"/>
  <c r="AN107" i="2"/>
  <c r="AN109" i="2"/>
  <c r="AN106" i="2"/>
  <c r="AN112" i="2"/>
  <c r="AN114" i="2"/>
  <c r="AN116" i="2"/>
  <c r="AN118" i="2"/>
  <c r="AN111" i="2"/>
  <c r="AN121" i="2"/>
  <c r="AN125" i="2"/>
  <c r="AN129" i="2"/>
  <c r="AN133" i="2"/>
  <c r="AN135" i="2"/>
  <c r="AN137" i="2"/>
  <c r="AN120" i="2"/>
  <c r="AN142" i="2"/>
  <c r="AN146" i="2"/>
  <c r="AN149" i="2"/>
  <c r="AN141" i="2"/>
  <c r="AN157" i="2"/>
  <c r="AN160" i="2"/>
  <c r="AN156" i="2"/>
  <c r="AN164" i="2"/>
  <c r="AN166" i="2"/>
  <c r="AN169" i="2"/>
  <c r="AN172" i="2"/>
  <c r="AN174" i="2"/>
  <c r="AN163" i="2"/>
  <c r="AN179" i="2"/>
  <c r="AN183" i="2"/>
  <c r="AN185" i="2"/>
  <c r="AN187" i="2"/>
  <c r="AN189" i="2"/>
  <c r="AN191" i="2"/>
  <c r="AN199" i="2"/>
  <c r="AN176" i="2"/>
  <c r="AN202" i="2"/>
  <c r="AN201" i="2"/>
  <c r="AN208" i="2"/>
  <c r="AN207" i="2"/>
  <c r="AN212" i="2"/>
  <c r="AN214" i="2"/>
  <c r="AN237" i="2"/>
  <c r="AN217" i="2"/>
  <c r="AN265" i="2"/>
  <c r="AN279" i="2"/>
  <c r="AN211" i="2"/>
  <c r="AN282" i="2"/>
  <c r="AN281" i="2"/>
  <c r="AN285" i="2"/>
  <c r="AN287" i="2"/>
  <c r="AN289" i="2"/>
  <c r="AN291" i="2"/>
  <c r="AN293" i="2"/>
  <c r="AN295" i="2"/>
  <c r="AN297" i="2"/>
  <c r="AN284" i="2"/>
  <c r="AN205" i="2"/>
  <c r="AN204" i="2"/>
  <c r="AN299" i="2"/>
  <c r="AM11" i="2"/>
  <c r="AM13" i="2"/>
  <c r="AM17" i="2"/>
  <c r="AM35" i="2"/>
  <c r="AM34" i="2"/>
  <c r="AM40" i="2"/>
  <c r="AM36" i="2"/>
  <c r="AM42" i="2"/>
  <c r="AM44" i="2"/>
  <c r="AM10" i="2"/>
  <c r="AM47" i="2"/>
  <c r="AM49" i="2"/>
  <c r="AM51" i="2"/>
  <c r="AM53" i="2"/>
  <c r="AM55" i="2"/>
  <c r="AM46" i="2"/>
  <c r="AM58" i="2"/>
  <c r="AM60" i="2"/>
  <c r="AM57" i="2"/>
  <c r="AM63" i="2"/>
  <c r="AM65" i="2"/>
  <c r="AM62" i="2"/>
  <c r="AM68" i="2"/>
  <c r="AM70" i="2"/>
  <c r="AM73" i="2"/>
  <c r="AM75" i="2"/>
  <c r="AM78" i="2"/>
  <c r="AM77" i="2"/>
  <c r="AM79" i="2"/>
  <c r="AM81" i="2"/>
  <c r="AM67" i="2"/>
  <c r="AM84" i="2"/>
  <c r="AM87" i="2"/>
  <c r="AM83" i="2"/>
  <c r="AM100" i="2"/>
  <c r="AM99" i="2"/>
  <c r="AM103" i="2"/>
  <c r="AM102" i="2"/>
  <c r="AM107" i="2"/>
  <c r="AM109" i="2"/>
  <c r="AM106" i="2"/>
  <c r="AM112" i="2"/>
  <c r="AM114" i="2"/>
  <c r="AM116" i="2"/>
  <c r="AM118" i="2"/>
  <c r="AM111" i="2"/>
  <c r="AM121" i="2"/>
  <c r="AM125" i="2"/>
  <c r="AM129" i="2"/>
  <c r="AM133" i="2"/>
  <c r="AM135" i="2"/>
  <c r="AM137" i="2"/>
  <c r="AM120" i="2"/>
  <c r="AM142" i="2"/>
  <c r="AM146" i="2"/>
  <c r="AM149" i="2"/>
  <c r="AM141" i="2"/>
  <c r="AM157" i="2"/>
  <c r="AM160" i="2"/>
  <c r="AM156" i="2"/>
  <c r="AM164" i="2"/>
  <c r="AM166" i="2"/>
  <c r="AM169" i="2"/>
  <c r="AM172" i="2"/>
  <c r="AM174" i="2"/>
  <c r="AM163" i="2"/>
  <c r="AM179" i="2"/>
  <c r="AM183" i="2"/>
  <c r="AM185" i="2"/>
  <c r="AM187" i="2"/>
  <c r="AM189" i="2"/>
  <c r="AM191" i="2"/>
  <c r="AM199" i="2"/>
  <c r="AM176" i="2"/>
  <c r="AM202" i="2"/>
  <c r="AM201" i="2"/>
  <c r="AM208" i="2"/>
  <c r="AM207" i="2"/>
  <c r="AM212" i="2"/>
  <c r="AM214" i="2"/>
  <c r="AM241" i="2"/>
  <c r="AM242" i="2"/>
  <c r="AM244" i="2"/>
  <c r="AM253" i="2"/>
  <c r="AM262" i="2"/>
  <c r="AM237" i="2"/>
  <c r="AM217" i="2"/>
  <c r="AM265" i="2"/>
  <c r="AM279" i="2"/>
  <c r="AM211" i="2"/>
  <c r="AM282" i="2"/>
  <c r="AM281" i="2"/>
  <c r="AM285" i="2"/>
  <c r="AM288" i="2"/>
  <c r="AM287" i="2"/>
  <c r="AM289" i="2"/>
  <c r="AM291" i="2"/>
  <c r="AM293" i="2"/>
  <c r="AM295" i="2"/>
  <c r="AM297" i="2"/>
  <c r="AM284" i="2"/>
  <c r="AM205" i="2"/>
  <c r="AM204" i="2"/>
  <c r="AM299" i="2"/>
  <c r="AL11" i="2"/>
  <c r="AL13" i="2"/>
  <c r="AL21" i="2"/>
  <c r="AL17" i="2"/>
  <c r="AL34" i="2"/>
  <c r="AL36" i="2"/>
  <c r="AL42" i="2"/>
  <c r="AL44" i="2"/>
  <c r="AL10" i="2"/>
  <c r="AL47" i="2"/>
  <c r="AL49" i="2"/>
  <c r="AL51" i="2"/>
  <c r="AL53" i="2"/>
  <c r="AL55" i="2"/>
  <c r="AL46" i="2"/>
  <c r="AL58" i="2"/>
  <c r="AL60" i="2"/>
  <c r="AL57" i="2"/>
  <c r="AL63" i="2"/>
  <c r="AL65" i="2"/>
  <c r="AL62" i="2"/>
  <c r="AL68" i="2"/>
  <c r="AL70" i="2"/>
  <c r="AL73" i="2"/>
  <c r="AL76" i="2"/>
  <c r="AL75" i="2"/>
  <c r="AL78" i="2"/>
  <c r="AL77" i="2"/>
  <c r="AL79" i="2"/>
  <c r="AL81" i="2"/>
  <c r="AL67" i="2"/>
  <c r="AL85" i="2"/>
  <c r="AL84" i="2"/>
  <c r="AL87" i="2"/>
  <c r="AL83" i="2"/>
  <c r="AL100" i="2"/>
  <c r="AL99" i="2"/>
  <c r="AL103" i="2"/>
  <c r="AL102" i="2"/>
  <c r="AL107" i="2"/>
  <c r="AL109" i="2"/>
  <c r="AL106" i="2"/>
  <c r="AL112" i="2"/>
  <c r="AL114" i="2"/>
  <c r="AL116" i="2"/>
  <c r="AL118" i="2"/>
  <c r="AL111" i="2"/>
  <c r="AL121" i="2"/>
  <c r="AL125" i="2"/>
  <c r="AL129" i="2"/>
  <c r="AL133" i="2"/>
  <c r="AL135" i="2"/>
  <c r="AL137" i="2"/>
  <c r="AL120" i="2"/>
  <c r="AL142" i="2"/>
  <c r="AL146" i="2"/>
  <c r="AL149" i="2"/>
  <c r="AL141" i="2"/>
  <c r="AL157" i="2"/>
  <c r="AL160" i="2"/>
  <c r="AL156" i="2"/>
  <c r="AL164" i="2"/>
  <c r="AL166" i="2"/>
  <c r="AL169" i="2"/>
  <c r="AL172" i="2"/>
  <c r="AL174" i="2"/>
  <c r="AL163" i="2"/>
  <c r="AL179" i="2"/>
  <c r="AL183" i="2"/>
  <c r="AL185" i="2"/>
  <c r="AL187" i="2"/>
  <c r="AL189" i="2"/>
  <c r="AL191" i="2"/>
  <c r="AL199" i="2"/>
  <c r="AL176" i="2"/>
  <c r="AL202" i="2"/>
  <c r="AL201" i="2"/>
  <c r="AL208" i="2"/>
  <c r="AL207" i="2"/>
  <c r="AL212" i="2"/>
  <c r="AL214" i="2"/>
  <c r="AL241" i="2"/>
  <c r="AL244" i="2"/>
  <c r="AL247" i="2"/>
  <c r="AL248" i="2"/>
  <c r="AL253" i="2"/>
  <c r="AL237" i="2"/>
  <c r="AL217" i="2"/>
  <c r="AL265" i="2"/>
  <c r="AL279" i="2"/>
  <c r="AL211" i="2"/>
  <c r="AL282" i="2"/>
  <c r="AL281" i="2"/>
  <c r="AL285" i="2"/>
  <c r="AL288" i="2"/>
  <c r="AL287" i="2"/>
  <c r="AL289" i="2"/>
  <c r="AL291" i="2"/>
  <c r="AL293" i="2"/>
  <c r="AL295" i="2"/>
  <c r="AL297" i="2"/>
  <c r="AL284" i="2"/>
  <c r="AL205" i="2"/>
  <c r="AL204" i="2"/>
  <c r="AL299" i="2"/>
  <c r="AK11" i="2"/>
  <c r="AK13" i="2"/>
  <c r="AK17" i="2"/>
  <c r="AK34" i="2"/>
  <c r="AK36" i="2"/>
  <c r="AK42" i="2"/>
  <c r="AK44" i="2"/>
  <c r="AK10" i="2"/>
  <c r="AK47" i="2"/>
  <c r="AK49" i="2"/>
  <c r="AK51" i="2"/>
  <c r="AK53" i="2"/>
  <c r="AK55" i="2"/>
  <c r="AK46" i="2"/>
  <c r="AK58" i="2"/>
  <c r="AK60" i="2"/>
  <c r="AK57" i="2"/>
  <c r="AK63" i="2"/>
  <c r="AK65" i="2"/>
  <c r="AK62" i="2"/>
  <c r="AK69" i="2"/>
  <c r="AK68" i="2"/>
  <c r="AK70" i="2"/>
  <c r="AK73" i="2"/>
  <c r="AK75" i="2"/>
  <c r="AK78" i="2"/>
  <c r="AK77" i="2"/>
  <c r="AK79" i="2"/>
  <c r="AK81" i="2"/>
  <c r="AK67" i="2"/>
  <c r="AK84" i="2"/>
  <c r="AK87" i="2"/>
  <c r="AK83" i="2"/>
  <c r="AK100" i="2"/>
  <c r="AK99" i="2"/>
  <c r="AK103" i="2"/>
  <c r="AK102" i="2"/>
  <c r="AK107" i="2"/>
  <c r="AK109" i="2"/>
  <c r="AK106" i="2"/>
  <c r="AK112" i="2"/>
  <c r="AK114" i="2"/>
  <c r="AK116" i="2"/>
  <c r="AK118" i="2"/>
  <c r="AK111" i="2"/>
  <c r="AK121" i="2"/>
  <c r="AK125" i="2"/>
  <c r="AK129" i="2"/>
  <c r="AK133" i="2"/>
  <c r="AK135" i="2"/>
  <c r="AK137" i="2"/>
  <c r="AK120" i="2"/>
  <c r="AK142" i="2"/>
  <c r="AK146" i="2"/>
  <c r="AK149" i="2"/>
  <c r="AK141" i="2"/>
  <c r="AK157" i="2"/>
  <c r="AK160" i="2"/>
  <c r="AK156" i="2"/>
  <c r="AK164" i="2"/>
  <c r="AK166" i="2"/>
  <c r="AK169" i="2"/>
  <c r="AK172" i="2"/>
  <c r="AK174" i="2"/>
  <c r="AK163" i="2"/>
  <c r="AK179" i="2"/>
  <c r="AK183" i="2"/>
  <c r="AK185" i="2"/>
  <c r="AK187" i="2"/>
  <c r="AK189" i="2"/>
  <c r="AK191" i="2"/>
  <c r="AK199" i="2"/>
  <c r="AK176" i="2"/>
  <c r="AK202" i="2"/>
  <c r="AK201" i="2"/>
  <c r="AK208" i="2"/>
  <c r="AK207" i="2"/>
  <c r="AK212" i="2"/>
  <c r="AK214" i="2"/>
  <c r="AK237" i="2"/>
  <c r="AK217" i="2"/>
  <c r="AK265" i="2"/>
  <c r="AK279" i="2"/>
  <c r="AK211" i="2"/>
  <c r="AK282" i="2"/>
  <c r="AK281" i="2"/>
  <c r="AK285" i="2"/>
  <c r="AK288" i="2"/>
  <c r="AK287" i="2"/>
  <c r="AK289" i="2"/>
  <c r="AK291" i="2"/>
  <c r="AK293" i="2"/>
  <c r="AK295" i="2"/>
  <c r="AK297" i="2"/>
  <c r="AK284" i="2"/>
  <c r="AK205" i="2"/>
  <c r="AK204" i="2"/>
  <c r="AK299" i="2"/>
  <c r="AJ11" i="2"/>
  <c r="AJ13" i="2"/>
  <c r="AJ17" i="2"/>
  <c r="AJ34" i="2"/>
  <c r="AJ40" i="2"/>
  <c r="AJ36" i="2"/>
  <c r="AJ42" i="2"/>
  <c r="AJ44" i="2"/>
  <c r="AJ10" i="2"/>
  <c r="AJ47" i="2"/>
  <c r="AJ49" i="2"/>
  <c r="AJ51" i="2"/>
  <c r="AJ53" i="2"/>
  <c r="AJ55" i="2"/>
  <c r="AJ46" i="2"/>
  <c r="AJ58" i="2"/>
  <c r="AJ60" i="2"/>
  <c r="AJ57" i="2"/>
  <c r="AJ63" i="2"/>
  <c r="AJ65" i="2"/>
  <c r="AJ62" i="2"/>
  <c r="AJ69" i="2"/>
  <c r="AJ68" i="2"/>
  <c r="AJ70" i="2"/>
  <c r="AJ73" i="2"/>
  <c r="AJ75" i="2"/>
  <c r="AJ77" i="2"/>
  <c r="AJ79" i="2"/>
  <c r="AJ81" i="2"/>
  <c r="AJ67" i="2"/>
  <c r="AJ84" i="2"/>
  <c r="AJ87" i="2"/>
  <c r="AJ83" i="2"/>
  <c r="AJ100" i="2"/>
  <c r="AJ99" i="2"/>
  <c r="AJ103" i="2"/>
  <c r="AJ102" i="2"/>
  <c r="AJ107" i="2"/>
  <c r="AJ109" i="2"/>
  <c r="AJ106" i="2"/>
  <c r="AJ112" i="2"/>
  <c r="AJ114" i="2"/>
  <c r="AJ116" i="2"/>
  <c r="AJ118" i="2"/>
  <c r="AJ111" i="2"/>
  <c r="AJ121" i="2"/>
  <c r="AJ125" i="2"/>
  <c r="AJ129" i="2"/>
  <c r="AJ133" i="2"/>
  <c r="AJ135" i="2"/>
  <c r="AJ137" i="2"/>
  <c r="AJ120" i="2"/>
  <c r="AJ142" i="2"/>
  <c r="AJ146" i="2"/>
  <c r="AJ149" i="2"/>
  <c r="AJ141" i="2"/>
  <c r="AJ157" i="2"/>
  <c r="AJ160" i="2"/>
  <c r="AJ156" i="2"/>
  <c r="AJ164" i="2"/>
  <c r="AJ166" i="2"/>
  <c r="AJ169" i="2"/>
  <c r="AJ172" i="2"/>
  <c r="AJ174" i="2"/>
  <c r="AJ163" i="2"/>
  <c r="AJ179" i="2"/>
  <c r="AJ183" i="2"/>
  <c r="AJ185" i="2"/>
  <c r="AJ187" i="2"/>
  <c r="AJ189" i="2"/>
  <c r="AJ191" i="2"/>
  <c r="AJ199" i="2"/>
  <c r="AJ176" i="2"/>
  <c r="AJ202" i="2"/>
  <c r="AJ201" i="2"/>
  <c r="AJ208" i="2"/>
  <c r="AJ207" i="2"/>
  <c r="AJ212" i="2"/>
  <c r="AJ214" i="2"/>
  <c r="AJ241" i="2"/>
  <c r="AJ242" i="2"/>
  <c r="AJ244" i="2"/>
  <c r="AJ246" i="2"/>
  <c r="AJ249" i="2"/>
  <c r="AJ253" i="2"/>
  <c r="AJ237" i="2"/>
  <c r="AJ217" i="2"/>
  <c r="AJ265" i="2"/>
  <c r="AJ279" i="2"/>
  <c r="AJ211" i="2"/>
  <c r="AJ282" i="2"/>
  <c r="AJ281" i="2"/>
  <c r="AJ285" i="2"/>
  <c r="AJ288" i="2"/>
  <c r="AJ287" i="2"/>
  <c r="AJ289" i="2"/>
  <c r="AJ291" i="2"/>
  <c r="AJ293" i="2"/>
  <c r="AJ295" i="2"/>
  <c r="AJ297" i="2"/>
  <c r="AJ284" i="2"/>
  <c r="AJ205" i="2"/>
  <c r="AJ204" i="2"/>
  <c r="AJ299" i="2"/>
  <c r="AI11" i="2"/>
  <c r="AI13" i="2"/>
  <c r="AI17" i="2"/>
  <c r="AI34" i="2"/>
  <c r="AI36" i="2"/>
  <c r="AI42" i="2"/>
  <c r="AI44" i="2"/>
  <c r="AI10" i="2"/>
  <c r="AI47" i="2"/>
  <c r="AI49" i="2"/>
  <c r="AI51" i="2"/>
  <c r="AI53" i="2"/>
  <c r="AI55" i="2"/>
  <c r="AI46" i="2"/>
  <c r="AI58" i="2"/>
  <c r="AI60" i="2"/>
  <c r="AI57" i="2"/>
  <c r="AI63" i="2"/>
  <c r="AI65" i="2"/>
  <c r="AI62" i="2"/>
  <c r="AI69" i="2"/>
  <c r="AI68" i="2"/>
  <c r="AI70" i="2"/>
  <c r="AI73" i="2"/>
  <c r="AI75" i="2"/>
  <c r="AI77" i="2"/>
  <c r="AI79" i="2"/>
  <c r="AI81" i="2"/>
  <c r="AI67" i="2"/>
  <c r="AI84" i="2"/>
  <c r="AI87" i="2"/>
  <c r="AI83" i="2"/>
  <c r="AI100" i="2"/>
  <c r="AI99" i="2"/>
  <c r="AI103" i="2"/>
  <c r="AI102" i="2"/>
  <c r="AI107" i="2"/>
  <c r="AI109" i="2"/>
  <c r="AI106" i="2"/>
  <c r="AI112" i="2"/>
  <c r="AI114" i="2"/>
  <c r="AI116" i="2"/>
  <c r="AI118" i="2"/>
  <c r="AI111" i="2"/>
  <c r="AI121" i="2"/>
  <c r="AI127" i="2"/>
  <c r="AI125" i="2"/>
  <c r="AI129" i="2"/>
  <c r="AI133" i="2"/>
  <c r="AI135" i="2"/>
  <c r="AI137" i="2"/>
  <c r="AI120" i="2"/>
  <c r="AI142" i="2"/>
  <c r="AI146" i="2"/>
  <c r="AI149" i="2"/>
  <c r="AI141" i="2"/>
  <c r="AI157" i="2"/>
  <c r="AI160" i="2"/>
  <c r="AI156" i="2"/>
  <c r="AI164" i="2"/>
  <c r="AI166" i="2"/>
  <c r="AI169" i="2"/>
  <c r="AI172" i="2"/>
  <c r="AI174" i="2"/>
  <c r="AI163" i="2"/>
  <c r="AI179" i="2"/>
  <c r="AI183" i="2"/>
  <c r="AI185" i="2"/>
  <c r="AI187" i="2"/>
  <c r="AI189" i="2"/>
  <c r="AI191" i="2"/>
  <c r="AI199" i="2"/>
  <c r="AI176" i="2"/>
  <c r="AI202" i="2"/>
  <c r="AI201" i="2"/>
  <c r="AI208" i="2"/>
  <c r="AI207" i="2"/>
  <c r="AI212" i="2"/>
  <c r="AI214" i="2"/>
  <c r="AI253" i="2"/>
  <c r="AI237" i="2"/>
  <c r="AI217" i="2"/>
  <c r="AI265" i="2"/>
  <c r="AI279" i="2"/>
  <c r="AI211" i="2"/>
  <c r="AI282" i="2"/>
  <c r="AI281" i="2"/>
  <c r="AI285" i="2"/>
  <c r="AI287" i="2"/>
  <c r="AI289" i="2"/>
  <c r="AI291" i="2"/>
  <c r="AI293" i="2"/>
  <c r="AI295" i="2"/>
  <c r="AI297" i="2"/>
  <c r="AI284" i="2"/>
  <c r="AI205" i="2"/>
  <c r="AI204" i="2"/>
  <c r="AI299" i="2"/>
  <c r="AH11" i="2"/>
  <c r="AH13" i="2"/>
  <c r="AH17" i="2"/>
  <c r="AH34" i="2"/>
  <c r="AH40" i="2"/>
  <c r="AH36" i="2"/>
  <c r="AH42" i="2"/>
  <c r="AH44" i="2"/>
  <c r="AH10" i="2"/>
  <c r="AH47" i="2"/>
  <c r="AH49" i="2"/>
  <c r="AH51" i="2"/>
  <c r="AH53" i="2"/>
  <c r="AH55" i="2"/>
  <c r="AH46" i="2"/>
  <c r="AH58" i="2"/>
  <c r="AH60" i="2"/>
  <c r="AH57" i="2"/>
  <c r="AH64" i="2"/>
  <c r="AH63" i="2"/>
  <c r="AH65" i="2"/>
  <c r="AH62" i="2"/>
  <c r="AH68" i="2"/>
  <c r="AH70" i="2"/>
  <c r="AH73" i="2"/>
  <c r="AH75" i="2"/>
  <c r="AH77" i="2"/>
  <c r="AH79" i="2"/>
  <c r="AH81" i="2"/>
  <c r="AH67" i="2"/>
  <c r="AH84" i="2"/>
  <c r="AH87" i="2"/>
  <c r="AH83" i="2"/>
  <c r="AH100" i="2"/>
  <c r="AH99" i="2"/>
  <c r="AH103" i="2"/>
  <c r="AH102" i="2"/>
  <c r="AH107" i="2"/>
  <c r="AH109" i="2"/>
  <c r="AH106" i="2"/>
  <c r="AH112" i="2"/>
  <c r="AH114" i="2"/>
  <c r="AH116" i="2"/>
  <c r="AH118" i="2"/>
  <c r="AH111" i="2"/>
  <c r="AH121" i="2"/>
  <c r="AH125" i="2"/>
  <c r="AH129" i="2"/>
  <c r="AH133" i="2"/>
  <c r="AH135" i="2"/>
  <c r="AH137" i="2"/>
  <c r="AH120" i="2"/>
  <c r="AH142" i="2"/>
  <c r="AH146" i="2"/>
  <c r="AH149" i="2"/>
  <c r="AH141" i="2"/>
  <c r="AH157" i="2"/>
  <c r="AH160" i="2"/>
  <c r="AH156" i="2"/>
  <c r="AH164" i="2"/>
  <c r="AH166" i="2"/>
  <c r="AH169" i="2"/>
  <c r="AH172" i="2"/>
  <c r="AH174" i="2"/>
  <c r="AH163" i="2"/>
  <c r="AH179" i="2"/>
  <c r="AH183" i="2"/>
  <c r="AH185" i="2"/>
  <c r="AH187" i="2"/>
  <c r="AH189" i="2"/>
  <c r="AH191" i="2"/>
  <c r="AH199" i="2"/>
  <c r="AH176" i="2"/>
  <c r="AH202" i="2"/>
  <c r="AH201" i="2"/>
  <c r="AH208" i="2"/>
  <c r="AH207" i="2"/>
  <c r="AH212" i="2"/>
  <c r="AH214" i="2"/>
  <c r="AH240" i="2"/>
  <c r="AH241" i="2"/>
  <c r="AH242" i="2"/>
  <c r="AH243" i="2"/>
  <c r="AH246" i="2"/>
  <c r="AH247" i="2"/>
  <c r="AH249" i="2"/>
  <c r="AH253" i="2"/>
  <c r="AH257" i="2"/>
  <c r="AH262" i="2"/>
  <c r="AH237" i="2"/>
  <c r="AH217" i="2"/>
  <c r="AH265" i="2"/>
  <c r="AH279" i="2"/>
  <c r="AH211" i="2"/>
  <c r="AH282" i="2"/>
  <c r="AH281" i="2"/>
  <c r="AH285" i="2"/>
  <c r="AH288" i="2"/>
  <c r="AH287" i="2"/>
  <c r="AH289" i="2"/>
  <c r="AH291" i="2"/>
  <c r="AH293" i="2"/>
  <c r="AH295" i="2"/>
  <c r="AH297" i="2"/>
  <c r="AH284" i="2"/>
  <c r="AH205" i="2"/>
  <c r="AH204" i="2"/>
  <c r="AH299" i="2"/>
  <c r="AG11" i="2"/>
  <c r="AG13" i="2"/>
  <c r="AG17" i="2"/>
  <c r="AG34" i="2"/>
  <c r="AG40" i="2"/>
  <c r="AG36" i="2"/>
  <c r="AG42" i="2"/>
  <c r="AG45" i="2"/>
  <c r="AG44" i="2"/>
  <c r="AG10" i="2"/>
  <c r="AG47" i="2"/>
  <c r="AG49" i="2"/>
  <c r="AG51" i="2"/>
  <c r="AG53" i="2"/>
  <c r="AG55" i="2"/>
  <c r="AG46" i="2"/>
  <c r="AG58" i="2"/>
  <c r="AG60" i="2"/>
  <c r="AG57" i="2"/>
  <c r="AG63" i="2"/>
  <c r="AG65" i="2"/>
  <c r="AG62" i="2"/>
  <c r="AG68" i="2"/>
  <c r="AG70" i="2"/>
  <c r="AG73" i="2"/>
  <c r="AG75" i="2"/>
  <c r="AG77" i="2"/>
  <c r="AG79" i="2"/>
  <c r="AG81" i="2"/>
  <c r="AG67" i="2"/>
  <c r="AG84" i="2"/>
  <c r="AG87" i="2"/>
  <c r="AG83" i="2"/>
  <c r="AG100" i="2"/>
  <c r="AG99" i="2"/>
  <c r="AG103" i="2"/>
  <c r="AG102" i="2"/>
  <c r="AG107" i="2"/>
  <c r="AG109" i="2"/>
  <c r="AG106" i="2"/>
  <c r="AG112" i="2"/>
  <c r="AG114" i="2"/>
  <c r="AG116" i="2"/>
  <c r="AG118" i="2"/>
  <c r="AG111" i="2"/>
  <c r="AG121" i="2"/>
  <c r="AG125" i="2"/>
  <c r="AG129" i="2"/>
  <c r="AG133" i="2"/>
  <c r="AG135" i="2"/>
  <c r="AG137" i="2"/>
  <c r="AG120" i="2"/>
  <c r="AG142" i="2"/>
  <c r="AG146" i="2"/>
  <c r="AG149" i="2"/>
  <c r="AG141" i="2"/>
  <c r="AG157" i="2"/>
  <c r="AG160" i="2"/>
  <c r="AG156" i="2"/>
  <c r="AG164" i="2"/>
  <c r="AG166" i="2"/>
  <c r="AG169" i="2"/>
  <c r="AG172" i="2"/>
  <c r="AG174" i="2"/>
  <c r="AG163" i="2"/>
  <c r="AG179" i="2"/>
  <c r="AG183" i="2"/>
  <c r="AG185" i="2"/>
  <c r="AG187" i="2"/>
  <c r="AG189" i="2"/>
  <c r="AG191" i="2"/>
  <c r="AG199" i="2"/>
  <c r="AG176" i="2"/>
  <c r="AG202" i="2"/>
  <c r="AG201" i="2"/>
  <c r="AG208" i="2"/>
  <c r="AG207" i="2"/>
  <c r="AG212" i="2"/>
  <c r="AG214" i="2"/>
  <c r="AG240" i="2"/>
  <c r="AG241" i="2"/>
  <c r="AG244" i="2"/>
  <c r="AG246" i="2"/>
  <c r="AG247" i="2"/>
  <c r="AG249" i="2"/>
  <c r="AG251" i="2"/>
  <c r="AG253" i="2"/>
  <c r="AG256" i="2"/>
  <c r="AG237" i="2"/>
  <c r="AG217" i="2"/>
  <c r="AG265" i="2"/>
  <c r="AG279" i="2"/>
  <c r="AG211" i="2"/>
  <c r="AG282" i="2"/>
  <c r="AG281" i="2"/>
  <c r="AG285" i="2"/>
  <c r="AG288" i="2"/>
  <c r="AG287" i="2"/>
  <c r="AG289" i="2"/>
  <c r="AG291" i="2"/>
  <c r="AG293" i="2"/>
  <c r="AG295" i="2"/>
  <c r="AG297" i="2"/>
  <c r="AG284" i="2"/>
  <c r="AG205" i="2"/>
  <c r="AG204" i="2"/>
  <c r="AG299" i="2"/>
  <c r="AF11" i="2"/>
  <c r="AF13" i="2"/>
  <c r="AF17" i="2"/>
  <c r="AF34" i="2"/>
  <c r="AF36" i="2"/>
  <c r="AF42" i="2"/>
  <c r="AF44" i="2"/>
  <c r="AF10" i="2"/>
  <c r="AF47" i="2"/>
  <c r="AF49" i="2"/>
  <c r="AF51" i="2"/>
  <c r="AF53" i="2"/>
  <c r="AF55" i="2"/>
  <c r="AF46" i="2"/>
  <c r="AF58" i="2"/>
  <c r="AF60" i="2"/>
  <c r="AF57" i="2"/>
  <c r="AF63" i="2"/>
  <c r="AF65" i="2"/>
  <c r="AF62" i="2"/>
  <c r="AF68" i="2"/>
  <c r="AF70" i="2"/>
  <c r="AF73" i="2"/>
  <c r="AF75" i="2"/>
  <c r="AF77" i="2"/>
  <c r="AF79" i="2"/>
  <c r="AF81" i="2"/>
  <c r="AF67" i="2"/>
  <c r="AF84" i="2"/>
  <c r="AF98" i="2"/>
  <c r="AF87" i="2"/>
  <c r="AF83" i="2"/>
  <c r="AF100" i="2"/>
  <c r="AF99" i="2"/>
  <c r="AF103" i="2"/>
  <c r="AF102" i="2"/>
  <c r="AF107" i="2"/>
  <c r="AF109" i="2"/>
  <c r="AF106" i="2"/>
  <c r="AF112" i="2"/>
  <c r="AF114" i="2"/>
  <c r="AF116" i="2"/>
  <c r="AF118" i="2"/>
  <c r="AF111" i="2"/>
  <c r="AF121" i="2"/>
  <c r="AF125" i="2"/>
  <c r="AF129" i="2"/>
  <c r="AF133" i="2"/>
  <c r="AF135" i="2"/>
  <c r="AF137" i="2"/>
  <c r="AF120" i="2"/>
  <c r="AF142" i="2"/>
  <c r="AF146" i="2"/>
  <c r="AF149" i="2"/>
  <c r="AF141" i="2"/>
  <c r="AF157" i="2"/>
  <c r="AF160" i="2"/>
  <c r="AF156" i="2"/>
  <c r="AF164" i="2"/>
  <c r="AF166" i="2"/>
  <c r="AF169" i="2"/>
  <c r="AF172" i="2"/>
  <c r="AF174" i="2"/>
  <c r="AF163" i="2"/>
  <c r="AF179" i="2"/>
  <c r="AF183" i="2"/>
  <c r="AF185" i="2"/>
  <c r="AF187" i="2"/>
  <c r="AF189" i="2"/>
  <c r="AF191" i="2"/>
  <c r="AF199" i="2"/>
  <c r="AF176" i="2"/>
  <c r="AF202" i="2"/>
  <c r="AF201" i="2"/>
  <c r="AF208" i="2"/>
  <c r="AF207" i="2"/>
  <c r="AF212" i="2"/>
  <c r="AF214" i="2"/>
  <c r="AF237" i="2"/>
  <c r="AF217" i="2"/>
  <c r="AF265" i="2"/>
  <c r="AF279" i="2"/>
  <c r="AF211" i="2"/>
  <c r="AF282" i="2"/>
  <c r="AF281" i="2"/>
  <c r="AF285" i="2"/>
  <c r="AF287" i="2"/>
  <c r="AF289" i="2"/>
  <c r="AF291" i="2"/>
  <c r="AF293" i="2"/>
  <c r="AF295" i="2"/>
  <c r="AF297" i="2"/>
  <c r="AF284" i="2"/>
  <c r="AF205" i="2"/>
  <c r="AF204" i="2"/>
  <c r="AF299" i="2"/>
  <c r="AE12" i="2"/>
  <c r="AE11" i="2"/>
  <c r="AE14" i="2"/>
  <c r="AE15" i="2"/>
  <c r="AE16" i="2"/>
  <c r="AE13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17" i="2"/>
  <c r="AE35" i="2"/>
  <c r="AE34" i="2"/>
  <c r="AE37" i="2"/>
  <c r="AE38" i="2"/>
  <c r="AE39" i="2"/>
  <c r="AE40" i="2"/>
  <c r="AE41" i="2"/>
  <c r="AE36" i="2"/>
  <c r="AE43" i="2"/>
  <c r="AE42" i="2"/>
  <c r="AE45" i="2"/>
  <c r="AE44" i="2"/>
  <c r="AE10" i="2"/>
  <c r="AE48" i="2"/>
  <c r="AE47" i="2"/>
  <c r="AE50" i="2"/>
  <c r="AE49" i="2"/>
  <c r="AE52" i="2"/>
  <c r="AE51" i="2"/>
  <c r="AE54" i="2"/>
  <c r="AE53" i="2"/>
  <c r="AE56" i="2"/>
  <c r="AE55" i="2"/>
  <c r="AE46" i="2"/>
  <c r="AE59" i="2"/>
  <c r="AE58" i="2"/>
  <c r="AE61" i="2"/>
  <c r="AE60" i="2"/>
  <c r="AE57" i="2"/>
  <c r="AE64" i="2"/>
  <c r="AE63" i="2"/>
  <c r="AE66" i="2"/>
  <c r="AE65" i="2"/>
  <c r="AE62" i="2"/>
  <c r="AE69" i="2"/>
  <c r="AE68" i="2"/>
  <c r="AE71" i="2"/>
  <c r="AE72" i="2"/>
  <c r="AE70" i="2"/>
  <c r="AE74" i="2"/>
  <c r="AE73" i="2"/>
  <c r="AE76" i="2"/>
  <c r="AE75" i="2"/>
  <c r="AE78" i="2"/>
  <c r="AE77" i="2"/>
  <c r="AE80" i="2"/>
  <c r="AE79" i="2"/>
  <c r="AE82" i="2"/>
  <c r="AE81" i="2"/>
  <c r="AE67" i="2"/>
  <c r="AE85" i="2"/>
  <c r="AE86" i="2"/>
  <c r="AE84" i="2"/>
  <c r="AE88" i="2"/>
  <c r="AE89" i="2"/>
  <c r="AE90" i="2"/>
  <c r="AE91" i="2"/>
  <c r="AE92" i="2"/>
  <c r="AE93" i="2"/>
  <c r="AE94" i="2"/>
  <c r="AE95" i="2"/>
  <c r="AE96" i="2"/>
  <c r="AE97" i="2"/>
  <c r="AE98" i="2"/>
  <c r="AE87" i="2"/>
  <c r="AE83" i="2"/>
  <c r="AE101" i="2"/>
  <c r="AE100" i="2"/>
  <c r="AE99" i="2"/>
  <c r="AE104" i="2"/>
  <c r="AE105" i="2"/>
  <c r="AE103" i="2"/>
  <c r="AE102" i="2"/>
  <c r="AE108" i="2"/>
  <c r="AE107" i="2"/>
  <c r="AE110" i="2"/>
  <c r="AE109" i="2"/>
  <c r="AE106" i="2"/>
  <c r="AE113" i="2"/>
  <c r="AE112" i="2"/>
  <c r="AE115" i="2"/>
  <c r="AE114" i="2"/>
  <c r="AE117" i="2"/>
  <c r="AE116" i="2"/>
  <c r="AE119" i="2"/>
  <c r="AE118" i="2"/>
  <c r="AE111" i="2"/>
  <c r="AE122" i="2"/>
  <c r="AE123" i="2"/>
  <c r="AE124" i="2"/>
  <c r="AE121" i="2"/>
  <c r="AE126" i="2"/>
  <c r="AE127" i="2"/>
  <c r="AE128" i="2"/>
  <c r="AE125" i="2"/>
  <c r="AE130" i="2"/>
  <c r="AE131" i="2"/>
  <c r="AE132" i="2"/>
  <c r="AE129" i="2"/>
  <c r="AE134" i="2"/>
  <c r="AE133" i="2"/>
  <c r="AE136" i="2"/>
  <c r="AE135" i="2"/>
  <c r="AE138" i="2"/>
  <c r="AE139" i="2"/>
  <c r="AE140" i="2"/>
  <c r="AE137" i="2"/>
  <c r="AE120" i="2"/>
  <c r="AE143" i="2"/>
  <c r="AE144" i="2"/>
  <c r="AE145" i="2"/>
  <c r="AE142" i="2"/>
  <c r="AE147" i="2"/>
  <c r="AE148" i="2"/>
  <c r="AE146" i="2"/>
  <c r="AE150" i="2"/>
  <c r="AE151" i="2"/>
  <c r="AE152" i="2"/>
  <c r="AE153" i="2"/>
  <c r="AE154" i="2"/>
  <c r="AE155" i="2"/>
  <c r="AE149" i="2"/>
  <c r="AE141" i="2"/>
  <c r="AE158" i="2"/>
  <c r="AE159" i="2"/>
  <c r="AE157" i="2"/>
  <c r="AE161" i="2"/>
  <c r="AE162" i="2"/>
  <c r="AE160" i="2"/>
  <c r="AE156" i="2"/>
  <c r="AE165" i="2"/>
  <c r="AE164" i="2"/>
  <c r="AE167" i="2"/>
  <c r="AE168" i="2"/>
  <c r="AE166" i="2"/>
  <c r="AE170" i="2"/>
  <c r="AE171" i="2"/>
  <c r="AE169" i="2"/>
  <c r="AE173" i="2"/>
  <c r="AE172" i="2"/>
  <c r="AE175" i="2"/>
  <c r="AE174" i="2"/>
  <c r="AE163" i="2"/>
  <c r="AE177" i="2"/>
  <c r="AE178" i="2"/>
  <c r="AE180" i="2"/>
  <c r="AE181" i="2"/>
  <c r="AE182" i="2"/>
  <c r="AE179" i="2"/>
  <c r="AE184" i="2"/>
  <c r="AE183" i="2"/>
  <c r="AE186" i="2"/>
  <c r="AE185" i="2"/>
  <c r="AE188" i="2"/>
  <c r="AE187" i="2"/>
  <c r="AE190" i="2"/>
  <c r="AE189" i="2"/>
  <c r="AE192" i="2"/>
  <c r="AE193" i="2"/>
  <c r="AE194" i="2"/>
  <c r="AE195" i="2"/>
  <c r="AE196" i="2"/>
  <c r="AE197" i="2"/>
  <c r="AE198" i="2"/>
  <c r="AE191" i="2"/>
  <c r="AE200" i="2"/>
  <c r="AE199" i="2"/>
  <c r="AE176" i="2"/>
  <c r="AE203" i="2"/>
  <c r="AE202" i="2"/>
  <c r="AE201" i="2"/>
  <c r="AE209" i="2"/>
  <c r="AE210" i="2"/>
  <c r="AE208" i="2"/>
  <c r="AE207" i="2"/>
  <c r="AE213" i="2"/>
  <c r="AE212" i="2"/>
  <c r="AE215" i="2"/>
  <c r="AE216" i="2"/>
  <c r="AE214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37" i="2"/>
  <c r="AE217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65" i="2"/>
  <c r="AE280" i="2"/>
  <c r="AE279" i="2"/>
  <c r="AE211" i="2"/>
  <c r="AE283" i="2"/>
  <c r="AE282" i="2"/>
  <c r="AE281" i="2"/>
  <c r="AE286" i="2"/>
  <c r="AE285" i="2"/>
  <c r="AE288" i="2"/>
  <c r="AE287" i="2"/>
  <c r="AE290" i="2"/>
  <c r="AE289" i="2"/>
  <c r="AE292" i="2"/>
  <c r="AE291" i="2"/>
  <c r="AE294" i="2"/>
  <c r="AE293" i="2"/>
  <c r="AE296" i="2"/>
  <c r="AE295" i="2"/>
  <c r="AE298" i="2"/>
  <c r="AE297" i="2"/>
  <c r="AE284" i="2"/>
  <c r="AE206" i="2"/>
  <c r="AE205" i="2"/>
  <c r="AE204" i="2"/>
  <c r="AE299" i="2"/>
  <c r="AD11" i="2"/>
  <c r="AD13" i="2"/>
  <c r="AD17" i="2"/>
  <c r="AD34" i="2"/>
  <c r="AD41" i="2"/>
  <c r="AD36" i="2"/>
  <c r="AD42" i="2"/>
  <c r="AD44" i="2"/>
  <c r="AD10" i="2"/>
  <c r="AD47" i="2"/>
  <c r="AD49" i="2"/>
  <c r="AD51" i="2"/>
  <c r="AD53" i="2"/>
  <c r="AD55" i="2"/>
  <c r="AD46" i="2"/>
  <c r="AD58" i="2"/>
  <c r="AD60" i="2"/>
  <c r="AD57" i="2"/>
  <c r="AD64" i="2"/>
  <c r="AD63" i="2"/>
  <c r="AD65" i="2"/>
  <c r="AD62" i="2"/>
  <c r="AD69" i="2"/>
  <c r="AD68" i="2"/>
  <c r="AD70" i="2"/>
  <c r="AD73" i="2"/>
  <c r="AD75" i="2"/>
  <c r="AD77" i="2"/>
  <c r="AD79" i="2"/>
  <c r="AD81" i="2"/>
  <c r="AD67" i="2"/>
  <c r="AD84" i="2"/>
  <c r="AD87" i="2"/>
  <c r="AD83" i="2"/>
  <c r="AD100" i="2"/>
  <c r="AD99" i="2"/>
  <c r="AD103" i="2"/>
  <c r="AD102" i="2"/>
  <c r="AD107" i="2"/>
  <c r="AD109" i="2"/>
  <c r="AD106" i="2"/>
  <c r="AD112" i="2"/>
  <c r="AD114" i="2"/>
  <c r="AD116" i="2"/>
  <c r="AD118" i="2"/>
  <c r="AD111" i="2"/>
  <c r="AD121" i="2"/>
  <c r="AD125" i="2"/>
  <c r="AD129" i="2"/>
  <c r="AD133" i="2"/>
  <c r="AD135" i="2"/>
  <c r="AD137" i="2"/>
  <c r="AD120" i="2"/>
  <c r="AD142" i="2"/>
  <c r="AD146" i="2"/>
  <c r="AD149" i="2"/>
  <c r="AD141" i="2"/>
  <c r="AD157" i="2"/>
  <c r="AD160" i="2"/>
  <c r="AD156" i="2"/>
  <c r="AD164" i="2"/>
  <c r="AD166" i="2"/>
  <c r="AD169" i="2"/>
  <c r="AD172" i="2"/>
  <c r="AD174" i="2"/>
  <c r="AD163" i="2"/>
  <c r="AD179" i="2"/>
  <c r="AD183" i="2"/>
  <c r="AD185" i="2"/>
  <c r="AD187" i="2"/>
  <c r="AD189" i="2"/>
  <c r="AD191" i="2"/>
  <c r="AD199" i="2"/>
  <c r="AD176" i="2"/>
  <c r="AD202" i="2"/>
  <c r="AD201" i="2"/>
  <c r="AD208" i="2"/>
  <c r="AD207" i="2"/>
  <c r="AD212" i="2"/>
  <c r="AD214" i="2"/>
  <c r="AD241" i="2"/>
  <c r="AD242" i="2"/>
  <c r="AD243" i="2"/>
  <c r="AD244" i="2"/>
  <c r="AD246" i="2"/>
  <c r="AD247" i="2"/>
  <c r="AD248" i="2"/>
  <c r="AD249" i="2"/>
  <c r="AD250" i="2"/>
  <c r="AD254" i="2"/>
  <c r="AD259" i="2"/>
  <c r="AD261" i="2"/>
  <c r="AD264" i="2"/>
  <c r="AD237" i="2"/>
  <c r="AD217" i="2"/>
  <c r="AD265" i="2"/>
  <c r="AD279" i="2"/>
  <c r="AD211" i="2"/>
  <c r="AD282" i="2"/>
  <c r="AD281" i="2"/>
  <c r="AD285" i="2"/>
  <c r="AD288" i="2"/>
  <c r="AD287" i="2"/>
  <c r="AD289" i="2"/>
  <c r="AD291" i="2"/>
  <c r="AD293" i="2"/>
  <c r="AD295" i="2"/>
  <c r="AD297" i="2"/>
  <c r="AD284" i="2"/>
  <c r="AD205" i="2"/>
  <c r="AD204" i="2"/>
  <c r="AD299" i="2"/>
  <c r="AC11" i="2"/>
  <c r="AC13" i="2"/>
  <c r="AC17" i="2"/>
  <c r="AC34" i="2"/>
  <c r="AC36" i="2"/>
  <c r="AC42" i="2"/>
  <c r="AC44" i="2"/>
  <c r="AC10" i="2"/>
  <c r="AC47" i="2"/>
  <c r="AC49" i="2"/>
  <c r="AC51" i="2"/>
  <c r="AC53" i="2"/>
  <c r="AC55" i="2"/>
  <c r="AC46" i="2"/>
  <c r="AC58" i="2"/>
  <c r="AC60" i="2"/>
  <c r="AC57" i="2"/>
  <c r="AC63" i="2"/>
  <c r="AC65" i="2"/>
  <c r="AC62" i="2"/>
  <c r="AC68" i="2"/>
  <c r="AC70" i="2"/>
  <c r="AC73" i="2"/>
  <c r="AC75" i="2"/>
  <c r="AC77" i="2"/>
  <c r="AC79" i="2"/>
  <c r="AC81" i="2"/>
  <c r="AC67" i="2"/>
  <c r="AC84" i="2"/>
  <c r="AC87" i="2"/>
  <c r="AC83" i="2"/>
  <c r="AC100" i="2"/>
  <c r="AC99" i="2"/>
  <c r="AC103" i="2"/>
  <c r="AC102" i="2"/>
  <c r="AC107" i="2"/>
  <c r="AC109" i="2"/>
  <c r="AC106" i="2"/>
  <c r="AC112" i="2"/>
  <c r="AC114" i="2"/>
  <c r="AC116" i="2"/>
  <c r="AC118" i="2"/>
  <c r="AC111" i="2"/>
  <c r="AC121" i="2"/>
  <c r="AC125" i="2"/>
  <c r="AC129" i="2"/>
  <c r="AC133" i="2"/>
  <c r="AC135" i="2"/>
  <c r="AC137" i="2"/>
  <c r="AC120" i="2"/>
  <c r="AC142" i="2"/>
  <c r="AC146" i="2"/>
  <c r="AC149" i="2"/>
  <c r="AC141" i="2"/>
  <c r="AC157" i="2"/>
  <c r="AC160" i="2"/>
  <c r="AC156" i="2"/>
  <c r="AC164" i="2"/>
  <c r="AC166" i="2"/>
  <c r="AC169" i="2"/>
  <c r="AC172" i="2"/>
  <c r="AC174" i="2"/>
  <c r="AC163" i="2"/>
  <c r="AC179" i="2"/>
  <c r="AC183" i="2"/>
  <c r="AC185" i="2"/>
  <c r="AC187" i="2"/>
  <c r="AC189" i="2"/>
  <c r="AC191" i="2"/>
  <c r="AC199" i="2"/>
  <c r="AC176" i="2"/>
  <c r="AC202" i="2"/>
  <c r="AC201" i="2"/>
  <c r="AC208" i="2"/>
  <c r="AC207" i="2"/>
  <c r="AC212" i="2"/>
  <c r="AC214" i="2"/>
  <c r="AC237" i="2"/>
  <c r="AC217" i="2"/>
  <c r="AC265" i="2"/>
  <c r="AC279" i="2"/>
  <c r="AC211" i="2"/>
  <c r="AC282" i="2"/>
  <c r="AC281" i="2"/>
  <c r="AC285" i="2"/>
  <c r="AC287" i="2"/>
  <c r="AC289" i="2"/>
  <c r="AC291" i="2"/>
  <c r="AC293" i="2"/>
  <c r="AC295" i="2"/>
  <c r="AC297" i="2"/>
  <c r="AC284" i="2"/>
  <c r="AC205" i="2"/>
  <c r="AC204" i="2"/>
  <c r="AC299" i="2"/>
  <c r="AB11" i="2"/>
  <c r="AB13" i="2"/>
  <c r="AB17" i="2"/>
  <c r="AB34" i="2"/>
  <c r="AB40" i="2"/>
  <c r="AB36" i="2"/>
  <c r="AB42" i="2"/>
  <c r="AB44" i="2"/>
  <c r="AB10" i="2"/>
  <c r="AB47" i="2"/>
  <c r="AB49" i="2"/>
  <c r="AB51" i="2"/>
  <c r="AB53" i="2"/>
  <c r="AB55" i="2"/>
  <c r="AB46" i="2"/>
  <c r="AB58" i="2"/>
  <c r="AB60" i="2"/>
  <c r="AB57" i="2"/>
  <c r="AB63" i="2"/>
  <c r="AB65" i="2"/>
  <c r="AB62" i="2"/>
  <c r="AB68" i="2"/>
  <c r="AB70" i="2"/>
  <c r="AB73" i="2"/>
  <c r="AB75" i="2"/>
  <c r="AB77" i="2"/>
  <c r="AB79" i="2"/>
  <c r="AB81" i="2"/>
  <c r="AB67" i="2"/>
  <c r="AB84" i="2"/>
  <c r="AB87" i="2"/>
  <c r="AB83" i="2"/>
  <c r="AB100" i="2"/>
  <c r="AB99" i="2"/>
  <c r="AB103" i="2"/>
  <c r="AB102" i="2"/>
  <c r="AB107" i="2"/>
  <c r="AB109" i="2"/>
  <c r="AB106" i="2"/>
  <c r="AB112" i="2"/>
  <c r="AB114" i="2"/>
  <c r="AB116" i="2"/>
  <c r="AB118" i="2"/>
  <c r="AB111" i="2"/>
  <c r="AB121" i="2"/>
  <c r="AB125" i="2"/>
  <c r="AB129" i="2"/>
  <c r="AB133" i="2"/>
  <c r="AB135" i="2"/>
  <c r="AB137" i="2"/>
  <c r="AB120" i="2"/>
  <c r="AB142" i="2"/>
  <c r="AB146" i="2"/>
  <c r="AB149" i="2"/>
  <c r="AB141" i="2"/>
  <c r="AB157" i="2"/>
  <c r="AB160" i="2"/>
  <c r="AB156" i="2"/>
  <c r="AB164" i="2"/>
  <c r="AB166" i="2"/>
  <c r="AB169" i="2"/>
  <c r="AB172" i="2"/>
  <c r="AB174" i="2"/>
  <c r="AB163" i="2"/>
  <c r="AB179" i="2"/>
  <c r="AB183" i="2"/>
  <c r="AB185" i="2"/>
  <c r="AB187" i="2"/>
  <c r="AB189" i="2"/>
  <c r="AB191" i="2"/>
  <c r="AB199" i="2"/>
  <c r="AB176" i="2"/>
  <c r="AB202" i="2"/>
  <c r="AB201" i="2"/>
  <c r="AB208" i="2"/>
  <c r="AB207" i="2"/>
  <c r="AB212" i="2"/>
  <c r="AB214" i="2"/>
  <c r="AB247" i="2"/>
  <c r="AB237" i="2"/>
  <c r="AB217" i="2"/>
  <c r="AB265" i="2"/>
  <c r="AB279" i="2"/>
  <c r="AB211" i="2"/>
  <c r="AB282" i="2"/>
  <c r="AB281" i="2"/>
  <c r="AB285" i="2"/>
  <c r="AB287" i="2"/>
  <c r="AB289" i="2"/>
  <c r="AB291" i="2"/>
  <c r="AB293" i="2"/>
  <c r="AB295" i="2"/>
  <c r="AB297" i="2"/>
  <c r="AB284" i="2"/>
  <c r="AB205" i="2"/>
  <c r="AB204" i="2"/>
  <c r="AB299" i="2"/>
  <c r="AA11" i="2"/>
  <c r="AA13" i="2"/>
  <c r="AA30" i="2"/>
  <c r="AA17" i="2"/>
  <c r="AA34" i="2"/>
  <c r="AA40" i="2"/>
  <c r="AA36" i="2"/>
  <c r="AA42" i="2"/>
  <c r="AA44" i="2"/>
  <c r="AA10" i="2"/>
  <c r="AA47" i="2"/>
  <c r="AA49" i="2"/>
  <c r="AA51" i="2"/>
  <c r="AA53" i="2"/>
  <c r="AA55" i="2"/>
  <c r="AA46" i="2"/>
  <c r="AA58" i="2"/>
  <c r="AA60" i="2"/>
  <c r="AA57" i="2"/>
  <c r="AA63" i="2"/>
  <c r="AA65" i="2"/>
  <c r="AA62" i="2"/>
  <c r="AA68" i="2"/>
  <c r="AA70" i="2"/>
  <c r="AA73" i="2"/>
  <c r="AA75" i="2"/>
  <c r="AA77" i="2"/>
  <c r="AA79" i="2"/>
  <c r="AA81" i="2"/>
  <c r="AA67" i="2"/>
  <c r="AA84" i="2"/>
  <c r="AA87" i="2"/>
  <c r="AA83" i="2"/>
  <c r="AA100" i="2"/>
  <c r="AA99" i="2"/>
  <c r="AA103" i="2"/>
  <c r="AA102" i="2"/>
  <c r="AA107" i="2"/>
  <c r="AA109" i="2"/>
  <c r="AA106" i="2"/>
  <c r="AA112" i="2"/>
  <c r="AA114" i="2"/>
  <c r="AA116" i="2"/>
  <c r="AA118" i="2"/>
  <c r="AA111" i="2"/>
  <c r="AA121" i="2"/>
  <c r="AA125" i="2"/>
  <c r="AA129" i="2"/>
  <c r="AA133" i="2"/>
  <c r="AA135" i="2"/>
  <c r="AA137" i="2"/>
  <c r="AA120" i="2"/>
  <c r="AA142" i="2"/>
  <c r="AA146" i="2"/>
  <c r="AA149" i="2"/>
  <c r="AA141" i="2"/>
  <c r="AA157" i="2"/>
  <c r="AA160" i="2"/>
  <c r="AA156" i="2"/>
  <c r="AA164" i="2"/>
  <c r="AA168" i="2"/>
  <c r="AA166" i="2"/>
  <c r="AA169" i="2"/>
  <c r="AA172" i="2"/>
  <c r="AA174" i="2"/>
  <c r="AA163" i="2"/>
  <c r="AA179" i="2"/>
  <c r="AA183" i="2"/>
  <c r="AA185" i="2"/>
  <c r="AA187" i="2"/>
  <c r="AA189" i="2"/>
  <c r="AA191" i="2"/>
  <c r="AA199" i="2"/>
  <c r="AA176" i="2"/>
  <c r="AA202" i="2"/>
  <c r="AA201" i="2"/>
  <c r="AA208" i="2"/>
  <c r="AA207" i="2"/>
  <c r="AA212" i="2"/>
  <c r="AA214" i="2"/>
  <c r="AA242" i="2"/>
  <c r="AA244" i="2"/>
  <c r="AA253" i="2"/>
  <c r="AA257" i="2"/>
  <c r="AA237" i="2"/>
  <c r="AA217" i="2"/>
  <c r="AA265" i="2"/>
  <c r="AA279" i="2"/>
  <c r="AA211" i="2"/>
  <c r="AA282" i="2"/>
  <c r="AA281" i="2"/>
  <c r="AA285" i="2"/>
  <c r="AA288" i="2"/>
  <c r="AA287" i="2"/>
  <c r="AA289" i="2"/>
  <c r="AA291" i="2"/>
  <c r="AA293" i="2"/>
  <c r="AA295" i="2"/>
  <c r="AA297" i="2"/>
  <c r="AA284" i="2"/>
  <c r="AA205" i="2"/>
  <c r="AA204" i="2"/>
  <c r="AA299" i="2"/>
  <c r="Z11" i="2"/>
  <c r="Z13" i="2"/>
  <c r="Z17" i="2"/>
  <c r="Z34" i="2"/>
  <c r="Z36" i="2"/>
  <c r="Z42" i="2"/>
  <c r="Z44" i="2"/>
  <c r="Z10" i="2"/>
  <c r="Z47" i="2"/>
  <c r="Z49" i="2"/>
  <c r="Z51" i="2"/>
  <c r="Z53" i="2"/>
  <c r="Z55" i="2"/>
  <c r="Z46" i="2"/>
  <c r="Z58" i="2"/>
  <c r="Z60" i="2"/>
  <c r="Z57" i="2"/>
  <c r="Z63" i="2"/>
  <c r="Z65" i="2"/>
  <c r="Z62" i="2"/>
  <c r="Z69" i="2"/>
  <c r="Z68" i="2"/>
  <c r="Z70" i="2"/>
  <c r="Z73" i="2"/>
  <c r="Z75" i="2"/>
  <c r="Z77" i="2"/>
  <c r="Z79" i="2"/>
  <c r="Z81" i="2"/>
  <c r="Z67" i="2"/>
  <c r="Z84" i="2"/>
  <c r="Z87" i="2"/>
  <c r="Z83" i="2"/>
  <c r="Z100" i="2"/>
  <c r="Z99" i="2"/>
  <c r="Z103" i="2"/>
  <c r="Z102" i="2"/>
  <c r="Z107" i="2"/>
  <c r="Z109" i="2"/>
  <c r="Z106" i="2"/>
  <c r="Z112" i="2"/>
  <c r="Z114" i="2"/>
  <c r="Z116" i="2"/>
  <c r="Z118" i="2"/>
  <c r="Z111" i="2"/>
  <c r="Z121" i="2"/>
  <c r="Z125" i="2"/>
  <c r="Z129" i="2"/>
  <c r="Z133" i="2"/>
  <c r="Z135" i="2"/>
  <c r="Z137" i="2"/>
  <c r="Z120" i="2"/>
  <c r="Z142" i="2"/>
  <c r="Z146" i="2"/>
  <c r="Z149" i="2"/>
  <c r="Z141" i="2"/>
  <c r="Z157" i="2"/>
  <c r="Z160" i="2"/>
  <c r="Z156" i="2"/>
  <c r="Z164" i="2"/>
  <c r="Z166" i="2"/>
  <c r="Z169" i="2"/>
  <c r="Z172" i="2"/>
  <c r="Z174" i="2"/>
  <c r="Z163" i="2"/>
  <c r="Z179" i="2"/>
  <c r="Z183" i="2"/>
  <c r="Z185" i="2"/>
  <c r="Z187" i="2"/>
  <c r="Z189" i="2"/>
  <c r="Z191" i="2"/>
  <c r="Z199" i="2"/>
  <c r="Z176" i="2"/>
  <c r="Z202" i="2"/>
  <c r="Z201" i="2"/>
  <c r="Z208" i="2"/>
  <c r="Z207" i="2"/>
  <c r="Z212" i="2"/>
  <c r="Z214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3" i="2"/>
  <c r="Z254" i="2"/>
  <c r="Z255" i="2"/>
  <c r="Z256" i="2"/>
  <c r="Z257" i="2"/>
  <c r="Z258" i="2"/>
  <c r="Z259" i="2"/>
  <c r="Z260" i="2"/>
  <c r="Z261" i="2"/>
  <c r="Z262" i="2"/>
  <c r="Z264" i="2"/>
  <c r="Z237" i="2"/>
  <c r="Z217" i="2"/>
  <c r="Z265" i="2"/>
  <c r="Z279" i="2"/>
  <c r="Z211" i="2"/>
  <c r="Z282" i="2"/>
  <c r="Z281" i="2"/>
  <c r="Z285" i="2"/>
  <c r="Z288" i="2"/>
  <c r="Z287" i="2"/>
  <c r="Z289" i="2"/>
  <c r="Z291" i="2"/>
  <c r="Z293" i="2"/>
  <c r="Z295" i="2"/>
  <c r="Z297" i="2"/>
  <c r="Z284" i="2"/>
  <c r="Z205" i="2"/>
  <c r="Z204" i="2"/>
  <c r="Z299" i="2"/>
  <c r="Y11" i="2"/>
  <c r="Y15" i="2"/>
  <c r="Y13" i="2"/>
  <c r="Y17" i="2"/>
  <c r="Y34" i="2"/>
  <c r="Y36" i="2"/>
  <c r="Y42" i="2"/>
  <c r="Y44" i="2"/>
  <c r="Y10" i="2"/>
  <c r="Y47" i="2"/>
  <c r="Y49" i="2"/>
  <c r="Y51" i="2"/>
  <c r="Y54" i="2"/>
  <c r="Y53" i="2"/>
  <c r="Y55" i="2"/>
  <c r="Y46" i="2"/>
  <c r="Y58" i="2"/>
  <c r="Y60" i="2"/>
  <c r="Y57" i="2"/>
  <c r="Y63" i="2"/>
  <c r="Y65" i="2"/>
  <c r="Y62" i="2"/>
  <c r="Y69" i="2"/>
  <c r="Y68" i="2"/>
  <c r="Y70" i="2"/>
  <c r="Y73" i="2"/>
  <c r="Y75" i="2"/>
  <c r="Y77" i="2"/>
  <c r="Y79" i="2"/>
  <c r="Y81" i="2"/>
  <c r="Y67" i="2"/>
  <c r="Y84" i="2"/>
  <c r="Y87" i="2"/>
  <c r="Y83" i="2"/>
  <c r="Y100" i="2"/>
  <c r="Y99" i="2"/>
  <c r="Y103" i="2"/>
  <c r="Y102" i="2"/>
  <c r="Y107" i="2"/>
  <c r="Y109" i="2"/>
  <c r="Y106" i="2"/>
  <c r="Y112" i="2"/>
  <c r="Y114" i="2"/>
  <c r="Y116" i="2"/>
  <c r="Y118" i="2"/>
  <c r="Y111" i="2"/>
  <c r="Y121" i="2"/>
  <c r="Y125" i="2"/>
  <c r="Y129" i="2"/>
  <c r="Y133" i="2"/>
  <c r="Y135" i="2"/>
  <c r="Y137" i="2"/>
  <c r="Y120" i="2"/>
  <c r="Y142" i="2"/>
  <c r="Y146" i="2"/>
  <c r="Y149" i="2"/>
  <c r="Y141" i="2"/>
  <c r="Y157" i="2"/>
  <c r="Y160" i="2"/>
  <c r="Y156" i="2"/>
  <c r="Y164" i="2"/>
  <c r="Y166" i="2"/>
  <c r="Y169" i="2"/>
  <c r="Y172" i="2"/>
  <c r="Y174" i="2"/>
  <c r="Y163" i="2"/>
  <c r="Y179" i="2"/>
  <c r="Y183" i="2"/>
  <c r="Y185" i="2"/>
  <c r="Y187" i="2"/>
  <c r="Y189" i="2"/>
  <c r="Y191" i="2"/>
  <c r="Y199" i="2"/>
  <c r="Y176" i="2"/>
  <c r="Y202" i="2"/>
  <c r="Y201" i="2"/>
  <c r="Y208" i="2"/>
  <c r="Y207" i="2"/>
  <c r="Y212" i="2"/>
  <c r="Y216" i="2"/>
  <c r="Y214" i="2"/>
  <c r="Y240" i="2"/>
  <c r="Y241" i="2"/>
  <c r="Y242" i="2"/>
  <c r="Y243" i="2"/>
  <c r="Y244" i="2"/>
  <c r="Y245" i="2"/>
  <c r="Y246" i="2"/>
  <c r="Y247" i="2"/>
  <c r="Y248" i="2"/>
  <c r="Y249" i="2"/>
  <c r="Y251" i="2"/>
  <c r="Y253" i="2"/>
  <c r="Y254" i="2"/>
  <c r="Y255" i="2"/>
  <c r="Y256" i="2"/>
  <c r="Y257" i="2"/>
  <c r="Y258" i="2"/>
  <c r="Y259" i="2"/>
  <c r="Y260" i="2"/>
  <c r="Y261" i="2"/>
  <c r="Y262" i="2"/>
  <c r="Y237" i="2"/>
  <c r="Y217" i="2"/>
  <c r="Y265" i="2"/>
  <c r="Y279" i="2"/>
  <c r="Y211" i="2"/>
  <c r="Y282" i="2"/>
  <c r="Y281" i="2"/>
  <c r="Y285" i="2"/>
  <c r="Y288" i="2"/>
  <c r="Y287" i="2"/>
  <c r="Y289" i="2"/>
  <c r="Y291" i="2"/>
  <c r="Y293" i="2"/>
  <c r="Y295" i="2"/>
  <c r="Y297" i="2"/>
  <c r="Y284" i="2"/>
  <c r="Y205" i="2"/>
  <c r="Y204" i="2"/>
  <c r="Y299" i="2"/>
  <c r="X11" i="2"/>
  <c r="X13" i="2"/>
  <c r="X17" i="2"/>
  <c r="X34" i="2"/>
  <c r="X36" i="2"/>
  <c r="X42" i="2"/>
  <c r="X44" i="2"/>
  <c r="X10" i="2"/>
  <c r="X47" i="2"/>
  <c r="X49" i="2"/>
  <c r="X51" i="2"/>
  <c r="X53" i="2"/>
  <c r="X55" i="2"/>
  <c r="X46" i="2"/>
  <c r="X58" i="2"/>
  <c r="X60" i="2"/>
  <c r="X57" i="2"/>
  <c r="X63" i="2"/>
  <c r="X65" i="2"/>
  <c r="X62" i="2"/>
  <c r="X69" i="2"/>
  <c r="X68" i="2"/>
  <c r="X70" i="2"/>
  <c r="X73" i="2"/>
  <c r="X75" i="2"/>
  <c r="X77" i="2"/>
  <c r="X79" i="2"/>
  <c r="X81" i="2"/>
  <c r="X67" i="2"/>
  <c r="X84" i="2"/>
  <c r="X87" i="2"/>
  <c r="X83" i="2"/>
  <c r="X100" i="2"/>
  <c r="X99" i="2"/>
  <c r="X103" i="2"/>
  <c r="X102" i="2"/>
  <c r="X107" i="2"/>
  <c r="X109" i="2"/>
  <c r="X106" i="2"/>
  <c r="X112" i="2"/>
  <c r="X114" i="2"/>
  <c r="X116" i="2"/>
  <c r="X118" i="2"/>
  <c r="X111" i="2"/>
  <c r="X121" i="2"/>
  <c r="X125" i="2"/>
  <c r="X132" i="2"/>
  <c r="X129" i="2"/>
  <c r="X133" i="2"/>
  <c r="X135" i="2"/>
  <c r="X137" i="2"/>
  <c r="X120" i="2"/>
  <c r="X143" i="2"/>
  <c r="X142" i="2"/>
  <c r="X146" i="2"/>
  <c r="X150" i="2"/>
  <c r="X149" i="2"/>
  <c r="X141" i="2"/>
  <c r="X157" i="2"/>
  <c r="X160" i="2"/>
  <c r="X156" i="2"/>
  <c r="X164" i="2"/>
  <c r="X166" i="2"/>
  <c r="X169" i="2"/>
  <c r="X172" i="2"/>
  <c r="X174" i="2"/>
  <c r="X163" i="2"/>
  <c r="X179" i="2"/>
  <c r="X183" i="2"/>
  <c r="X185" i="2"/>
  <c r="X187" i="2"/>
  <c r="X189" i="2"/>
  <c r="X191" i="2"/>
  <c r="X199" i="2"/>
  <c r="X176" i="2"/>
  <c r="X202" i="2"/>
  <c r="X201" i="2"/>
  <c r="X208" i="2"/>
  <c r="X207" i="2"/>
  <c r="X212" i="2"/>
  <c r="X216" i="2"/>
  <c r="X214" i="2"/>
  <c r="X240" i="2"/>
  <c r="X241" i="2"/>
  <c r="X242" i="2"/>
  <c r="X243" i="2"/>
  <c r="X244" i="2"/>
  <c r="X245" i="2"/>
  <c r="X246" i="2"/>
  <c r="X248" i="2"/>
  <c r="X249" i="2"/>
  <c r="X251" i="2"/>
  <c r="X253" i="2"/>
  <c r="X254" i="2"/>
  <c r="X256" i="2"/>
  <c r="X257" i="2"/>
  <c r="X258" i="2"/>
  <c r="X259" i="2"/>
  <c r="X260" i="2"/>
  <c r="X261" i="2"/>
  <c r="X262" i="2"/>
  <c r="X237" i="2"/>
  <c r="X217" i="2"/>
  <c r="X265" i="2"/>
  <c r="X279" i="2"/>
  <c r="X211" i="2"/>
  <c r="X282" i="2"/>
  <c r="X281" i="2"/>
  <c r="X285" i="2"/>
  <c r="X288" i="2"/>
  <c r="X287" i="2"/>
  <c r="X289" i="2"/>
  <c r="X291" i="2"/>
  <c r="X293" i="2"/>
  <c r="X295" i="2"/>
  <c r="X297" i="2"/>
  <c r="X284" i="2"/>
  <c r="X205" i="2"/>
  <c r="X204" i="2"/>
  <c r="X299" i="2"/>
  <c r="W11" i="2"/>
  <c r="W15" i="2"/>
  <c r="W13" i="2"/>
  <c r="W17" i="2"/>
  <c r="W34" i="2"/>
  <c r="W40" i="2"/>
  <c r="W36" i="2"/>
  <c r="W42" i="2"/>
  <c r="W45" i="2"/>
  <c r="W44" i="2"/>
  <c r="W10" i="2"/>
  <c r="W47" i="2"/>
  <c r="W49" i="2"/>
  <c r="W51" i="2"/>
  <c r="W53" i="2"/>
  <c r="W55" i="2"/>
  <c r="W46" i="2"/>
  <c r="W58" i="2"/>
  <c r="W60" i="2"/>
  <c r="W57" i="2"/>
  <c r="W63" i="2"/>
  <c r="W65" i="2"/>
  <c r="W62" i="2"/>
  <c r="W68" i="2"/>
  <c r="W70" i="2"/>
  <c r="W73" i="2"/>
  <c r="W75" i="2"/>
  <c r="W77" i="2"/>
  <c r="W79" i="2"/>
  <c r="W81" i="2"/>
  <c r="W67" i="2"/>
  <c r="W84" i="2"/>
  <c r="W87" i="2"/>
  <c r="W83" i="2"/>
  <c r="W100" i="2"/>
  <c r="W99" i="2"/>
  <c r="W103" i="2"/>
  <c r="W102" i="2"/>
  <c r="W107" i="2"/>
  <c r="W109" i="2"/>
  <c r="W106" i="2"/>
  <c r="W112" i="2"/>
  <c r="W114" i="2"/>
  <c r="W116" i="2"/>
  <c r="W118" i="2"/>
  <c r="W111" i="2"/>
  <c r="W121" i="2"/>
  <c r="W125" i="2"/>
  <c r="W129" i="2"/>
  <c r="W133" i="2"/>
  <c r="W135" i="2"/>
  <c r="W137" i="2"/>
  <c r="W120" i="2"/>
  <c r="W142" i="2"/>
  <c r="W146" i="2"/>
  <c r="W149" i="2"/>
  <c r="W141" i="2"/>
  <c r="W157" i="2"/>
  <c r="W160" i="2"/>
  <c r="W156" i="2"/>
  <c r="W164" i="2"/>
  <c r="W166" i="2"/>
  <c r="W169" i="2"/>
  <c r="W172" i="2"/>
  <c r="W174" i="2"/>
  <c r="W163" i="2"/>
  <c r="W179" i="2"/>
  <c r="W183" i="2"/>
  <c r="W185" i="2"/>
  <c r="W187" i="2"/>
  <c r="W189" i="2"/>
  <c r="W191" i="2"/>
  <c r="W199" i="2"/>
  <c r="W176" i="2"/>
  <c r="W202" i="2"/>
  <c r="W201" i="2"/>
  <c r="W208" i="2"/>
  <c r="W207" i="2"/>
  <c r="W212" i="2"/>
  <c r="W214" i="2"/>
  <c r="W241" i="2"/>
  <c r="W244" i="2"/>
  <c r="W246" i="2"/>
  <c r="W250" i="2"/>
  <c r="W253" i="2"/>
  <c r="W256" i="2"/>
  <c r="W237" i="2"/>
  <c r="W217" i="2"/>
  <c r="W265" i="2"/>
  <c r="W279" i="2"/>
  <c r="W211" i="2"/>
  <c r="W282" i="2"/>
  <c r="W281" i="2"/>
  <c r="W285" i="2"/>
  <c r="W288" i="2"/>
  <c r="W287" i="2"/>
  <c r="W289" i="2"/>
  <c r="W291" i="2"/>
  <c r="W293" i="2"/>
  <c r="W295" i="2"/>
  <c r="W297" i="2"/>
  <c r="W284" i="2"/>
  <c r="W205" i="2"/>
  <c r="W204" i="2"/>
  <c r="W299" i="2"/>
  <c r="V12" i="2"/>
  <c r="V11" i="2"/>
  <c r="V14" i="2"/>
  <c r="V15" i="2"/>
  <c r="V16" i="2"/>
  <c r="V13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17" i="2"/>
  <c r="V35" i="2"/>
  <c r="V34" i="2"/>
  <c r="V37" i="2"/>
  <c r="V38" i="2"/>
  <c r="V39" i="2"/>
  <c r="V40" i="2"/>
  <c r="V41" i="2"/>
  <c r="V36" i="2"/>
  <c r="V43" i="2"/>
  <c r="V42" i="2"/>
  <c r="V45" i="2"/>
  <c r="V44" i="2"/>
  <c r="V10" i="2"/>
  <c r="V48" i="2"/>
  <c r="V47" i="2"/>
  <c r="V50" i="2"/>
  <c r="V49" i="2"/>
  <c r="V52" i="2"/>
  <c r="V51" i="2"/>
  <c r="V54" i="2"/>
  <c r="V53" i="2"/>
  <c r="V56" i="2"/>
  <c r="V55" i="2"/>
  <c r="V46" i="2"/>
  <c r="V59" i="2"/>
  <c r="V58" i="2"/>
  <c r="V61" i="2"/>
  <c r="V60" i="2"/>
  <c r="V57" i="2"/>
  <c r="V64" i="2"/>
  <c r="V63" i="2"/>
  <c r="V66" i="2"/>
  <c r="V65" i="2"/>
  <c r="V62" i="2"/>
  <c r="V69" i="2"/>
  <c r="V68" i="2"/>
  <c r="V71" i="2"/>
  <c r="V72" i="2"/>
  <c r="V70" i="2"/>
  <c r="V74" i="2"/>
  <c r="V73" i="2"/>
  <c r="V76" i="2"/>
  <c r="V75" i="2"/>
  <c r="V78" i="2"/>
  <c r="V77" i="2"/>
  <c r="V80" i="2"/>
  <c r="V79" i="2"/>
  <c r="V82" i="2"/>
  <c r="V81" i="2"/>
  <c r="V67" i="2"/>
  <c r="V85" i="2"/>
  <c r="V86" i="2"/>
  <c r="V84" i="2"/>
  <c r="V88" i="2"/>
  <c r="V89" i="2"/>
  <c r="V90" i="2"/>
  <c r="V91" i="2"/>
  <c r="V92" i="2"/>
  <c r="V93" i="2"/>
  <c r="V94" i="2"/>
  <c r="V95" i="2"/>
  <c r="V96" i="2"/>
  <c r="V97" i="2"/>
  <c r="V98" i="2"/>
  <c r="V87" i="2"/>
  <c r="V83" i="2"/>
  <c r="V101" i="2"/>
  <c r="V100" i="2"/>
  <c r="V99" i="2"/>
  <c r="V104" i="2"/>
  <c r="V105" i="2"/>
  <c r="V103" i="2"/>
  <c r="V102" i="2"/>
  <c r="V108" i="2"/>
  <c r="V107" i="2"/>
  <c r="V110" i="2"/>
  <c r="V109" i="2"/>
  <c r="V106" i="2"/>
  <c r="V113" i="2"/>
  <c r="V112" i="2"/>
  <c r="V115" i="2"/>
  <c r="V114" i="2"/>
  <c r="V117" i="2"/>
  <c r="V116" i="2"/>
  <c r="V119" i="2"/>
  <c r="V118" i="2"/>
  <c r="V111" i="2"/>
  <c r="V122" i="2"/>
  <c r="V123" i="2"/>
  <c r="V124" i="2"/>
  <c r="V121" i="2"/>
  <c r="V126" i="2"/>
  <c r="V127" i="2"/>
  <c r="V128" i="2"/>
  <c r="V125" i="2"/>
  <c r="V130" i="2"/>
  <c r="V131" i="2"/>
  <c r="V132" i="2"/>
  <c r="V129" i="2"/>
  <c r="V134" i="2"/>
  <c r="V133" i="2"/>
  <c r="V136" i="2"/>
  <c r="V135" i="2"/>
  <c r="V138" i="2"/>
  <c r="V139" i="2"/>
  <c r="V140" i="2"/>
  <c r="V137" i="2"/>
  <c r="V120" i="2"/>
  <c r="V143" i="2"/>
  <c r="V144" i="2"/>
  <c r="V145" i="2"/>
  <c r="V142" i="2"/>
  <c r="V147" i="2"/>
  <c r="V148" i="2"/>
  <c r="V146" i="2"/>
  <c r="V150" i="2"/>
  <c r="V151" i="2"/>
  <c r="V152" i="2"/>
  <c r="V153" i="2"/>
  <c r="V154" i="2"/>
  <c r="V155" i="2"/>
  <c r="V149" i="2"/>
  <c r="V141" i="2"/>
  <c r="V158" i="2"/>
  <c r="V159" i="2"/>
  <c r="V157" i="2"/>
  <c r="V161" i="2"/>
  <c r="V162" i="2"/>
  <c r="V160" i="2"/>
  <c r="V156" i="2"/>
  <c r="V165" i="2"/>
  <c r="V164" i="2"/>
  <c r="V167" i="2"/>
  <c r="V168" i="2"/>
  <c r="V166" i="2"/>
  <c r="V170" i="2"/>
  <c r="V171" i="2"/>
  <c r="V169" i="2"/>
  <c r="V173" i="2"/>
  <c r="V172" i="2"/>
  <c r="V175" i="2"/>
  <c r="V174" i="2"/>
  <c r="V163" i="2"/>
  <c r="V177" i="2"/>
  <c r="V178" i="2"/>
  <c r="V180" i="2"/>
  <c r="V181" i="2"/>
  <c r="V182" i="2"/>
  <c r="V179" i="2"/>
  <c r="V184" i="2"/>
  <c r="V183" i="2"/>
  <c r="V186" i="2"/>
  <c r="V185" i="2"/>
  <c r="V188" i="2"/>
  <c r="V187" i="2"/>
  <c r="V190" i="2"/>
  <c r="V189" i="2"/>
  <c r="V192" i="2"/>
  <c r="V193" i="2"/>
  <c r="V194" i="2"/>
  <c r="V195" i="2"/>
  <c r="V196" i="2"/>
  <c r="V197" i="2"/>
  <c r="V198" i="2"/>
  <c r="V191" i="2"/>
  <c r="V200" i="2"/>
  <c r="V199" i="2"/>
  <c r="V176" i="2"/>
  <c r="V203" i="2"/>
  <c r="V202" i="2"/>
  <c r="V201" i="2"/>
  <c r="V209" i="2"/>
  <c r="V210" i="2"/>
  <c r="V208" i="2"/>
  <c r="V207" i="2"/>
  <c r="V213" i="2"/>
  <c r="V212" i="2"/>
  <c r="V215" i="2"/>
  <c r="V216" i="2"/>
  <c r="V214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37" i="2"/>
  <c r="V217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65" i="2"/>
  <c r="V280" i="2"/>
  <c r="V279" i="2"/>
  <c r="V211" i="2"/>
  <c r="V283" i="2"/>
  <c r="V282" i="2"/>
  <c r="V281" i="2"/>
  <c r="V286" i="2"/>
  <c r="V285" i="2"/>
  <c r="V288" i="2"/>
  <c r="V287" i="2"/>
  <c r="V290" i="2"/>
  <c r="V289" i="2"/>
  <c r="V292" i="2"/>
  <c r="V291" i="2"/>
  <c r="V294" i="2"/>
  <c r="V293" i="2"/>
  <c r="V296" i="2"/>
  <c r="V295" i="2"/>
  <c r="V298" i="2"/>
  <c r="V297" i="2"/>
  <c r="V284" i="2"/>
  <c r="V206" i="2"/>
  <c r="V205" i="2"/>
  <c r="V204" i="2"/>
  <c r="V299" i="2"/>
  <c r="U11" i="2"/>
  <c r="U13" i="2"/>
  <c r="U21" i="2"/>
  <c r="U17" i="2"/>
  <c r="U34" i="2"/>
  <c r="U36" i="2"/>
  <c r="U43" i="2"/>
  <c r="U42" i="2"/>
  <c r="U44" i="2"/>
  <c r="U10" i="2"/>
  <c r="U47" i="2"/>
  <c r="U49" i="2"/>
  <c r="U51" i="2"/>
  <c r="U53" i="2"/>
  <c r="U55" i="2"/>
  <c r="U46" i="2"/>
  <c r="U58" i="2"/>
  <c r="U60" i="2"/>
  <c r="U57" i="2"/>
  <c r="U63" i="2"/>
  <c r="U65" i="2"/>
  <c r="U62" i="2"/>
  <c r="U68" i="2"/>
  <c r="U70" i="2"/>
  <c r="U73" i="2"/>
  <c r="U75" i="2"/>
  <c r="U77" i="2"/>
  <c r="U79" i="2"/>
  <c r="U81" i="2"/>
  <c r="U67" i="2"/>
  <c r="U84" i="2"/>
  <c r="U87" i="2"/>
  <c r="U83" i="2"/>
  <c r="U100" i="2"/>
  <c r="U99" i="2"/>
  <c r="U103" i="2"/>
  <c r="U102" i="2"/>
  <c r="U107" i="2"/>
  <c r="U109" i="2"/>
  <c r="U106" i="2"/>
  <c r="U112" i="2"/>
  <c r="U114" i="2"/>
  <c r="U116" i="2"/>
  <c r="U118" i="2"/>
  <c r="U111" i="2"/>
  <c r="U121" i="2"/>
  <c r="U125" i="2"/>
  <c r="U129" i="2"/>
  <c r="U133" i="2"/>
  <c r="U135" i="2"/>
  <c r="U137" i="2"/>
  <c r="U120" i="2"/>
  <c r="U142" i="2"/>
  <c r="U146" i="2"/>
  <c r="U149" i="2"/>
  <c r="U141" i="2"/>
  <c r="U157" i="2"/>
  <c r="U160" i="2"/>
  <c r="U156" i="2"/>
  <c r="U164" i="2"/>
  <c r="U166" i="2"/>
  <c r="U169" i="2"/>
  <c r="U172" i="2"/>
  <c r="U174" i="2"/>
  <c r="U163" i="2"/>
  <c r="U179" i="2"/>
  <c r="U183" i="2"/>
  <c r="U185" i="2"/>
  <c r="U187" i="2"/>
  <c r="U189" i="2"/>
  <c r="U191" i="2"/>
  <c r="U199" i="2"/>
  <c r="U176" i="2"/>
  <c r="U202" i="2"/>
  <c r="U201" i="2"/>
  <c r="U208" i="2"/>
  <c r="U207" i="2"/>
  <c r="U212" i="2"/>
  <c r="U214" i="2"/>
  <c r="U241" i="2"/>
  <c r="U242" i="2"/>
  <c r="U244" i="2"/>
  <c r="U246" i="2"/>
  <c r="U248" i="2"/>
  <c r="U253" i="2"/>
  <c r="U256" i="2"/>
  <c r="U237" i="2"/>
  <c r="U217" i="2"/>
  <c r="U265" i="2"/>
  <c r="U279" i="2"/>
  <c r="U211" i="2"/>
  <c r="U282" i="2"/>
  <c r="U281" i="2"/>
  <c r="U285" i="2"/>
  <c r="U288" i="2"/>
  <c r="U287" i="2"/>
  <c r="U289" i="2"/>
  <c r="U291" i="2"/>
  <c r="U293" i="2"/>
  <c r="U295" i="2"/>
  <c r="U297" i="2"/>
  <c r="U284" i="2"/>
  <c r="U205" i="2"/>
  <c r="U204" i="2"/>
  <c r="U299" i="2"/>
  <c r="T11" i="2"/>
  <c r="T13" i="2"/>
  <c r="T17" i="2"/>
  <c r="T34" i="2"/>
  <c r="T36" i="2"/>
  <c r="T42" i="2"/>
  <c r="T44" i="2"/>
  <c r="T10" i="2"/>
  <c r="T47" i="2"/>
  <c r="T49" i="2"/>
  <c r="T51" i="2"/>
  <c r="T53" i="2"/>
  <c r="T55" i="2"/>
  <c r="T46" i="2"/>
  <c r="T58" i="2"/>
  <c r="T60" i="2"/>
  <c r="T57" i="2"/>
  <c r="T63" i="2"/>
  <c r="T65" i="2"/>
  <c r="T62" i="2"/>
  <c r="T68" i="2"/>
  <c r="T70" i="2"/>
  <c r="T73" i="2"/>
  <c r="T75" i="2"/>
  <c r="T77" i="2"/>
  <c r="T79" i="2"/>
  <c r="T81" i="2"/>
  <c r="T67" i="2"/>
  <c r="T84" i="2"/>
  <c r="T87" i="2"/>
  <c r="T83" i="2"/>
  <c r="T100" i="2"/>
  <c r="T99" i="2"/>
  <c r="T103" i="2"/>
  <c r="T102" i="2"/>
  <c r="T107" i="2"/>
  <c r="T109" i="2"/>
  <c r="T106" i="2"/>
  <c r="T112" i="2"/>
  <c r="T114" i="2"/>
  <c r="T116" i="2"/>
  <c r="T118" i="2"/>
  <c r="T111" i="2"/>
  <c r="T121" i="2"/>
  <c r="T125" i="2"/>
  <c r="T129" i="2"/>
  <c r="T133" i="2"/>
  <c r="T135" i="2"/>
  <c r="T137" i="2"/>
  <c r="T120" i="2"/>
  <c r="T142" i="2"/>
  <c r="T146" i="2"/>
  <c r="T149" i="2"/>
  <c r="T141" i="2"/>
  <c r="T157" i="2"/>
  <c r="T160" i="2"/>
  <c r="T156" i="2"/>
  <c r="T164" i="2"/>
  <c r="T166" i="2"/>
  <c r="T169" i="2"/>
  <c r="T172" i="2"/>
  <c r="T174" i="2"/>
  <c r="T163" i="2"/>
  <c r="T179" i="2"/>
  <c r="T183" i="2"/>
  <c r="T185" i="2"/>
  <c r="T187" i="2"/>
  <c r="T189" i="2"/>
  <c r="T191" i="2"/>
  <c r="T199" i="2"/>
  <c r="T176" i="2"/>
  <c r="T202" i="2"/>
  <c r="T201" i="2"/>
  <c r="T208" i="2"/>
  <c r="T207" i="2"/>
  <c r="T212" i="2"/>
  <c r="T214" i="2"/>
  <c r="T247" i="2"/>
  <c r="T237" i="2"/>
  <c r="T217" i="2"/>
  <c r="T265" i="2"/>
  <c r="T279" i="2"/>
  <c r="T211" i="2"/>
  <c r="T282" i="2"/>
  <c r="T281" i="2"/>
  <c r="T285" i="2"/>
  <c r="T288" i="2"/>
  <c r="T287" i="2"/>
  <c r="T289" i="2"/>
  <c r="T291" i="2"/>
  <c r="T293" i="2"/>
  <c r="T295" i="2"/>
  <c r="T297" i="2"/>
  <c r="T284" i="2"/>
  <c r="T205" i="2"/>
  <c r="T204" i="2"/>
  <c r="T299" i="2"/>
  <c r="S11" i="2"/>
  <c r="S16" i="2"/>
  <c r="S13" i="2"/>
  <c r="S17" i="2"/>
  <c r="S34" i="2"/>
  <c r="S37" i="2"/>
  <c r="S36" i="2"/>
  <c r="S42" i="2"/>
  <c r="S44" i="2"/>
  <c r="S10" i="2"/>
  <c r="S47" i="2"/>
  <c r="S49" i="2"/>
  <c r="S51" i="2"/>
  <c r="S53" i="2"/>
  <c r="S55" i="2"/>
  <c r="S46" i="2"/>
  <c r="S58" i="2"/>
  <c r="S60" i="2"/>
  <c r="S57" i="2"/>
  <c r="S63" i="2"/>
  <c r="S65" i="2"/>
  <c r="S62" i="2"/>
  <c r="S68" i="2"/>
  <c r="S70" i="2"/>
  <c r="S73" i="2"/>
  <c r="S75" i="2"/>
  <c r="S77" i="2"/>
  <c r="S79" i="2"/>
  <c r="S81" i="2"/>
  <c r="S67" i="2"/>
  <c r="S84" i="2"/>
  <c r="S87" i="2"/>
  <c r="S83" i="2"/>
  <c r="S100" i="2"/>
  <c r="S99" i="2"/>
  <c r="S103" i="2"/>
  <c r="S102" i="2"/>
  <c r="S107" i="2"/>
  <c r="S109" i="2"/>
  <c r="S106" i="2"/>
  <c r="S112" i="2"/>
  <c r="S114" i="2"/>
  <c r="S116" i="2"/>
  <c r="S118" i="2"/>
  <c r="S111" i="2"/>
  <c r="S121" i="2"/>
  <c r="S125" i="2"/>
  <c r="S129" i="2"/>
  <c r="S133" i="2"/>
  <c r="S135" i="2"/>
  <c r="S137" i="2"/>
  <c r="S120" i="2"/>
  <c r="S142" i="2"/>
  <c r="S146" i="2"/>
  <c r="S149" i="2"/>
  <c r="S141" i="2"/>
  <c r="S157" i="2"/>
  <c r="S160" i="2"/>
  <c r="S156" i="2"/>
  <c r="S164" i="2"/>
  <c r="S166" i="2"/>
  <c r="S169" i="2"/>
  <c r="S172" i="2"/>
  <c r="S174" i="2"/>
  <c r="S163" i="2"/>
  <c r="S179" i="2"/>
  <c r="S183" i="2"/>
  <c r="S185" i="2"/>
  <c r="S187" i="2"/>
  <c r="S189" i="2"/>
  <c r="S191" i="2"/>
  <c r="S199" i="2"/>
  <c r="S176" i="2"/>
  <c r="S202" i="2"/>
  <c r="S201" i="2"/>
  <c r="S208" i="2"/>
  <c r="S207" i="2"/>
  <c r="S212" i="2"/>
  <c r="S214" i="2"/>
  <c r="S253" i="2"/>
  <c r="S237" i="2"/>
  <c r="S217" i="2"/>
  <c r="S265" i="2"/>
  <c r="S279" i="2"/>
  <c r="S211" i="2"/>
  <c r="S282" i="2"/>
  <c r="S281" i="2"/>
  <c r="S285" i="2"/>
  <c r="S288" i="2"/>
  <c r="S287" i="2"/>
  <c r="S289" i="2"/>
  <c r="S291" i="2"/>
  <c r="S293" i="2"/>
  <c r="S295" i="2"/>
  <c r="S297" i="2"/>
  <c r="S284" i="2"/>
  <c r="S205" i="2"/>
  <c r="S204" i="2"/>
  <c r="S299" i="2"/>
  <c r="R11" i="2"/>
  <c r="R13" i="2"/>
  <c r="R17" i="2"/>
  <c r="R34" i="2"/>
  <c r="R36" i="2"/>
  <c r="R42" i="2"/>
  <c r="R44" i="2"/>
  <c r="R10" i="2"/>
  <c r="R47" i="2"/>
  <c r="R49" i="2"/>
  <c r="R51" i="2"/>
  <c r="R53" i="2"/>
  <c r="R55" i="2"/>
  <c r="R46" i="2"/>
  <c r="R58" i="2"/>
  <c r="R60" i="2"/>
  <c r="R57" i="2"/>
  <c r="R63" i="2"/>
  <c r="R65" i="2"/>
  <c r="R62" i="2"/>
  <c r="R68" i="2"/>
  <c r="R70" i="2"/>
  <c r="R73" i="2"/>
  <c r="R75" i="2"/>
  <c r="R77" i="2"/>
  <c r="R79" i="2"/>
  <c r="R81" i="2"/>
  <c r="R67" i="2"/>
  <c r="R84" i="2"/>
  <c r="R87" i="2"/>
  <c r="R83" i="2"/>
  <c r="R100" i="2"/>
  <c r="R99" i="2"/>
  <c r="R103" i="2"/>
  <c r="R102" i="2"/>
  <c r="R107" i="2"/>
  <c r="R109" i="2"/>
  <c r="R106" i="2"/>
  <c r="R112" i="2"/>
  <c r="R114" i="2"/>
  <c r="R116" i="2"/>
  <c r="R118" i="2"/>
  <c r="R111" i="2"/>
  <c r="R121" i="2"/>
  <c r="R125" i="2"/>
  <c r="R131" i="2"/>
  <c r="R129" i="2"/>
  <c r="R133" i="2"/>
  <c r="R135" i="2"/>
  <c r="R137" i="2"/>
  <c r="R120" i="2"/>
  <c r="R142" i="2"/>
  <c r="R146" i="2"/>
  <c r="R149" i="2"/>
  <c r="R141" i="2"/>
  <c r="R157" i="2"/>
  <c r="R160" i="2"/>
  <c r="R156" i="2"/>
  <c r="R164" i="2"/>
  <c r="R166" i="2"/>
  <c r="R169" i="2"/>
  <c r="R172" i="2"/>
  <c r="R174" i="2"/>
  <c r="R163" i="2"/>
  <c r="R179" i="2"/>
  <c r="R183" i="2"/>
  <c r="R185" i="2"/>
  <c r="R187" i="2"/>
  <c r="R189" i="2"/>
  <c r="R191" i="2"/>
  <c r="R199" i="2"/>
  <c r="R176" i="2"/>
  <c r="R202" i="2"/>
  <c r="R201" i="2"/>
  <c r="R208" i="2"/>
  <c r="R207" i="2"/>
  <c r="R212" i="2"/>
  <c r="R214" i="2"/>
  <c r="R244" i="2"/>
  <c r="R253" i="2"/>
  <c r="R263" i="2"/>
  <c r="R237" i="2"/>
  <c r="R217" i="2"/>
  <c r="R265" i="2"/>
  <c r="R279" i="2"/>
  <c r="R211" i="2"/>
  <c r="R282" i="2"/>
  <c r="R281" i="2"/>
  <c r="R285" i="2"/>
  <c r="R288" i="2"/>
  <c r="R287" i="2"/>
  <c r="R289" i="2"/>
  <c r="R291" i="2"/>
  <c r="R293" i="2"/>
  <c r="R295" i="2"/>
  <c r="R297" i="2"/>
  <c r="R284" i="2"/>
  <c r="R205" i="2"/>
  <c r="R204" i="2"/>
  <c r="R299" i="2"/>
  <c r="Q12" i="2"/>
  <c r="Q11" i="2"/>
  <c r="Q14" i="2"/>
  <c r="Q15" i="2"/>
  <c r="Q16" i="2"/>
  <c r="Q13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17" i="2"/>
  <c r="Q35" i="2"/>
  <c r="Q34" i="2"/>
  <c r="Q37" i="2"/>
  <c r="Q38" i="2"/>
  <c r="Q39" i="2"/>
  <c r="Q40" i="2"/>
  <c r="Q41" i="2"/>
  <c r="Q36" i="2"/>
  <c r="Q43" i="2"/>
  <c r="Q42" i="2"/>
  <c r="Q45" i="2"/>
  <c r="Q44" i="2"/>
  <c r="Q10" i="2"/>
  <c r="Q48" i="2"/>
  <c r="Q47" i="2"/>
  <c r="Q50" i="2"/>
  <c r="Q49" i="2"/>
  <c r="Q52" i="2"/>
  <c r="Q51" i="2"/>
  <c r="Q54" i="2"/>
  <c r="Q53" i="2"/>
  <c r="Q56" i="2"/>
  <c r="Q55" i="2"/>
  <c r="Q46" i="2"/>
  <c r="Q59" i="2"/>
  <c r="Q58" i="2"/>
  <c r="Q61" i="2"/>
  <c r="Q60" i="2"/>
  <c r="Q57" i="2"/>
  <c r="Q64" i="2"/>
  <c r="Q63" i="2"/>
  <c r="Q66" i="2"/>
  <c r="Q65" i="2"/>
  <c r="Q62" i="2"/>
  <c r="Q69" i="2"/>
  <c r="Q68" i="2"/>
  <c r="Q71" i="2"/>
  <c r="Q72" i="2"/>
  <c r="Q70" i="2"/>
  <c r="Q74" i="2"/>
  <c r="Q73" i="2"/>
  <c r="Q76" i="2"/>
  <c r="Q75" i="2"/>
  <c r="Q78" i="2"/>
  <c r="Q77" i="2"/>
  <c r="Q80" i="2"/>
  <c r="Q79" i="2"/>
  <c r="Q82" i="2"/>
  <c r="Q81" i="2"/>
  <c r="Q67" i="2"/>
  <c r="Q85" i="2"/>
  <c r="Q86" i="2"/>
  <c r="Q84" i="2"/>
  <c r="Q88" i="2"/>
  <c r="Q89" i="2"/>
  <c r="Q90" i="2"/>
  <c r="Q91" i="2"/>
  <c r="Q92" i="2"/>
  <c r="Q93" i="2"/>
  <c r="Q94" i="2"/>
  <c r="Q95" i="2"/>
  <c r="Q96" i="2"/>
  <c r="Q97" i="2"/>
  <c r="Q98" i="2"/>
  <c r="Q87" i="2"/>
  <c r="Q83" i="2"/>
  <c r="Q101" i="2"/>
  <c r="Q100" i="2"/>
  <c r="Q99" i="2"/>
  <c r="Q104" i="2"/>
  <c r="Q105" i="2"/>
  <c r="Q103" i="2"/>
  <c r="Q102" i="2"/>
  <c r="Q108" i="2"/>
  <c r="Q107" i="2"/>
  <c r="Q110" i="2"/>
  <c r="Q109" i="2"/>
  <c r="Q106" i="2"/>
  <c r="Q113" i="2"/>
  <c r="Q112" i="2"/>
  <c r="Q115" i="2"/>
  <c r="Q114" i="2"/>
  <c r="Q117" i="2"/>
  <c r="Q116" i="2"/>
  <c r="Q119" i="2"/>
  <c r="Q118" i="2"/>
  <c r="Q111" i="2"/>
  <c r="Q122" i="2"/>
  <c r="Q123" i="2"/>
  <c r="Q124" i="2"/>
  <c r="Q121" i="2"/>
  <c r="Q126" i="2"/>
  <c r="Q127" i="2"/>
  <c r="Q128" i="2"/>
  <c r="Q125" i="2"/>
  <c r="Q130" i="2"/>
  <c r="Q131" i="2"/>
  <c r="Q132" i="2"/>
  <c r="Q129" i="2"/>
  <c r="Q134" i="2"/>
  <c r="Q133" i="2"/>
  <c r="Q136" i="2"/>
  <c r="Q135" i="2"/>
  <c r="Q138" i="2"/>
  <c r="Q139" i="2"/>
  <c r="Q140" i="2"/>
  <c r="Q137" i="2"/>
  <c r="Q120" i="2"/>
  <c r="Q143" i="2"/>
  <c r="Q144" i="2"/>
  <c r="Q145" i="2"/>
  <c r="Q142" i="2"/>
  <c r="Q147" i="2"/>
  <c r="Q148" i="2"/>
  <c r="Q146" i="2"/>
  <c r="Q150" i="2"/>
  <c r="Q151" i="2"/>
  <c r="Q152" i="2"/>
  <c r="Q153" i="2"/>
  <c r="Q154" i="2"/>
  <c r="Q155" i="2"/>
  <c r="Q149" i="2"/>
  <c r="Q141" i="2"/>
  <c r="Q158" i="2"/>
  <c r="Q159" i="2"/>
  <c r="Q157" i="2"/>
  <c r="Q161" i="2"/>
  <c r="Q162" i="2"/>
  <c r="Q160" i="2"/>
  <c r="Q156" i="2"/>
  <c r="Q165" i="2"/>
  <c r="Q164" i="2"/>
  <c r="Q167" i="2"/>
  <c r="Q168" i="2"/>
  <c r="Q166" i="2"/>
  <c r="Q170" i="2"/>
  <c r="Q171" i="2"/>
  <c r="Q169" i="2"/>
  <c r="Q173" i="2"/>
  <c r="Q172" i="2"/>
  <c r="Q175" i="2"/>
  <c r="Q174" i="2"/>
  <c r="Q163" i="2"/>
  <c r="Q177" i="2"/>
  <c r="Q178" i="2"/>
  <c r="Q180" i="2"/>
  <c r="Q181" i="2"/>
  <c r="Q182" i="2"/>
  <c r="Q179" i="2"/>
  <c r="Q184" i="2"/>
  <c r="Q183" i="2"/>
  <c r="Q186" i="2"/>
  <c r="Q185" i="2"/>
  <c r="Q188" i="2"/>
  <c r="Q187" i="2"/>
  <c r="Q190" i="2"/>
  <c r="Q189" i="2"/>
  <c r="Q192" i="2"/>
  <c r="Q193" i="2"/>
  <c r="Q194" i="2"/>
  <c r="Q195" i="2"/>
  <c r="Q196" i="2"/>
  <c r="Q197" i="2"/>
  <c r="Q198" i="2"/>
  <c r="Q191" i="2"/>
  <c r="Q200" i="2"/>
  <c r="Q199" i="2"/>
  <c r="Q176" i="2"/>
  <c r="Q203" i="2"/>
  <c r="Q202" i="2"/>
  <c r="Q201" i="2"/>
  <c r="Q209" i="2"/>
  <c r="Q210" i="2"/>
  <c r="Q208" i="2"/>
  <c r="Q207" i="2"/>
  <c r="Q213" i="2"/>
  <c r="Q212" i="2"/>
  <c r="Q215" i="2"/>
  <c r="Q216" i="2"/>
  <c r="Q214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37" i="2"/>
  <c r="Q217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65" i="2"/>
  <c r="Q280" i="2"/>
  <c r="Q279" i="2"/>
  <c r="Q211" i="2"/>
  <c r="Q283" i="2"/>
  <c r="Q282" i="2"/>
  <c r="Q281" i="2"/>
  <c r="Q286" i="2"/>
  <c r="Q285" i="2"/>
  <c r="Q288" i="2"/>
  <c r="Q287" i="2"/>
  <c r="Q290" i="2"/>
  <c r="Q289" i="2"/>
  <c r="Q292" i="2"/>
  <c r="Q291" i="2"/>
  <c r="Q294" i="2"/>
  <c r="Q293" i="2"/>
  <c r="Q296" i="2"/>
  <c r="Q295" i="2"/>
  <c r="Q298" i="2"/>
  <c r="Q297" i="2"/>
  <c r="Q284" i="2"/>
  <c r="Q206" i="2"/>
  <c r="Q205" i="2"/>
  <c r="Q204" i="2"/>
  <c r="Q299" i="2"/>
  <c r="P11" i="2"/>
  <c r="P13" i="2"/>
  <c r="P18" i="2"/>
  <c r="P19" i="2"/>
  <c r="P30" i="2"/>
  <c r="P17" i="2"/>
  <c r="P34" i="2"/>
  <c r="P37" i="2"/>
  <c r="P40" i="2"/>
  <c r="P36" i="2"/>
  <c r="P42" i="2"/>
  <c r="P44" i="2"/>
  <c r="P10" i="2"/>
  <c r="P47" i="2"/>
  <c r="P49" i="2"/>
  <c r="P51" i="2"/>
  <c r="P53" i="2"/>
  <c r="P55" i="2"/>
  <c r="P46" i="2"/>
  <c r="P58" i="2"/>
  <c r="P60" i="2"/>
  <c r="P57" i="2"/>
  <c r="P63" i="2"/>
  <c r="P65" i="2"/>
  <c r="P62" i="2"/>
  <c r="P68" i="2"/>
  <c r="P70" i="2"/>
  <c r="P73" i="2"/>
  <c r="P76" i="2"/>
  <c r="P75" i="2"/>
  <c r="P78" i="2"/>
  <c r="P77" i="2"/>
  <c r="P79" i="2"/>
  <c r="P81" i="2"/>
  <c r="P67" i="2"/>
  <c r="P84" i="2"/>
  <c r="P87" i="2"/>
  <c r="P83" i="2"/>
  <c r="P100" i="2"/>
  <c r="P99" i="2"/>
  <c r="P103" i="2"/>
  <c r="P102" i="2"/>
  <c r="P107" i="2"/>
  <c r="P109" i="2"/>
  <c r="P106" i="2"/>
  <c r="P112" i="2"/>
  <c r="P114" i="2"/>
  <c r="P116" i="2"/>
  <c r="P118" i="2"/>
  <c r="P111" i="2"/>
  <c r="P121" i="2"/>
  <c r="P127" i="2"/>
  <c r="P125" i="2"/>
  <c r="P132" i="2"/>
  <c r="P129" i="2"/>
  <c r="P133" i="2"/>
  <c r="P135" i="2"/>
  <c r="P137" i="2"/>
  <c r="P120" i="2"/>
  <c r="P142" i="2"/>
  <c r="P146" i="2"/>
  <c r="P149" i="2"/>
  <c r="P141" i="2"/>
  <c r="P157" i="2"/>
  <c r="P160" i="2"/>
  <c r="P156" i="2"/>
  <c r="P164" i="2"/>
  <c r="P166" i="2"/>
  <c r="P169" i="2"/>
  <c r="P172" i="2"/>
  <c r="P174" i="2"/>
  <c r="P163" i="2"/>
  <c r="P179" i="2"/>
  <c r="P183" i="2"/>
  <c r="P185" i="2"/>
  <c r="P187" i="2"/>
  <c r="P189" i="2"/>
  <c r="P191" i="2"/>
  <c r="P199" i="2"/>
  <c r="P176" i="2"/>
  <c r="P202" i="2"/>
  <c r="P201" i="2"/>
  <c r="P208" i="2"/>
  <c r="P207" i="2"/>
  <c r="P212" i="2"/>
  <c r="P214" i="2"/>
  <c r="P227" i="2"/>
  <c r="P241" i="2"/>
  <c r="P242" i="2"/>
  <c r="P243" i="2"/>
  <c r="P244" i="2"/>
  <c r="P245" i="2"/>
  <c r="P246" i="2"/>
  <c r="P247" i="2"/>
  <c r="P249" i="2"/>
  <c r="P250" i="2"/>
  <c r="P253" i="2"/>
  <c r="P255" i="2"/>
  <c r="P256" i="2"/>
  <c r="P257" i="2"/>
  <c r="P237" i="2"/>
  <c r="P217" i="2"/>
  <c r="P265" i="2"/>
  <c r="P279" i="2"/>
  <c r="P211" i="2"/>
  <c r="P282" i="2"/>
  <c r="P281" i="2"/>
  <c r="P285" i="2"/>
  <c r="P288" i="2"/>
  <c r="P287" i="2"/>
  <c r="P289" i="2"/>
  <c r="P292" i="2"/>
  <c r="P291" i="2"/>
  <c r="P293" i="2"/>
  <c r="P295" i="2"/>
  <c r="P297" i="2"/>
  <c r="P284" i="2"/>
  <c r="P205" i="2"/>
  <c r="P204" i="2"/>
  <c r="P299" i="2"/>
  <c r="O11" i="2"/>
  <c r="O13" i="2"/>
  <c r="O21" i="2"/>
  <c r="O17" i="2"/>
  <c r="O34" i="2"/>
  <c r="O38" i="2"/>
  <c r="O40" i="2"/>
  <c r="O36" i="2"/>
  <c r="O42" i="2"/>
  <c r="O44" i="2"/>
  <c r="O10" i="2"/>
  <c r="O47" i="2"/>
  <c r="O49" i="2"/>
  <c r="O51" i="2"/>
  <c r="O53" i="2"/>
  <c r="O55" i="2"/>
  <c r="O46" i="2"/>
  <c r="O58" i="2"/>
  <c r="O60" i="2"/>
  <c r="O57" i="2"/>
  <c r="O63" i="2"/>
  <c r="O65" i="2"/>
  <c r="O62" i="2"/>
  <c r="O68" i="2"/>
  <c r="O70" i="2"/>
  <c r="O73" i="2"/>
  <c r="O76" i="2"/>
  <c r="O75" i="2"/>
  <c r="O77" i="2"/>
  <c r="O79" i="2"/>
  <c r="O81" i="2"/>
  <c r="O67" i="2"/>
  <c r="O84" i="2"/>
  <c r="O87" i="2"/>
  <c r="O83" i="2"/>
  <c r="O100" i="2"/>
  <c r="O99" i="2"/>
  <c r="O103" i="2"/>
  <c r="O102" i="2"/>
  <c r="O107" i="2"/>
  <c r="O109" i="2"/>
  <c r="O106" i="2"/>
  <c r="O112" i="2"/>
  <c r="O114" i="2"/>
  <c r="O116" i="2"/>
  <c r="O118" i="2"/>
  <c r="O111" i="2"/>
  <c r="O121" i="2"/>
  <c r="O125" i="2"/>
  <c r="O132" i="2"/>
  <c r="O129" i="2"/>
  <c r="O133" i="2"/>
  <c r="O135" i="2"/>
  <c r="O137" i="2"/>
  <c r="O120" i="2"/>
  <c r="O142" i="2"/>
  <c r="O146" i="2"/>
  <c r="O150" i="2"/>
  <c r="O149" i="2"/>
  <c r="O141" i="2"/>
  <c r="O157" i="2"/>
  <c r="O160" i="2"/>
  <c r="O156" i="2"/>
  <c r="O164" i="2"/>
  <c r="O166" i="2"/>
  <c r="O169" i="2"/>
  <c r="O172" i="2"/>
  <c r="O174" i="2"/>
  <c r="O163" i="2"/>
  <c r="O179" i="2"/>
  <c r="O183" i="2"/>
  <c r="O185" i="2"/>
  <c r="O187" i="2"/>
  <c r="O189" i="2"/>
  <c r="O191" i="2"/>
  <c r="O199" i="2"/>
  <c r="O176" i="2"/>
  <c r="O202" i="2"/>
  <c r="O201" i="2"/>
  <c r="O208" i="2"/>
  <c r="O207" i="2"/>
  <c r="O212" i="2"/>
  <c r="O214" i="2"/>
  <c r="O241" i="2"/>
  <c r="O242" i="2"/>
  <c r="O243" i="2"/>
  <c r="O244" i="2"/>
  <c r="O246" i="2"/>
  <c r="O247" i="2"/>
  <c r="O249" i="2"/>
  <c r="O250" i="2"/>
  <c r="O253" i="2"/>
  <c r="O237" i="2"/>
  <c r="O217" i="2"/>
  <c r="O265" i="2"/>
  <c r="O279" i="2"/>
  <c r="O211" i="2"/>
  <c r="O282" i="2"/>
  <c r="O281" i="2"/>
  <c r="O285" i="2"/>
  <c r="O288" i="2"/>
  <c r="O287" i="2"/>
  <c r="O289" i="2"/>
  <c r="O292" i="2"/>
  <c r="O291" i="2"/>
  <c r="O293" i="2"/>
  <c r="O295" i="2"/>
  <c r="O297" i="2"/>
  <c r="O284" i="2"/>
  <c r="O205" i="2"/>
  <c r="O204" i="2"/>
  <c r="O299" i="2"/>
  <c r="N11" i="2"/>
  <c r="N13" i="2"/>
  <c r="N17" i="2"/>
  <c r="N34" i="2"/>
  <c r="N36" i="2"/>
  <c r="N42" i="2"/>
  <c r="N44" i="2"/>
  <c r="N10" i="2"/>
  <c r="N47" i="2"/>
  <c r="N49" i="2"/>
  <c r="N51" i="2"/>
  <c r="N53" i="2"/>
  <c r="N55" i="2"/>
  <c r="N46" i="2"/>
  <c r="N58" i="2"/>
  <c r="N60" i="2"/>
  <c r="N57" i="2"/>
  <c r="N63" i="2"/>
  <c r="N65" i="2"/>
  <c r="N62" i="2"/>
  <c r="N68" i="2"/>
  <c r="N70" i="2"/>
  <c r="N73" i="2"/>
  <c r="N75" i="2"/>
  <c r="N77" i="2"/>
  <c r="N79" i="2"/>
  <c r="N81" i="2"/>
  <c r="N67" i="2"/>
  <c r="N84" i="2"/>
  <c r="N87" i="2"/>
  <c r="N83" i="2"/>
  <c r="N100" i="2"/>
  <c r="N99" i="2"/>
  <c r="N103" i="2"/>
  <c r="N102" i="2"/>
  <c r="N107" i="2"/>
  <c r="N109" i="2"/>
  <c r="N106" i="2"/>
  <c r="N112" i="2"/>
  <c r="N114" i="2"/>
  <c r="N116" i="2"/>
  <c r="N118" i="2"/>
  <c r="N111" i="2"/>
  <c r="N121" i="2"/>
  <c r="N125" i="2"/>
  <c r="N129" i="2"/>
  <c r="N133" i="2"/>
  <c r="N135" i="2"/>
  <c r="N137" i="2"/>
  <c r="N120" i="2"/>
  <c r="N142" i="2"/>
  <c r="N146" i="2"/>
  <c r="N149" i="2"/>
  <c r="N141" i="2"/>
  <c r="N157" i="2"/>
  <c r="N160" i="2"/>
  <c r="N156" i="2"/>
  <c r="N164" i="2"/>
  <c r="N166" i="2"/>
  <c r="N169" i="2"/>
  <c r="N172" i="2"/>
  <c r="N174" i="2"/>
  <c r="N163" i="2"/>
  <c r="N179" i="2"/>
  <c r="N183" i="2"/>
  <c r="N185" i="2"/>
  <c r="N187" i="2"/>
  <c r="N189" i="2"/>
  <c r="N191" i="2"/>
  <c r="N199" i="2"/>
  <c r="N176" i="2"/>
  <c r="N202" i="2"/>
  <c r="N201" i="2"/>
  <c r="N208" i="2"/>
  <c r="N207" i="2"/>
  <c r="N212" i="2"/>
  <c r="N214" i="2"/>
  <c r="N237" i="2"/>
  <c r="N217" i="2"/>
  <c r="N265" i="2"/>
  <c r="N279" i="2"/>
  <c r="N211" i="2"/>
  <c r="N282" i="2"/>
  <c r="N281" i="2"/>
  <c r="N285" i="2"/>
  <c r="N288" i="2"/>
  <c r="N287" i="2"/>
  <c r="N289" i="2"/>
  <c r="N291" i="2"/>
  <c r="N293" i="2"/>
  <c r="N295" i="2"/>
  <c r="N297" i="2"/>
  <c r="N284" i="2"/>
  <c r="N205" i="2"/>
  <c r="N204" i="2"/>
  <c r="N299" i="2"/>
  <c r="M11" i="2"/>
  <c r="M13" i="2"/>
  <c r="M17" i="2"/>
  <c r="M34" i="2"/>
  <c r="M36" i="2"/>
  <c r="M42" i="2"/>
  <c r="M44" i="2"/>
  <c r="M10" i="2"/>
  <c r="M47" i="2"/>
  <c r="M49" i="2"/>
  <c r="M51" i="2"/>
  <c r="M53" i="2"/>
  <c r="M55" i="2"/>
  <c r="M46" i="2"/>
  <c r="M58" i="2"/>
  <c r="M60" i="2"/>
  <c r="M57" i="2"/>
  <c r="M63" i="2"/>
  <c r="M65" i="2"/>
  <c r="M62" i="2"/>
  <c r="M68" i="2"/>
  <c r="M70" i="2"/>
  <c r="M73" i="2"/>
  <c r="M75" i="2"/>
  <c r="M77" i="2"/>
  <c r="M79" i="2"/>
  <c r="M81" i="2"/>
  <c r="M67" i="2"/>
  <c r="M84" i="2"/>
  <c r="M87" i="2"/>
  <c r="M83" i="2"/>
  <c r="M100" i="2"/>
  <c r="M99" i="2"/>
  <c r="M103" i="2"/>
  <c r="M102" i="2"/>
  <c r="M107" i="2"/>
  <c r="M109" i="2"/>
  <c r="M106" i="2"/>
  <c r="M112" i="2"/>
  <c r="M114" i="2"/>
  <c r="M116" i="2"/>
  <c r="M118" i="2"/>
  <c r="M111" i="2"/>
  <c r="M121" i="2"/>
  <c r="M128" i="2"/>
  <c r="M125" i="2"/>
  <c r="M131" i="2"/>
  <c r="M129" i="2"/>
  <c r="M133" i="2"/>
  <c r="M135" i="2"/>
  <c r="M137" i="2"/>
  <c r="M120" i="2"/>
  <c r="M142" i="2"/>
  <c r="M146" i="2"/>
  <c r="M149" i="2"/>
  <c r="M141" i="2"/>
  <c r="M157" i="2"/>
  <c r="M160" i="2"/>
  <c r="M156" i="2"/>
  <c r="M165" i="2"/>
  <c r="M164" i="2"/>
  <c r="M166" i="2"/>
  <c r="M169" i="2"/>
  <c r="M172" i="2"/>
  <c r="M174" i="2"/>
  <c r="M163" i="2"/>
  <c r="M179" i="2"/>
  <c r="M183" i="2"/>
  <c r="M185" i="2"/>
  <c r="M187" i="2"/>
  <c r="M189" i="2"/>
  <c r="M191" i="2"/>
  <c r="M199" i="2"/>
  <c r="M176" i="2"/>
  <c r="M202" i="2"/>
  <c r="M201" i="2"/>
  <c r="M208" i="2"/>
  <c r="M207" i="2"/>
  <c r="M212" i="2"/>
  <c r="M214" i="2"/>
  <c r="M241" i="2"/>
  <c r="M253" i="2"/>
  <c r="M237" i="2"/>
  <c r="M217" i="2"/>
  <c r="M265" i="2"/>
  <c r="M279" i="2"/>
  <c r="M211" i="2"/>
  <c r="M282" i="2"/>
  <c r="M281" i="2"/>
  <c r="M285" i="2"/>
  <c r="M287" i="2"/>
  <c r="M289" i="2"/>
  <c r="M291" i="2"/>
  <c r="M293" i="2"/>
  <c r="M295" i="2"/>
  <c r="M297" i="2"/>
  <c r="M284" i="2"/>
  <c r="M205" i="2"/>
  <c r="M204" i="2"/>
  <c r="M299" i="2"/>
  <c r="L11" i="2"/>
  <c r="L13" i="2"/>
  <c r="L17" i="2"/>
  <c r="L34" i="2"/>
  <c r="L36" i="2"/>
  <c r="L42" i="2"/>
  <c r="L44" i="2"/>
  <c r="L10" i="2"/>
  <c r="L47" i="2"/>
  <c r="L49" i="2"/>
  <c r="L51" i="2"/>
  <c r="L53" i="2"/>
  <c r="L55" i="2"/>
  <c r="L46" i="2"/>
  <c r="L58" i="2"/>
  <c r="L60" i="2"/>
  <c r="L57" i="2"/>
  <c r="L64" i="2"/>
  <c r="L63" i="2"/>
  <c r="L65" i="2"/>
  <c r="L62" i="2"/>
  <c r="L68" i="2"/>
  <c r="L70" i="2"/>
  <c r="L73" i="2"/>
  <c r="L75" i="2"/>
  <c r="L78" i="2"/>
  <c r="L77" i="2"/>
  <c r="L79" i="2"/>
  <c r="L81" i="2"/>
  <c r="L67" i="2"/>
  <c r="L84" i="2"/>
  <c r="L87" i="2"/>
  <c r="L83" i="2"/>
  <c r="L100" i="2"/>
  <c r="L99" i="2"/>
  <c r="L103" i="2"/>
  <c r="L102" i="2"/>
  <c r="L107" i="2"/>
  <c r="L109" i="2"/>
  <c r="L106" i="2"/>
  <c r="L112" i="2"/>
  <c r="L114" i="2"/>
  <c r="L116" i="2"/>
  <c r="L118" i="2"/>
  <c r="L111" i="2"/>
  <c r="L121" i="2"/>
  <c r="L125" i="2"/>
  <c r="L129" i="2"/>
  <c r="L133" i="2"/>
  <c r="L135" i="2"/>
  <c r="L137" i="2"/>
  <c r="L120" i="2"/>
  <c r="L142" i="2"/>
  <c r="L146" i="2"/>
  <c r="L149" i="2"/>
  <c r="L141" i="2"/>
  <c r="L157" i="2"/>
  <c r="L160" i="2"/>
  <c r="L156" i="2"/>
  <c r="L164" i="2"/>
  <c r="L166" i="2"/>
  <c r="L169" i="2"/>
  <c r="L172" i="2"/>
  <c r="L174" i="2"/>
  <c r="L163" i="2"/>
  <c r="L179" i="2"/>
  <c r="L183" i="2"/>
  <c r="L185" i="2"/>
  <c r="L187" i="2"/>
  <c r="L189" i="2"/>
  <c r="L191" i="2"/>
  <c r="L199" i="2"/>
  <c r="L176" i="2"/>
  <c r="L202" i="2"/>
  <c r="L201" i="2"/>
  <c r="L208" i="2"/>
  <c r="L207" i="2"/>
  <c r="L212" i="2"/>
  <c r="L214" i="2"/>
  <c r="L241" i="2"/>
  <c r="L246" i="2"/>
  <c r="L237" i="2"/>
  <c r="L217" i="2"/>
  <c r="L265" i="2"/>
  <c r="L279" i="2"/>
  <c r="L211" i="2"/>
  <c r="L282" i="2"/>
  <c r="L281" i="2"/>
  <c r="L285" i="2"/>
  <c r="L288" i="2"/>
  <c r="L287" i="2"/>
  <c r="L289" i="2"/>
  <c r="L291" i="2"/>
  <c r="L293" i="2"/>
  <c r="L295" i="2"/>
  <c r="L297" i="2"/>
  <c r="L284" i="2"/>
  <c r="L205" i="2"/>
  <c r="L204" i="2"/>
  <c r="L299" i="2"/>
  <c r="K11" i="2"/>
  <c r="K13" i="2"/>
  <c r="K17" i="2"/>
  <c r="K34" i="2"/>
  <c r="K36" i="2"/>
  <c r="K42" i="2"/>
  <c r="K44" i="2"/>
  <c r="K10" i="2"/>
  <c r="K47" i="2"/>
  <c r="K49" i="2"/>
  <c r="K51" i="2"/>
  <c r="K53" i="2"/>
  <c r="K55" i="2"/>
  <c r="K46" i="2"/>
  <c r="K58" i="2"/>
  <c r="K60" i="2"/>
  <c r="K57" i="2"/>
  <c r="K63" i="2"/>
  <c r="K65" i="2"/>
  <c r="K62" i="2"/>
  <c r="K68" i="2"/>
  <c r="K70" i="2"/>
  <c r="K73" i="2"/>
  <c r="K75" i="2"/>
  <c r="K77" i="2"/>
  <c r="K79" i="2"/>
  <c r="K81" i="2"/>
  <c r="K67" i="2"/>
  <c r="K84" i="2"/>
  <c r="K87" i="2"/>
  <c r="K83" i="2"/>
  <c r="K100" i="2"/>
  <c r="K99" i="2"/>
  <c r="K103" i="2"/>
  <c r="K102" i="2"/>
  <c r="K107" i="2"/>
  <c r="K109" i="2"/>
  <c r="K106" i="2"/>
  <c r="K112" i="2"/>
  <c r="K114" i="2"/>
  <c r="K116" i="2"/>
  <c r="K118" i="2"/>
  <c r="K111" i="2"/>
  <c r="K121" i="2"/>
  <c r="K125" i="2"/>
  <c r="K129" i="2"/>
  <c r="K133" i="2"/>
  <c r="K135" i="2"/>
  <c r="K137" i="2"/>
  <c r="K120" i="2"/>
  <c r="K142" i="2"/>
  <c r="K146" i="2"/>
  <c r="K149" i="2"/>
  <c r="K141" i="2"/>
  <c r="K157" i="2"/>
  <c r="K160" i="2"/>
  <c r="K156" i="2"/>
  <c r="K165" i="2"/>
  <c r="K164" i="2"/>
  <c r="K167" i="2"/>
  <c r="K166" i="2"/>
  <c r="K169" i="2"/>
  <c r="K172" i="2"/>
  <c r="K174" i="2"/>
  <c r="K163" i="2"/>
  <c r="K179" i="2"/>
  <c r="K183" i="2"/>
  <c r="K185" i="2"/>
  <c r="K187" i="2"/>
  <c r="K189" i="2"/>
  <c r="K191" i="2"/>
  <c r="K199" i="2"/>
  <c r="K176" i="2"/>
  <c r="K202" i="2"/>
  <c r="K201" i="2"/>
  <c r="K208" i="2"/>
  <c r="K207" i="2"/>
  <c r="K212" i="2"/>
  <c r="K214" i="2"/>
  <c r="K241" i="2"/>
  <c r="K243" i="2"/>
  <c r="K246" i="2"/>
  <c r="K253" i="2"/>
  <c r="K237" i="2"/>
  <c r="K217" i="2"/>
  <c r="K265" i="2"/>
  <c r="K279" i="2"/>
  <c r="K211" i="2"/>
  <c r="K282" i="2"/>
  <c r="K281" i="2"/>
  <c r="K285" i="2"/>
  <c r="K288" i="2"/>
  <c r="K287" i="2"/>
  <c r="K289" i="2"/>
  <c r="K292" i="2"/>
  <c r="K291" i="2"/>
  <c r="K293" i="2"/>
  <c r="K295" i="2"/>
  <c r="K297" i="2"/>
  <c r="K284" i="2"/>
  <c r="K205" i="2"/>
  <c r="K204" i="2"/>
  <c r="K299" i="2"/>
  <c r="J12" i="2"/>
  <c r="J11" i="2"/>
  <c r="J14" i="2"/>
  <c r="J15" i="2"/>
  <c r="J16" i="2"/>
  <c r="J13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17" i="2"/>
  <c r="J35" i="2"/>
  <c r="J34" i="2"/>
  <c r="J37" i="2"/>
  <c r="J38" i="2"/>
  <c r="J39" i="2"/>
  <c r="J40" i="2"/>
  <c r="J41" i="2"/>
  <c r="J36" i="2"/>
  <c r="J43" i="2"/>
  <c r="J42" i="2"/>
  <c r="J45" i="2"/>
  <c r="J44" i="2"/>
  <c r="J10" i="2"/>
  <c r="J48" i="2"/>
  <c r="J47" i="2"/>
  <c r="J50" i="2"/>
  <c r="J49" i="2"/>
  <c r="J52" i="2"/>
  <c r="J51" i="2"/>
  <c r="J54" i="2"/>
  <c r="J53" i="2"/>
  <c r="J56" i="2"/>
  <c r="J55" i="2"/>
  <c r="J46" i="2"/>
  <c r="J59" i="2"/>
  <c r="J58" i="2"/>
  <c r="J61" i="2"/>
  <c r="J60" i="2"/>
  <c r="J57" i="2"/>
  <c r="J64" i="2"/>
  <c r="J63" i="2"/>
  <c r="J66" i="2"/>
  <c r="J65" i="2"/>
  <c r="J62" i="2"/>
  <c r="J69" i="2"/>
  <c r="J68" i="2"/>
  <c r="J71" i="2"/>
  <c r="J72" i="2"/>
  <c r="J70" i="2"/>
  <c r="J74" i="2"/>
  <c r="J73" i="2"/>
  <c r="J76" i="2"/>
  <c r="J75" i="2"/>
  <c r="J78" i="2"/>
  <c r="J77" i="2"/>
  <c r="J80" i="2"/>
  <c r="J79" i="2"/>
  <c r="J82" i="2"/>
  <c r="J81" i="2"/>
  <c r="J67" i="2"/>
  <c r="J85" i="2"/>
  <c r="J86" i="2"/>
  <c r="J84" i="2"/>
  <c r="J88" i="2"/>
  <c r="J89" i="2"/>
  <c r="J90" i="2"/>
  <c r="J91" i="2"/>
  <c r="J92" i="2"/>
  <c r="J93" i="2"/>
  <c r="J94" i="2"/>
  <c r="J95" i="2"/>
  <c r="J96" i="2"/>
  <c r="J97" i="2"/>
  <c r="J98" i="2"/>
  <c r="J87" i="2"/>
  <c r="J83" i="2"/>
  <c r="J101" i="2"/>
  <c r="J100" i="2"/>
  <c r="J99" i="2"/>
  <c r="J104" i="2"/>
  <c r="J105" i="2"/>
  <c r="J103" i="2"/>
  <c r="J102" i="2"/>
  <c r="J108" i="2"/>
  <c r="J107" i="2"/>
  <c r="J110" i="2"/>
  <c r="J109" i="2"/>
  <c r="J106" i="2"/>
  <c r="J113" i="2"/>
  <c r="J112" i="2"/>
  <c r="J115" i="2"/>
  <c r="J114" i="2"/>
  <c r="J117" i="2"/>
  <c r="J116" i="2"/>
  <c r="J119" i="2"/>
  <c r="J118" i="2"/>
  <c r="J111" i="2"/>
  <c r="J122" i="2"/>
  <c r="J123" i="2"/>
  <c r="J124" i="2"/>
  <c r="J121" i="2"/>
  <c r="J126" i="2"/>
  <c r="J127" i="2"/>
  <c r="J128" i="2"/>
  <c r="J125" i="2"/>
  <c r="J130" i="2"/>
  <c r="J131" i="2"/>
  <c r="J132" i="2"/>
  <c r="J129" i="2"/>
  <c r="J134" i="2"/>
  <c r="J133" i="2"/>
  <c r="J136" i="2"/>
  <c r="J135" i="2"/>
  <c r="J138" i="2"/>
  <c r="J139" i="2"/>
  <c r="J140" i="2"/>
  <c r="J137" i="2"/>
  <c r="J120" i="2"/>
  <c r="J143" i="2"/>
  <c r="J144" i="2"/>
  <c r="J145" i="2"/>
  <c r="J142" i="2"/>
  <c r="J147" i="2"/>
  <c r="J148" i="2"/>
  <c r="J146" i="2"/>
  <c r="J150" i="2"/>
  <c r="J151" i="2"/>
  <c r="J152" i="2"/>
  <c r="J153" i="2"/>
  <c r="J154" i="2"/>
  <c r="J155" i="2"/>
  <c r="J149" i="2"/>
  <c r="J141" i="2"/>
  <c r="J158" i="2"/>
  <c r="J159" i="2"/>
  <c r="J157" i="2"/>
  <c r="J161" i="2"/>
  <c r="J162" i="2"/>
  <c r="J160" i="2"/>
  <c r="J156" i="2"/>
  <c r="J165" i="2"/>
  <c r="J164" i="2"/>
  <c r="J167" i="2"/>
  <c r="J168" i="2"/>
  <c r="J166" i="2"/>
  <c r="J170" i="2"/>
  <c r="J171" i="2"/>
  <c r="J169" i="2"/>
  <c r="J173" i="2"/>
  <c r="J172" i="2"/>
  <c r="J175" i="2"/>
  <c r="J174" i="2"/>
  <c r="J163" i="2"/>
  <c r="J177" i="2"/>
  <c r="J178" i="2"/>
  <c r="J180" i="2"/>
  <c r="J181" i="2"/>
  <c r="J182" i="2"/>
  <c r="J179" i="2"/>
  <c r="J184" i="2"/>
  <c r="J183" i="2"/>
  <c r="J186" i="2"/>
  <c r="J185" i="2"/>
  <c r="J188" i="2"/>
  <c r="J187" i="2"/>
  <c r="J190" i="2"/>
  <c r="J189" i="2"/>
  <c r="J192" i="2"/>
  <c r="J193" i="2"/>
  <c r="J194" i="2"/>
  <c r="J195" i="2"/>
  <c r="J196" i="2"/>
  <c r="J197" i="2"/>
  <c r="J198" i="2"/>
  <c r="J191" i="2"/>
  <c r="J200" i="2"/>
  <c r="J199" i="2"/>
  <c r="J176" i="2"/>
  <c r="J203" i="2"/>
  <c r="J202" i="2"/>
  <c r="J201" i="2"/>
  <c r="J209" i="2"/>
  <c r="J210" i="2"/>
  <c r="J208" i="2"/>
  <c r="J207" i="2"/>
  <c r="J213" i="2"/>
  <c r="J212" i="2"/>
  <c r="J215" i="2"/>
  <c r="J216" i="2"/>
  <c r="J214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37" i="2"/>
  <c r="J217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65" i="2"/>
  <c r="J280" i="2"/>
  <c r="J279" i="2"/>
  <c r="J211" i="2"/>
  <c r="J283" i="2"/>
  <c r="J282" i="2"/>
  <c r="J281" i="2"/>
  <c r="J286" i="2"/>
  <c r="J285" i="2"/>
  <c r="J288" i="2"/>
  <c r="J287" i="2"/>
  <c r="J290" i="2"/>
  <c r="J289" i="2"/>
  <c r="J292" i="2"/>
  <c r="J291" i="2"/>
  <c r="J294" i="2"/>
  <c r="J293" i="2"/>
  <c r="J296" i="2"/>
  <c r="J295" i="2"/>
  <c r="J298" i="2"/>
  <c r="J297" i="2"/>
  <c r="J284" i="2"/>
  <c r="J206" i="2"/>
  <c r="J205" i="2"/>
  <c r="J204" i="2"/>
  <c r="J299" i="2"/>
  <c r="I11" i="2"/>
  <c r="I13" i="2"/>
  <c r="I18" i="2"/>
  <c r="I21" i="2"/>
  <c r="I30" i="2"/>
  <c r="I17" i="2"/>
  <c r="I34" i="2"/>
  <c r="I38" i="2"/>
  <c r="I39" i="2"/>
  <c r="I41" i="2"/>
  <c r="I36" i="2"/>
  <c r="I42" i="2"/>
  <c r="I45" i="2"/>
  <c r="I44" i="2"/>
  <c r="I10" i="2"/>
  <c r="I47" i="2"/>
  <c r="I49" i="2"/>
  <c r="I51" i="2"/>
  <c r="I53" i="2"/>
  <c r="I55" i="2"/>
  <c r="I46" i="2"/>
  <c r="I58" i="2"/>
  <c r="I60" i="2"/>
  <c r="I57" i="2"/>
  <c r="I63" i="2"/>
  <c r="I65" i="2"/>
  <c r="I62" i="2"/>
  <c r="I68" i="2"/>
  <c r="I70" i="2"/>
  <c r="I74" i="2"/>
  <c r="I73" i="2"/>
  <c r="I76" i="2"/>
  <c r="I75" i="2"/>
  <c r="I77" i="2"/>
  <c r="I79" i="2"/>
  <c r="I81" i="2"/>
  <c r="I67" i="2"/>
  <c r="I85" i="2"/>
  <c r="I86" i="2"/>
  <c r="I84" i="2"/>
  <c r="I87" i="2"/>
  <c r="I83" i="2"/>
  <c r="I100" i="2"/>
  <c r="I99" i="2"/>
  <c r="I103" i="2"/>
  <c r="I102" i="2"/>
  <c r="I107" i="2"/>
  <c r="I109" i="2"/>
  <c r="I106" i="2"/>
  <c r="I112" i="2"/>
  <c r="I114" i="2"/>
  <c r="I116" i="2"/>
  <c r="I118" i="2"/>
  <c r="I111" i="2"/>
  <c r="I121" i="2"/>
  <c r="I127" i="2"/>
  <c r="I125" i="2"/>
  <c r="I131" i="2"/>
  <c r="I132" i="2"/>
  <c r="I129" i="2"/>
  <c r="I133" i="2"/>
  <c r="I135" i="2"/>
  <c r="I137" i="2"/>
  <c r="I120" i="2"/>
  <c r="I142" i="2"/>
  <c r="I146" i="2"/>
  <c r="I150" i="2"/>
  <c r="I154" i="2"/>
  <c r="I149" i="2"/>
  <c r="I141" i="2"/>
  <c r="I157" i="2"/>
  <c r="I161" i="2"/>
  <c r="I160" i="2"/>
  <c r="I156" i="2"/>
  <c r="I165" i="2"/>
  <c r="I164" i="2"/>
  <c r="I167" i="2"/>
  <c r="I168" i="2"/>
  <c r="I166" i="2"/>
  <c r="I171" i="2"/>
  <c r="I169" i="2"/>
  <c r="I172" i="2"/>
  <c r="I174" i="2"/>
  <c r="I163" i="2"/>
  <c r="I179" i="2"/>
  <c r="I183" i="2"/>
  <c r="I185" i="2"/>
  <c r="I187" i="2"/>
  <c r="I189" i="2"/>
  <c r="I191" i="2"/>
  <c r="I199" i="2"/>
  <c r="I176" i="2"/>
  <c r="I202" i="2"/>
  <c r="I201" i="2"/>
  <c r="I208" i="2"/>
  <c r="I207" i="2"/>
  <c r="I212" i="2"/>
  <c r="I214" i="2"/>
  <c r="I241" i="2"/>
  <c r="I243" i="2"/>
  <c r="I244" i="2"/>
  <c r="I246" i="2"/>
  <c r="I247" i="2"/>
  <c r="I248" i="2"/>
  <c r="I249" i="2"/>
  <c r="I253" i="2"/>
  <c r="I257" i="2"/>
  <c r="I237" i="2"/>
  <c r="I217" i="2"/>
  <c r="I265" i="2"/>
  <c r="I279" i="2"/>
  <c r="I211" i="2"/>
  <c r="I282" i="2"/>
  <c r="I281" i="2"/>
  <c r="I285" i="2"/>
  <c r="I288" i="2"/>
  <c r="I287" i="2"/>
  <c r="I289" i="2"/>
  <c r="I291" i="2"/>
  <c r="I293" i="2"/>
  <c r="I295" i="2"/>
  <c r="I297" i="2"/>
  <c r="I284" i="2"/>
  <c r="I205" i="2"/>
  <c r="I204" i="2"/>
  <c r="I299" i="2"/>
  <c r="H11" i="2"/>
  <c r="H13" i="2"/>
  <c r="H18" i="2"/>
  <c r="H20" i="2"/>
  <c r="H21" i="2"/>
  <c r="H30" i="2"/>
  <c r="H17" i="2"/>
  <c r="H34" i="2"/>
  <c r="H38" i="2"/>
  <c r="H39" i="2"/>
  <c r="H41" i="2"/>
  <c r="H36" i="2"/>
  <c r="H42" i="2"/>
  <c r="H45" i="2"/>
  <c r="H44" i="2"/>
  <c r="H10" i="2"/>
  <c r="H47" i="2"/>
  <c r="H49" i="2"/>
  <c r="H51" i="2"/>
  <c r="H53" i="2"/>
  <c r="H55" i="2"/>
  <c r="H46" i="2"/>
  <c r="H58" i="2"/>
  <c r="H60" i="2"/>
  <c r="H57" i="2"/>
  <c r="H64" i="2"/>
  <c r="H63" i="2"/>
  <c r="H65" i="2"/>
  <c r="H62" i="2"/>
  <c r="H69" i="2"/>
  <c r="H68" i="2"/>
  <c r="H70" i="2"/>
  <c r="H74" i="2"/>
  <c r="H73" i="2"/>
  <c r="H76" i="2"/>
  <c r="H75" i="2"/>
  <c r="H78" i="2"/>
  <c r="H77" i="2"/>
  <c r="H79" i="2"/>
  <c r="H81" i="2"/>
  <c r="H67" i="2"/>
  <c r="H85" i="2"/>
  <c r="H86" i="2"/>
  <c r="H84" i="2"/>
  <c r="H87" i="2"/>
  <c r="H83" i="2"/>
  <c r="H100" i="2"/>
  <c r="H99" i="2"/>
  <c r="H103" i="2"/>
  <c r="H102" i="2"/>
  <c r="H107" i="2"/>
  <c r="H109" i="2"/>
  <c r="H106" i="2"/>
  <c r="H112" i="2"/>
  <c r="H114" i="2"/>
  <c r="H116" i="2"/>
  <c r="H118" i="2"/>
  <c r="H111" i="2"/>
  <c r="H121" i="2"/>
  <c r="H127" i="2"/>
  <c r="H125" i="2"/>
  <c r="H131" i="2"/>
  <c r="H132" i="2"/>
  <c r="H129" i="2"/>
  <c r="H133" i="2"/>
  <c r="H135" i="2"/>
  <c r="H137" i="2"/>
  <c r="H120" i="2"/>
  <c r="H142" i="2"/>
  <c r="H146" i="2"/>
  <c r="H150" i="2"/>
  <c r="H154" i="2"/>
  <c r="H149" i="2"/>
  <c r="H141" i="2"/>
  <c r="H157" i="2"/>
  <c r="H161" i="2"/>
  <c r="H160" i="2"/>
  <c r="H156" i="2"/>
  <c r="H165" i="2"/>
  <c r="H164" i="2"/>
  <c r="H167" i="2"/>
  <c r="H168" i="2"/>
  <c r="H166" i="2"/>
  <c r="H171" i="2"/>
  <c r="H169" i="2"/>
  <c r="H172" i="2"/>
  <c r="H174" i="2"/>
  <c r="H163" i="2"/>
  <c r="H181" i="2"/>
  <c r="H179" i="2"/>
  <c r="H183" i="2"/>
  <c r="H185" i="2"/>
  <c r="H187" i="2"/>
  <c r="H189" i="2"/>
  <c r="H191" i="2"/>
  <c r="H199" i="2"/>
  <c r="H176" i="2"/>
  <c r="H202" i="2"/>
  <c r="H201" i="2"/>
  <c r="H208" i="2"/>
  <c r="H207" i="2"/>
  <c r="H212" i="2"/>
  <c r="H214" i="2"/>
  <c r="H241" i="2"/>
  <c r="H243" i="2"/>
  <c r="H244" i="2"/>
  <c r="H246" i="2"/>
  <c r="H247" i="2"/>
  <c r="H248" i="2"/>
  <c r="H249" i="2"/>
  <c r="H253" i="2"/>
  <c r="H237" i="2"/>
  <c r="H217" i="2"/>
  <c r="H265" i="2"/>
  <c r="H279" i="2"/>
  <c r="H211" i="2"/>
  <c r="H282" i="2"/>
  <c r="H281" i="2"/>
  <c r="H285" i="2"/>
  <c r="H288" i="2"/>
  <c r="H287" i="2"/>
  <c r="H289" i="2"/>
  <c r="H291" i="2"/>
  <c r="H293" i="2"/>
  <c r="H295" i="2"/>
  <c r="H297" i="2"/>
  <c r="H284" i="2"/>
  <c r="H205" i="2"/>
  <c r="H204" i="2"/>
  <c r="H299" i="2"/>
  <c r="G12" i="2"/>
  <c r="G11" i="2"/>
  <c r="G14" i="2"/>
  <c r="G15" i="2"/>
  <c r="G16" i="2"/>
  <c r="G13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17" i="2"/>
  <c r="G35" i="2"/>
  <c r="G34" i="2"/>
  <c r="G37" i="2"/>
  <c r="G38" i="2"/>
  <c r="G39" i="2"/>
  <c r="G40" i="2"/>
  <c r="G41" i="2"/>
  <c r="G36" i="2"/>
  <c r="G43" i="2"/>
  <c r="G42" i="2"/>
  <c r="G45" i="2"/>
  <c r="G44" i="2"/>
  <c r="G10" i="2"/>
  <c r="G48" i="2"/>
  <c r="G47" i="2"/>
  <c r="G50" i="2"/>
  <c r="G49" i="2"/>
  <c r="G52" i="2"/>
  <c r="G51" i="2"/>
  <c r="G54" i="2"/>
  <c r="G53" i="2"/>
  <c r="G56" i="2"/>
  <c r="G55" i="2"/>
  <c r="G46" i="2"/>
  <c r="G59" i="2"/>
  <c r="G58" i="2"/>
  <c r="G61" i="2"/>
  <c r="G60" i="2"/>
  <c r="G57" i="2"/>
  <c r="G64" i="2"/>
  <c r="G63" i="2"/>
  <c r="G66" i="2"/>
  <c r="G65" i="2"/>
  <c r="G62" i="2"/>
  <c r="G69" i="2"/>
  <c r="G68" i="2"/>
  <c r="G71" i="2"/>
  <c r="G72" i="2"/>
  <c r="G70" i="2"/>
  <c r="G74" i="2"/>
  <c r="G73" i="2"/>
  <c r="G76" i="2"/>
  <c r="G75" i="2"/>
  <c r="G78" i="2"/>
  <c r="G77" i="2"/>
  <c r="G80" i="2"/>
  <c r="G79" i="2"/>
  <c r="G82" i="2"/>
  <c r="G81" i="2"/>
  <c r="G67" i="2"/>
  <c r="G85" i="2"/>
  <c r="G86" i="2"/>
  <c r="G84" i="2"/>
  <c r="G88" i="2"/>
  <c r="G89" i="2"/>
  <c r="G90" i="2"/>
  <c r="G91" i="2"/>
  <c r="G92" i="2"/>
  <c r="G93" i="2"/>
  <c r="G94" i="2"/>
  <c r="G95" i="2"/>
  <c r="G96" i="2"/>
  <c r="G97" i="2"/>
  <c r="G98" i="2"/>
  <c r="G87" i="2"/>
  <c r="G83" i="2"/>
  <c r="G101" i="2"/>
  <c r="G100" i="2"/>
  <c r="G99" i="2"/>
  <c r="G104" i="2"/>
  <c r="G105" i="2"/>
  <c r="G103" i="2"/>
  <c r="G102" i="2"/>
  <c r="G108" i="2"/>
  <c r="G107" i="2"/>
  <c r="G110" i="2"/>
  <c r="G109" i="2"/>
  <c r="G106" i="2"/>
  <c r="G113" i="2"/>
  <c r="G112" i="2"/>
  <c r="G115" i="2"/>
  <c r="G114" i="2"/>
  <c r="G117" i="2"/>
  <c r="G116" i="2"/>
  <c r="G119" i="2"/>
  <c r="G118" i="2"/>
  <c r="G111" i="2"/>
  <c r="G122" i="2"/>
  <c r="G123" i="2"/>
  <c r="G124" i="2"/>
  <c r="G121" i="2"/>
  <c r="G126" i="2"/>
  <c r="G127" i="2"/>
  <c r="G128" i="2"/>
  <c r="G125" i="2"/>
  <c r="G130" i="2"/>
  <c r="G131" i="2"/>
  <c r="G132" i="2"/>
  <c r="G129" i="2"/>
  <c r="G134" i="2"/>
  <c r="G133" i="2"/>
  <c r="G136" i="2"/>
  <c r="G135" i="2"/>
  <c r="G138" i="2"/>
  <c r="G139" i="2"/>
  <c r="G140" i="2"/>
  <c r="G137" i="2"/>
  <c r="G120" i="2"/>
  <c r="G143" i="2"/>
  <c r="G144" i="2"/>
  <c r="G145" i="2"/>
  <c r="G142" i="2"/>
  <c r="G147" i="2"/>
  <c r="G148" i="2"/>
  <c r="G146" i="2"/>
  <c r="G150" i="2"/>
  <c r="G151" i="2"/>
  <c r="G152" i="2"/>
  <c r="G153" i="2"/>
  <c r="G154" i="2"/>
  <c r="G155" i="2"/>
  <c r="G149" i="2"/>
  <c r="G141" i="2"/>
  <c r="G158" i="2"/>
  <c r="G159" i="2"/>
  <c r="G157" i="2"/>
  <c r="G161" i="2"/>
  <c r="G162" i="2"/>
  <c r="G160" i="2"/>
  <c r="G156" i="2"/>
  <c r="G165" i="2"/>
  <c r="G164" i="2"/>
  <c r="G167" i="2"/>
  <c r="G168" i="2"/>
  <c r="G166" i="2"/>
  <c r="G170" i="2"/>
  <c r="G171" i="2"/>
  <c r="G169" i="2"/>
  <c r="G173" i="2"/>
  <c r="G172" i="2"/>
  <c r="G175" i="2"/>
  <c r="G174" i="2"/>
  <c r="G163" i="2"/>
  <c r="G177" i="2"/>
  <c r="G178" i="2"/>
  <c r="G180" i="2"/>
  <c r="G181" i="2"/>
  <c r="G182" i="2"/>
  <c r="G179" i="2"/>
  <c r="G184" i="2"/>
  <c r="G183" i="2"/>
  <c r="G186" i="2"/>
  <c r="G185" i="2"/>
  <c r="G188" i="2"/>
  <c r="G187" i="2"/>
  <c r="G190" i="2"/>
  <c r="G189" i="2"/>
  <c r="G192" i="2"/>
  <c r="G193" i="2"/>
  <c r="G194" i="2"/>
  <c r="G195" i="2"/>
  <c r="G196" i="2"/>
  <c r="G197" i="2"/>
  <c r="G198" i="2"/>
  <c r="G191" i="2"/>
  <c r="G200" i="2"/>
  <c r="G199" i="2"/>
  <c r="G176" i="2"/>
  <c r="G203" i="2"/>
  <c r="G202" i="2"/>
  <c r="G201" i="2"/>
  <c r="G209" i="2"/>
  <c r="G210" i="2"/>
  <c r="G208" i="2"/>
  <c r="G207" i="2"/>
  <c r="G213" i="2"/>
  <c r="G212" i="2"/>
  <c r="G215" i="2"/>
  <c r="G216" i="2"/>
  <c r="G214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37" i="2"/>
  <c r="G217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65" i="2"/>
  <c r="G280" i="2"/>
  <c r="G279" i="2"/>
  <c r="G211" i="2"/>
  <c r="G283" i="2"/>
  <c r="G282" i="2"/>
  <c r="G281" i="2"/>
  <c r="G286" i="2"/>
  <c r="G285" i="2"/>
  <c r="G288" i="2"/>
  <c r="G287" i="2"/>
  <c r="G290" i="2"/>
  <c r="G289" i="2"/>
  <c r="G292" i="2"/>
  <c r="G291" i="2"/>
  <c r="G294" i="2"/>
  <c r="G293" i="2"/>
  <c r="G296" i="2"/>
  <c r="G295" i="2"/>
  <c r="G298" i="2"/>
  <c r="G297" i="2"/>
  <c r="G284" i="2"/>
  <c r="G206" i="2"/>
  <c r="G205" i="2"/>
  <c r="G204" i="2"/>
  <c r="G299" i="2"/>
  <c r="F12" i="2"/>
  <c r="F11" i="2"/>
  <c r="F14" i="2"/>
  <c r="F15" i="2"/>
  <c r="F16" i="2"/>
  <c r="F13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17" i="2"/>
  <c r="F35" i="2"/>
  <c r="F34" i="2"/>
  <c r="F37" i="2"/>
  <c r="F38" i="2"/>
  <c r="F39" i="2"/>
  <c r="F40" i="2"/>
  <c r="F41" i="2"/>
  <c r="F36" i="2"/>
  <c r="F43" i="2"/>
  <c r="F42" i="2"/>
  <c r="F45" i="2"/>
  <c r="F44" i="2"/>
  <c r="F10" i="2"/>
  <c r="F48" i="2"/>
  <c r="F47" i="2"/>
  <c r="F50" i="2"/>
  <c r="F49" i="2"/>
  <c r="F52" i="2"/>
  <c r="F51" i="2"/>
  <c r="F54" i="2"/>
  <c r="F53" i="2"/>
  <c r="F56" i="2"/>
  <c r="F55" i="2"/>
  <c r="F46" i="2"/>
  <c r="F59" i="2"/>
  <c r="F58" i="2"/>
  <c r="F61" i="2"/>
  <c r="F60" i="2"/>
  <c r="F57" i="2"/>
  <c r="F64" i="2"/>
  <c r="F63" i="2"/>
  <c r="F66" i="2"/>
  <c r="F65" i="2"/>
  <c r="F62" i="2"/>
  <c r="F69" i="2"/>
  <c r="F68" i="2"/>
  <c r="F71" i="2"/>
  <c r="F72" i="2"/>
  <c r="F70" i="2"/>
  <c r="F74" i="2"/>
  <c r="F73" i="2"/>
  <c r="F76" i="2"/>
  <c r="F75" i="2"/>
  <c r="F78" i="2"/>
  <c r="F77" i="2"/>
  <c r="F80" i="2"/>
  <c r="F79" i="2"/>
  <c r="F82" i="2"/>
  <c r="F81" i="2"/>
  <c r="F67" i="2"/>
  <c r="F85" i="2"/>
  <c r="F86" i="2"/>
  <c r="F84" i="2"/>
  <c r="F88" i="2"/>
  <c r="F89" i="2"/>
  <c r="F90" i="2"/>
  <c r="F91" i="2"/>
  <c r="F92" i="2"/>
  <c r="F93" i="2"/>
  <c r="F94" i="2"/>
  <c r="F95" i="2"/>
  <c r="F96" i="2"/>
  <c r="F97" i="2"/>
  <c r="F98" i="2"/>
  <c r="F87" i="2"/>
  <c r="F83" i="2"/>
  <c r="F101" i="2"/>
  <c r="F100" i="2"/>
  <c r="F99" i="2"/>
  <c r="F104" i="2"/>
  <c r="F105" i="2"/>
  <c r="F103" i="2"/>
  <c r="F102" i="2"/>
  <c r="F108" i="2"/>
  <c r="F107" i="2"/>
  <c r="F110" i="2"/>
  <c r="F109" i="2"/>
  <c r="F106" i="2"/>
  <c r="F113" i="2"/>
  <c r="F112" i="2"/>
  <c r="F115" i="2"/>
  <c r="F114" i="2"/>
  <c r="F117" i="2"/>
  <c r="F116" i="2"/>
  <c r="F119" i="2"/>
  <c r="F118" i="2"/>
  <c r="F111" i="2"/>
  <c r="F122" i="2"/>
  <c r="F123" i="2"/>
  <c r="F124" i="2"/>
  <c r="F121" i="2"/>
  <c r="F126" i="2"/>
  <c r="F127" i="2"/>
  <c r="F128" i="2"/>
  <c r="F125" i="2"/>
  <c r="F130" i="2"/>
  <c r="F131" i="2"/>
  <c r="F132" i="2"/>
  <c r="F129" i="2"/>
  <c r="F134" i="2"/>
  <c r="F133" i="2"/>
  <c r="F136" i="2"/>
  <c r="F135" i="2"/>
  <c r="F138" i="2"/>
  <c r="F139" i="2"/>
  <c r="F140" i="2"/>
  <c r="F137" i="2"/>
  <c r="F120" i="2"/>
  <c r="F143" i="2"/>
  <c r="F144" i="2"/>
  <c r="F145" i="2"/>
  <c r="F142" i="2"/>
  <c r="F147" i="2"/>
  <c r="F148" i="2"/>
  <c r="F146" i="2"/>
  <c r="F150" i="2"/>
  <c r="F151" i="2"/>
  <c r="F152" i="2"/>
  <c r="F153" i="2"/>
  <c r="F154" i="2"/>
  <c r="F155" i="2"/>
  <c r="F149" i="2"/>
  <c r="F141" i="2"/>
  <c r="F158" i="2"/>
  <c r="F159" i="2"/>
  <c r="F157" i="2"/>
  <c r="F161" i="2"/>
  <c r="F162" i="2"/>
  <c r="F160" i="2"/>
  <c r="F156" i="2"/>
  <c r="F165" i="2"/>
  <c r="F164" i="2"/>
  <c r="F167" i="2"/>
  <c r="F168" i="2"/>
  <c r="F166" i="2"/>
  <c r="F170" i="2"/>
  <c r="F171" i="2"/>
  <c r="F169" i="2"/>
  <c r="F173" i="2"/>
  <c r="F172" i="2"/>
  <c r="F175" i="2"/>
  <c r="F174" i="2"/>
  <c r="F163" i="2"/>
  <c r="F177" i="2"/>
  <c r="F178" i="2"/>
  <c r="F180" i="2"/>
  <c r="F181" i="2"/>
  <c r="F182" i="2"/>
  <c r="F179" i="2"/>
  <c r="F184" i="2"/>
  <c r="F183" i="2"/>
  <c r="F186" i="2"/>
  <c r="F185" i="2"/>
  <c r="F188" i="2"/>
  <c r="F187" i="2"/>
  <c r="F190" i="2"/>
  <c r="F189" i="2"/>
  <c r="F192" i="2"/>
  <c r="F193" i="2"/>
  <c r="F194" i="2"/>
  <c r="F195" i="2"/>
  <c r="F196" i="2"/>
  <c r="F197" i="2"/>
  <c r="F198" i="2"/>
  <c r="F191" i="2"/>
  <c r="F200" i="2"/>
  <c r="F199" i="2"/>
  <c r="F176" i="2"/>
  <c r="F203" i="2"/>
  <c r="F202" i="2"/>
  <c r="F201" i="2"/>
  <c r="F209" i="2"/>
  <c r="F210" i="2"/>
  <c r="F208" i="2"/>
  <c r="F207" i="2"/>
  <c r="F213" i="2"/>
  <c r="F212" i="2"/>
  <c r="F215" i="2"/>
  <c r="F216" i="2"/>
  <c r="F214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37" i="2"/>
  <c r="F217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65" i="2"/>
  <c r="F280" i="2"/>
  <c r="F279" i="2"/>
  <c r="F211" i="2"/>
  <c r="F283" i="2"/>
  <c r="F282" i="2"/>
  <c r="F281" i="2"/>
  <c r="F286" i="2"/>
  <c r="F285" i="2"/>
  <c r="F288" i="2"/>
  <c r="F287" i="2"/>
  <c r="F290" i="2"/>
  <c r="F289" i="2"/>
  <c r="F292" i="2"/>
  <c r="F291" i="2"/>
  <c r="F294" i="2"/>
  <c r="F293" i="2"/>
  <c r="F296" i="2"/>
  <c r="F295" i="2"/>
  <c r="F298" i="2"/>
  <c r="F297" i="2"/>
  <c r="F284" i="2"/>
  <c r="F206" i="2"/>
  <c r="F205" i="2"/>
  <c r="F204" i="2"/>
  <c r="F299" i="2"/>
  <c r="E12" i="2"/>
  <c r="E11" i="2"/>
  <c r="E14" i="2"/>
  <c r="E15" i="2"/>
  <c r="E16" i="2"/>
  <c r="E13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17" i="2"/>
  <c r="E35" i="2"/>
  <c r="E34" i="2"/>
  <c r="E37" i="2"/>
  <c r="E38" i="2"/>
  <c r="E39" i="2"/>
  <c r="E40" i="2"/>
  <c r="E41" i="2"/>
  <c r="E36" i="2"/>
  <c r="E43" i="2"/>
  <c r="E42" i="2"/>
  <c r="E45" i="2"/>
  <c r="E44" i="2"/>
  <c r="E10" i="2"/>
  <c r="E48" i="2"/>
  <c r="E47" i="2"/>
  <c r="E50" i="2"/>
  <c r="E49" i="2"/>
  <c r="E52" i="2"/>
  <c r="E51" i="2"/>
  <c r="E54" i="2"/>
  <c r="E53" i="2"/>
  <c r="E56" i="2"/>
  <c r="E55" i="2"/>
  <c r="E46" i="2"/>
  <c r="E59" i="2"/>
  <c r="E58" i="2"/>
  <c r="E61" i="2"/>
  <c r="E60" i="2"/>
  <c r="E57" i="2"/>
  <c r="E64" i="2"/>
  <c r="E63" i="2"/>
  <c r="E66" i="2"/>
  <c r="E65" i="2"/>
  <c r="E62" i="2"/>
  <c r="E69" i="2"/>
  <c r="E68" i="2"/>
  <c r="E71" i="2"/>
  <c r="E72" i="2"/>
  <c r="E70" i="2"/>
  <c r="E74" i="2"/>
  <c r="E73" i="2"/>
  <c r="E76" i="2"/>
  <c r="E75" i="2"/>
  <c r="E78" i="2"/>
  <c r="E77" i="2"/>
  <c r="E80" i="2"/>
  <c r="E79" i="2"/>
  <c r="E82" i="2"/>
  <c r="E81" i="2"/>
  <c r="E67" i="2"/>
  <c r="E85" i="2"/>
  <c r="E86" i="2"/>
  <c r="E84" i="2"/>
  <c r="E88" i="2"/>
  <c r="E89" i="2"/>
  <c r="E90" i="2"/>
  <c r="E91" i="2"/>
  <c r="E92" i="2"/>
  <c r="E93" i="2"/>
  <c r="E94" i="2"/>
  <c r="E95" i="2"/>
  <c r="E96" i="2"/>
  <c r="E97" i="2"/>
  <c r="E98" i="2"/>
  <c r="E87" i="2"/>
  <c r="E83" i="2"/>
  <c r="E101" i="2"/>
  <c r="E100" i="2"/>
  <c r="E99" i="2"/>
  <c r="E104" i="2"/>
  <c r="E105" i="2"/>
  <c r="E103" i="2"/>
  <c r="E102" i="2"/>
  <c r="E108" i="2"/>
  <c r="E107" i="2"/>
  <c r="E110" i="2"/>
  <c r="E109" i="2"/>
  <c r="E106" i="2"/>
  <c r="E113" i="2"/>
  <c r="E112" i="2"/>
  <c r="E115" i="2"/>
  <c r="E114" i="2"/>
  <c r="E117" i="2"/>
  <c r="E116" i="2"/>
  <c r="E119" i="2"/>
  <c r="E118" i="2"/>
  <c r="E111" i="2"/>
  <c r="E122" i="2"/>
  <c r="E123" i="2"/>
  <c r="E124" i="2"/>
  <c r="E121" i="2"/>
  <c r="E126" i="2"/>
  <c r="E127" i="2"/>
  <c r="E128" i="2"/>
  <c r="E125" i="2"/>
  <c r="E130" i="2"/>
  <c r="E131" i="2"/>
  <c r="E132" i="2"/>
  <c r="E129" i="2"/>
  <c r="E134" i="2"/>
  <c r="E133" i="2"/>
  <c r="E136" i="2"/>
  <c r="E135" i="2"/>
  <c r="E138" i="2"/>
  <c r="E139" i="2"/>
  <c r="E140" i="2"/>
  <c r="E137" i="2"/>
  <c r="E120" i="2"/>
  <c r="E143" i="2"/>
  <c r="E144" i="2"/>
  <c r="E145" i="2"/>
  <c r="E142" i="2"/>
  <c r="E147" i="2"/>
  <c r="E148" i="2"/>
  <c r="E146" i="2"/>
  <c r="E150" i="2"/>
  <c r="E151" i="2"/>
  <c r="E152" i="2"/>
  <c r="E153" i="2"/>
  <c r="E154" i="2"/>
  <c r="E155" i="2"/>
  <c r="E149" i="2"/>
  <c r="E141" i="2"/>
  <c r="E158" i="2"/>
  <c r="E159" i="2"/>
  <c r="E157" i="2"/>
  <c r="E161" i="2"/>
  <c r="E162" i="2"/>
  <c r="E160" i="2"/>
  <c r="E156" i="2"/>
  <c r="E165" i="2"/>
  <c r="E164" i="2"/>
  <c r="E167" i="2"/>
  <c r="E168" i="2"/>
  <c r="E166" i="2"/>
  <c r="E170" i="2"/>
  <c r="E171" i="2"/>
  <c r="E169" i="2"/>
  <c r="E173" i="2"/>
  <c r="E172" i="2"/>
  <c r="E175" i="2"/>
  <c r="E174" i="2"/>
  <c r="E163" i="2"/>
  <c r="E177" i="2"/>
  <c r="E178" i="2"/>
  <c r="E180" i="2"/>
  <c r="E181" i="2"/>
  <c r="E182" i="2"/>
  <c r="E179" i="2"/>
  <c r="E184" i="2"/>
  <c r="E183" i="2"/>
  <c r="E186" i="2"/>
  <c r="E185" i="2"/>
  <c r="E188" i="2"/>
  <c r="E187" i="2"/>
  <c r="E190" i="2"/>
  <c r="E189" i="2"/>
  <c r="E192" i="2"/>
  <c r="E193" i="2"/>
  <c r="E194" i="2"/>
  <c r="E195" i="2"/>
  <c r="E196" i="2"/>
  <c r="E197" i="2"/>
  <c r="E198" i="2"/>
  <c r="E191" i="2"/>
  <c r="E200" i="2"/>
  <c r="E199" i="2"/>
  <c r="E176" i="2"/>
  <c r="E203" i="2"/>
  <c r="E202" i="2"/>
  <c r="E201" i="2"/>
  <c r="E209" i="2"/>
  <c r="E210" i="2"/>
  <c r="E208" i="2"/>
  <c r="E207" i="2"/>
  <c r="E213" i="2"/>
  <c r="E212" i="2"/>
  <c r="E215" i="2"/>
  <c r="E216" i="2"/>
  <c r="E214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37" i="2"/>
  <c r="E217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65" i="2"/>
  <c r="E280" i="2"/>
  <c r="E279" i="2"/>
  <c r="E211" i="2"/>
  <c r="E283" i="2"/>
  <c r="E282" i="2"/>
  <c r="E281" i="2"/>
  <c r="E286" i="2"/>
  <c r="E285" i="2"/>
  <c r="E288" i="2"/>
  <c r="E287" i="2"/>
  <c r="E290" i="2"/>
  <c r="E289" i="2"/>
  <c r="E292" i="2"/>
  <c r="E291" i="2"/>
  <c r="E294" i="2"/>
  <c r="E293" i="2"/>
  <c r="E296" i="2"/>
  <c r="E295" i="2"/>
  <c r="E298" i="2"/>
  <c r="E297" i="2"/>
  <c r="E284" i="2"/>
  <c r="E206" i="2"/>
  <c r="E205" i="2"/>
  <c r="E204" i="2"/>
  <c r="E299" i="2"/>
  <c r="CQ14" i="2"/>
  <c r="CN292" i="1"/>
  <c r="CC292" i="1"/>
  <c r="P292" i="1"/>
  <c r="CC167" i="1"/>
  <c r="AZ165" i="1"/>
  <c r="K165" i="1"/>
  <c r="AZ147" i="1"/>
  <c r="CI292" i="1"/>
  <c r="CL292" i="1"/>
  <c r="CG292" i="1"/>
  <c r="CS278" i="1"/>
  <c r="CP248" i="1"/>
  <c r="CB248" i="1"/>
  <c r="Y248" i="1"/>
  <c r="H181" i="1"/>
  <c r="I171" i="1"/>
  <c r="H171" i="1"/>
  <c r="I168" i="1"/>
  <c r="H168" i="1"/>
  <c r="AZ167" i="1"/>
  <c r="I167" i="1"/>
  <c r="H167" i="1"/>
  <c r="CC165" i="1"/>
  <c r="AU165" i="1"/>
  <c r="I165" i="1"/>
  <c r="H165" i="1"/>
  <c r="I150" i="1"/>
  <c r="H150" i="1"/>
  <c r="CC128" i="1"/>
  <c r="M128" i="1"/>
  <c r="I86" i="1"/>
  <c r="H86" i="1"/>
  <c r="I30" i="1"/>
  <c r="H30" i="1"/>
  <c r="CS280" i="1"/>
  <c r="CC249" i="1"/>
  <c r="AR249" i="1"/>
  <c r="AJ249" i="1"/>
  <c r="AH249" i="1"/>
  <c r="AG249" i="1"/>
  <c r="P249" i="1"/>
  <c r="O249" i="1"/>
  <c r="AZ249" i="1"/>
  <c r="CN248" i="1"/>
  <c r="AZ248" i="1"/>
  <c r="CS274" i="1"/>
  <c r="CC76" i="1"/>
  <c r="AZ76" i="1"/>
  <c r="AL76" i="1"/>
  <c r="P76" i="1"/>
  <c r="CO246" i="1"/>
  <c r="AZ246" i="1"/>
  <c r="AS246" i="1"/>
  <c r="AG246" i="1"/>
  <c r="P246" i="1"/>
  <c r="L246" i="1"/>
  <c r="K246" i="1"/>
  <c r="CS213" i="1"/>
  <c r="I154" i="1"/>
  <c r="H154" i="1"/>
  <c r="CU155" i="1"/>
  <c r="CK155" i="1"/>
  <c r="CD155" i="1"/>
  <c r="CA155" i="1"/>
  <c r="BM155" i="1"/>
  <c r="BK155" i="1"/>
  <c r="BF155" i="1"/>
  <c r="BB155" i="1"/>
  <c r="AE155" i="1"/>
  <c r="V155" i="1"/>
  <c r="Q155" i="1"/>
  <c r="J155" i="1"/>
  <c r="AF98" i="1"/>
  <c r="BP85" i="1"/>
  <c r="AY85" i="1"/>
  <c r="AL85" i="1"/>
  <c r="I76" i="1"/>
  <c r="H76" i="1"/>
  <c r="AH64" i="1"/>
  <c r="AD64" i="1"/>
  <c r="CS272" i="1"/>
  <c r="CS269" i="1"/>
  <c r="AS21" i="1"/>
  <c r="AR21" i="1"/>
  <c r="AL21" i="1"/>
  <c r="U21" i="1"/>
  <c r="O21" i="1"/>
  <c r="Y216" i="1"/>
  <c r="X216" i="1"/>
  <c r="CT155" i="1"/>
  <c r="BA155" i="1"/>
  <c r="BZ155" i="1"/>
  <c r="G155" i="1"/>
  <c r="BW194" i="1"/>
  <c r="BX194" i="1"/>
  <c r="F155" i="1"/>
  <c r="BY155" i="1"/>
  <c r="E155" i="1"/>
  <c r="AW216" i="1"/>
  <c r="AR216" i="1"/>
  <c r="AK69" i="1"/>
  <c r="AJ69" i="1"/>
  <c r="AI69" i="1"/>
  <c r="CO78" i="1"/>
  <c r="CC78" i="1"/>
  <c r="AZ78" i="1"/>
  <c r="AK78" i="1"/>
  <c r="P78" i="1"/>
  <c r="AM78" i="1"/>
  <c r="AL78" i="1"/>
  <c r="L78" i="1"/>
  <c r="Y54" i="1"/>
  <c r="Y15" i="1"/>
  <c r="AW76" i="1"/>
  <c r="O76" i="1"/>
  <c r="CP292" i="1"/>
  <c r="BI298" i="1"/>
  <c r="H288" i="1"/>
  <c r="I288" i="1"/>
  <c r="K288" i="1"/>
  <c r="L288" i="1"/>
  <c r="N288" i="1"/>
  <c r="O288" i="1"/>
  <c r="P288" i="1"/>
  <c r="R288" i="1"/>
  <c r="S288" i="1"/>
  <c r="T288" i="1"/>
  <c r="U288" i="1"/>
  <c r="W288" i="1"/>
  <c r="AA288" i="1"/>
  <c r="AG288" i="1"/>
  <c r="AH288" i="1"/>
  <c r="AJ288" i="1"/>
  <c r="AK288" i="1"/>
  <c r="AL288" i="1"/>
  <c r="AM288" i="1"/>
  <c r="AW288" i="1"/>
  <c r="AY288" i="1"/>
  <c r="AZ288" i="1"/>
  <c r="BX288" i="1"/>
  <c r="CC288" i="1"/>
  <c r="CH288" i="1"/>
  <c r="CJ288" i="1"/>
  <c r="CN288" i="1"/>
  <c r="CO288" i="1"/>
  <c r="AT132" i="1"/>
  <c r="AS132" i="1"/>
  <c r="BX296" i="1"/>
  <c r="AZ294" i="1"/>
  <c r="K292" i="1"/>
  <c r="CB292" i="1"/>
  <c r="CF292" i="1"/>
  <c r="CH292" i="1"/>
  <c r="CM292" i="1"/>
  <c r="CO292" i="1"/>
  <c r="CS292" i="1"/>
  <c r="BX290" i="1"/>
  <c r="BW288" i="1"/>
  <c r="BH286" i="1"/>
  <c r="CS276" i="1"/>
  <c r="CS275" i="1"/>
  <c r="CS273" i="1"/>
  <c r="BI236" i="1"/>
  <c r="AZ234" i="1"/>
  <c r="CC232" i="1"/>
  <c r="CC231" i="1"/>
  <c r="AZ230" i="1"/>
  <c r="P227" i="1"/>
  <c r="AZ224" i="1"/>
  <c r="AZ223" i="1"/>
  <c r="AQ218" i="1"/>
  <c r="BI209" i="1"/>
  <c r="CR206" i="1"/>
  <c r="BX197" i="1"/>
  <c r="BW196" i="1"/>
  <c r="CD288" i="1"/>
  <c r="BW195" i="1"/>
  <c r="BV194" i="1"/>
  <c r="BT184" i="1"/>
  <c r="BW184" i="1"/>
  <c r="BN177" i="1"/>
  <c r="BW177" i="1"/>
  <c r="K167" i="1"/>
  <c r="M165" i="1"/>
  <c r="AZ148" i="1"/>
  <c r="BX82" i="1"/>
  <c r="AZ82" i="1"/>
  <c r="CC74" i="1"/>
  <c r="I74" i="1"/>
  <c r="H74" i="1"/>
  <c r="H69" i="1"/>
  <c r="H64" i="1"/>
  <c r="AZ61" i="1"/>
  <c r="CC37" i="1"/>
  <c r="AZ37" i="1"/>
  <c r="AY37" i="1"/>
  <c r="S37" i="1"/>
  <c r="P37" i="1"/>
  <c r="AD297" i="1"/>
  <c r="AD295" i="1"/>
  <c r="AD293" i="1"/>
  <c r="AD291" i="1"/>
  <c r="AD289" i="1"/>
  <c r="AD288" i="1"/>
  <c r="AD285" i="1"/>
  <c r="AD282" i="1"/>
  <c r="AD279" i="1"/>
  <c r="AD265" i="1"/>
  <c r="AD264" i="1"/>
  <c r="AD261" i="1"/>
  <c r="AD259" i="1"/>
  <c r="AD254" i="1"/>
  <c r="AD250" i="1"/>
  <c r="AD249" i="1"/>
  <c r="AD248" i="1"/>
  <c r="AD247" i="1"/>
  <c r="AD246" i="1"/>
  <c r="AD244" i="1"/>
  <c r="AD243" i="1"/>
  <c r="AD242" i="1"/>
  <c r="AD241" i="1"/>
  <c r="AD214" i="1"/>
  <c r="AD212" i="1"/>
  <c r="AD208" i="1"/>
  <c r="AD205" i="1"/>
  <c r="AD202" i="1"/>
  <c r="AD199" i="1"/>
  <c r="AD191" i="1"/>
  <c r="AD189" i="1"/>
  <c r="AD187" i="1"/>
  <c r="AD185" i="1"/>
  <c r="AD183" i="1"/>
  <c r="AD179" i="1"/>
  <c r="AD174" i="1"/>
  <c r="AD172" i="1"/>
  <c r="AD169" i="1"/>
  <c r="AD166" i="1"/>
  <c r="AD164" i="1"/>
  <c r="AD160" i="1"/>
  <c r="AD157" i="1"/>
  <c r="AD149" i="1"/>
  <c r="AD146" i="1"/>
  <c r="AD142" i="1"/>
  <c r="AD137" i="1"/>
  <c r="AD135" i="1"/>
  <c r="AD133" i="1"/>
  <c r="AD129" i="1"/>
  <c r="AD125" i="1"/>
  <c r="AD121" i="1"/>
  <c r="AD118" i="1"/>
  <c r="AD116" i="1"/>
  <c r="AD114" i="1"/>
  <c r="AD112" i="1"/>
  <c r="AD109" i="1"/>
  <c r="AD107" i="1"/>
  <c r="AD103" i="1"/>
  <c r="AD100" i="1"/>
  <c r="AD87" i="1"/>
  <c r="AD84" i="1"/>
  <c r="AD81" i="1"/>
  <c r="AD79" i="1"/>
  <c r="AD77" i="1"/>
  <c r="AD75" i="1"/>
  <c r="AD73" i="1"/>
  <c r="AD70" i="1"/>
  <c r="AD69" i="1"/>
  <c r="AD65" i="1"/>
  <c r="AD63" i="1"/>
  <c r="AD60" i="1"/>
  <c r="AD58" i="1"/>
  <c r="AD55" i="1"/>
  <c r="AD53" i="1"/>
  <c r="AD51" i="1"/>
  <c r="AD49" i="1"/>
  <c r="AD47" i="1"/>
  <c r="AD44" i="1"/>
  <c r="AD42" i="1"/>
  <c r="AD41" i="1"/>
  <c r="AD34" i="1"/>
  <c r="AD17" i="1"/>
  <c r="AD13" i="1"/>
  <c r="AD11" i="1"/>
  <c r="AD36" i="1"/>
  <c r="AD68" i="1"/>
  <c r="AD287" i="1"/>
  <c r="AD99" i="1"/>
  <c r="AD204" i="1"/>
  <c r="AD102" i="1"/>
  <c r="AD201" i="1"/>
  <c r="AD207" i="1"/>
  <c r="AD281" i="1"/>
  <c r="AD57" i="1"/>
  <c r="AD62" i="1"/>
  <c r="AD67" i="1"/>
  <c r="AD163" i="1"/>
  <c r="AD120" i="1"/>
  <c r="AD176" i="1"/>
  <c r="AD237" i="1"/>
  <c r="AD284" i="1"/>
  <c r="AD46" i="1"/>
  <c r="AD106" i="1"/>
  <c r="AD111" i="1"/>
  <c r="AD156" i="1"/>
  <c r="AD10" i="1"/>
  <c r="AD83" i="1"/>
  <c r="AD141" i="1"/>
  <c r="H20" i="1"/>
  <c r="AD217" i="1"/>
  <c r="I39" i="1"/>
  <c r="H39" i="1"/>
  <c r="AD211" i="1"/>
  <c r="CJ297" i="1"/>
  <c r="CJ295" i="1"/>
  <c r="CJ293" i="1"/>
  <c r="CJ291" i="1"/>
  <c r="CJ289" i="1"/>
  <c r="CJ287" i="1"/>
  <c r="CJ285" i="1"/>
  <c r="CJ282" i="1"/>
  <c r="CJ279" i="1"/>
  <c r="CJ265" i="1"/>
  <c r="CJ237" i="1"/>
  <c r="CJ214" i="1"/>
  <c r="CJ212" i="1"/>
  <c r="CJ208" i="1"/>
  <c r="CJ205" i="1"/>
  <c r="CJ202" i="1"/>
  <c r="CJ199" i="1"/>
  <c r="CJ191" i="1"/>
  <c r="CJ189" i="1"/>
  <c r="CJ187" i="1"/>
  <c r="CJ185" i="1"/>
  <c r="CJ183" i="1"/>
  <c r="CJ179" i="1"/>
  <c r="CJ174" i="1"/>
  <c r="CJ172" i="1"/>
  <c r="CJ169" i="1"/>
  <c r="CJ166" i="1"/>
  <c r="CJ164" i="1"/>
  <c r="CJ160" i="1"/>
  <c r="CJ157" i="1"/>
  <c r="CJ149" i="1"/>
  <c r="CJ146" i="1"/>
  <c r="CJ142" i="1"/>
  <c r="CJ137" i="1"/>
  <c r="CJ135" i="1"/>
  <c r="CJ133" i="1"/>
  <c r="CJ129" i="1"/>
  <c r="CJ125" i="1"/>
  <c r="CJ121" i="1"/>
  <c r="CJ118" i="1"/>
  <c r="CJ116" i="1"/>
  <c r="CJ114" i="1"/>
  <c r="CJ112" i="1"/>
  <c r="CJ109" i="1"/>
  <c r="CJ107" i="1"/>
  <c r="CJ103" i="1"/>
  <c r="CJ100" i="1"/>
  <c r="CJ87" i="1"/>
  <c r="CJ84" i="1"/>
  <c r="CJ81" i="1"/>
  <c r="CJ79" i="1"/>
  <c r="CJ77" i="1"/>
  <c r="CJ75" i="1"/>
  <c r="CJ73" i="1"/>
  <c r="CJ70" i="1"/>
  <c r="CJ68" i="1"/>
  <c r="CJ65" i="1"/>
  <c r="CJ63" i="1"/>
  <c r="CJ60" i="1"/>
  <c r="CJ58" i="1"/>
  <c r="CJ55" i="1"/>
  <c r="CJ53" i="1"/>
  <c r="CJ51" i="1"/>
  <c r="CJ49" i="1"/>
  <c r="CJ47" i="1"/>
  <c r="CJ44" i="1"/>
  <c r="CJ42" i="1"/>
  <c r="CJ36" i="1"/>
  <c r="CJ34" i="1"/>
  <c r="CJ17" i="1"/>
  <c r="CJ13" i="1"/>
  <c r="CJ11" i="1"/>
  <c r="CU234" i="1"/>
  <c r="CQ234" i="1"/>
  <c r="CK234" i="1"/>
  <c r="CD234" i="1"/>
  <c r="CA234" i="1"/>
  <c r="BM234" i="1"/>
  <c r="BK234" i="1"/>
  <c r="BF234" i="1"/>
  <c r="BB234" i="1"/>
  <c r="AE234" i="1"/>
  <c r="V234" i="1"/>
  <c r="Q234" i="1"/>
  <c r="J234" i="1"/>
  <c r="CU230" i="1"/>
  <c r="CQ230" i="1"/>
  <c r="CK230" i="1"/>
  <c r="CD230" i="1"/>
  <c r="CA230" i="1"/>
  <c r="BM230" i="1"/>
  <c r="BK230" i="1"/>
  <c r="BF230" i="1"/>
  <c r="BB230" i="1"/>
  <c r="AE230" i="1"/>
  <c r="V230" i="1"/>
  <c r="Q230" i="1"/>
  <c r="J230" i="1"/>
  <c r="CU223" i="1"/>
  <c r="CQ223" i="1"/>
  <c r="CK223" i="1"/>
  <c r="CD223" i="1"/>
  <c r="CA223" i="1"/>
  <c r="BM223" i="1"/>
  <c r="BK223" i="1"/>
  <c r="BF223" i="1"/>
  <c r="BB223" i="1"/>
  <c r="AE223" i="1"/>
  <c r="V223" i="1"/>
  <c r="Q223" i="1"/>
  <c r="J223" i="1"/>
  <c r="CU220" i="1"/>
  <c r="CQ220" i="1"/>
  <c r="CK220" i="1"/>
  <c r="CD220" i="1"/>
  <c r="CA220" i="1"/>
  <c r="BM220" i="1"/>
  <c r="BK220" i="1"/>
  <c r="BF220" i="1"/>
  <c r="BB220" i="1"/>
  <c r="AE220" i="1"/>
  <c r="V220" i="1"/>
  <c r="Q220" i="1"/>
  <c r="J220" i="1"/>
  <c r="CU92" i="1"/>
  <c r="CQ92" i="1"/>
  <c r="CK92" i="1"/>
  <c r="CD92" i="1"/>
  <c r="CA92" i="1"/>
  <c r="BM92" i="1"/>
  <c r="BK92" i="1"/>
  <c r="BF92" i="1"/>
  <c r="BB92" i="1"/>
  <c r="AE92" i="1"/>
  <c r="V92" i="1"/>
  <c r="Q92" i="1"/>
  <c r="J92" i="1"/>
  <c r="CU91" i="1"/>
  <c r="CQ91" i="1"/>
  <c r="CK91" i="1"/>
  <c r="CD91" i="1"/>
  <c r="CA91" i="1"/>
  <c r="BM91" i="1"/>
  <c r="BK91" i="1"/>
  <c r="BF91" i="1"/>
  <c r="BB91" i="1"/>
  <c r="AE91" i="1"/>
  <c r="V91" i="1"/>
  <c r="Q91" i="1"/>
  <c r="J91" i="1"/>
  <c r="CJ102" i="1"/>
  <c r="CT223" i="1"/>
  <c r="CT234" i="1"/>
  <c r="CJ99" i="1"/>
  <c r="AD299" i="1"/>
  <c r="CJ106" i="1"/>
  <c r="G230" i="1"/>
  <c r="CJ62" i="1"/>
  <c r="CT92" i="1"/>
  <c r="CJ217" i="1"/>
  <c r="CJ281" i="1"/>
  <c r="CJ284" i="1"/>
  <c r="BA92" i="1"/>
  <c r="BZ92" i="1"/>
  <c r="G220" i="1"/>
  <c r="G223" i="1"/>
  <c r="BA223" i="1"/>
  <c r="G234" i="1"/>
  <c r="BZ234" i="1"/>
  <c r="CJ10" i="1"/>
  <c r="BZ91" i="1"/>
  <c r="CT91" i="1"/>
  <c r="CT220" i="1"/>
  <c r="CT230" i="1"/>
  <c r="CJ46" i="1"/>
  <c r="CJ67" i="1"/>
  <c r="CJ111" i="1"/>
  <c r="CJ120" i="1"/>
  <c r="CJ156" i="1"/>
  <c r="CJ163" i="1"/>
  <c r="CJ176" i="1"/>
  <c r="CJ201" i="1"/>
  <c r="CJ207" i="1"/>
  <c r="G92" i="1"/>
  <c r="BZ223" i="1"/>
  <c r="BA234" i="1"/>
  <c r="CJ57" i="1"/>
  <c r="CJ83" i="1"/>
  <c r="CJ141" i="1"/>
  <c r="CJ204" i="1"/>
  <c r="BA220" i="1"/>
  <c r="BZ220" i="1"/>
  <c r="BA230" i="1"/>
  <c r="BZ230" i="1"/>
  <c r="BA91" i="1"/>
  <c r="G91" i="1"/>
  <c r="CC242" i="1"/>
  <c r="AZ242" i="1"/>
  <c r="AS242" i="1"/>
  <c r="AM242" i="1"/>
  <c r="AJ242" i="1"/>
  <c r="AH242" i="1"/>
  <c r="AA242" i="1"/>
  <c r="Z242" i="1"/>
  <c r="Y242" i="1"/>
  <c r="X242" i="1"/>
  <c r="U242" i="1"/>
  <c r="P242" i="1"/>
  <c r="O242" i="1"/>
  <c r="F92" i="1"/>
  <c r="F223" i="1"/>
  <c r="F234" i="1"/>
  <c r="CJ211" i="1"/>
  <c r="BY223" i="1"/>
  <c r="BY91" i="1"/>
  <c r="BY234" i="1"/>
  <c r="F220" i="1"/>
  <c r="F230" i="1"/>
  <c r="BY230" i="1"/>
  <c r="BY220" i="1"/>
  <c r="BY92" i="1"/>
  <c r="F91" i="1"/>
  <c r="O292" i="1"/>
  <c r="AV292" i="1"/>
  <c r="CC291" i="1"/>
  <c r="Z288" i="1"/>
  <c r="Y288" i="1"/>
  <c r="X288" i="1"/>
  <c r="AZ293" i="1"/>
  <c r="CW283" i="1"/>
  <c r="R263" i="1"/>
  <c r="CC264" i="1"/>
  <c r="Z264" i="1"/>
  <c r="AM262" i="1"/>
  <c r="AH262" i="1"/>
  <c r="Z262" i="1"/>
  <c r="Y262" i="1"/>
  <c r="X262" i="1"/>
  <c r="Z261" i="1"/>
  <c r="Y261" i="1"/>
  <c r="X261" i="1"/>
  <c r="AZ260" i="1"/>
  <c r="Z260" i="1"/>
  <c r="Y260" i="1"/>
  <c r="X260" i="1"/>
  <c r="AZ259" i="1"/>
  <c r="Z259" i="1"/>
  <c r="Y259" i="1"/>
  <c r="X259" i="1"/>
  <c r="AZ258" i="1"/>
  <c r="Z258" i="1"/>
  <c r="Y258" i="1"/>
  <c r="X258" i="1"/>
  <c r="CC257" i="1"/>
  <c r="AZ257" i="1"/>
  <c r="AP257" i="1"/>
  <c r="AH257" i="1"/>
  <c r="AA257" i="1"/>
  <c r="Z257" i="1"/>
  <c r="Y257" i="1"/>
  <c r="X257" i="1"/>
  <c r="P257" i="1"/>
  <c r="I257" i="1"/>
  <c r="CC256" i="1"/>
  <c r="AZ256" i="1"/>
  <c r="AG256" i="1"/>
  <c r="Z256" i="1"/>
  <c r="Y256" i="1"/>
  <c r="X256" i="1"/>
  <c r="W256" i="1"/>
  <c r="U256" i="1"/>
  <c r="P256" i="1"/>
  <c r="AZ255" i="1"/>
  <c r="Z255" i="1"/>
  <c r="Y255" i="1"/>
  <c r="P255" i="1"/>
  <c r="AZ254" i="1"/>
  <c r="Z254" i="1"/>
  <c r="Y254" i="1"/>
  <c r="X254" i="1"/>
  <c r="CN253" i="1"/>
  <c r="CC253" i="1"/>
  <c r="AZ253" i="1"/>
  <c r="AZ252" i="1"/>
  <c r="AP253" i="1"/>
  <c r="AM253" i="1"/>
  <c r="AL253" i="1"/>
  <c r="AJ253" i="1"/>
  <c r="AI253" i="1"/>
  <c r="AH253" i="1"/>
  <c r="AG253" i="1"/>
  <c r="AA253" i="1"/>
  <c r="Z253" i="1"/>
  <c r="Y253" i="1"/>
  <c r="X253" i="1"/>
  <c r="W253" i="1"/>
  <c r="U253" i="1"/>
  <c r="S253" i="1"/>
  <c r="R253" i="1"/>
  <c r="P253" i="1"/>
  <c r="O253" i="1"/>
  <c r="M253" i="1"/>
  <c r="K253" i="1"/>
  <c r="I253" i="1"/>
  <c r="H253" i="1"/>
  <c r="CC251" i="1"/>
  <c r="AG251" i="1"/>
  <c r="Z251" i="1"/>
  <c r="Y251" i="1"/>
  <c r="X251" i="1"/>
  <c r="CC250" i="1"/>
  <c r="AZ250" i="1"/>
  <c r="Z250" i="1"/>
  <c r="W250" i="1"/>
  <c r="P250" i="1"/>
  <c r="O250" i="1"/>
  <c r="Z249" i="1"/>
  <c r="Y249" i="1"/>
  <c r="X249" i="1"/>
  <c r="I249" i="1"/>
  <c r="H249" i="1"/>
  <c r="AL248" i="1"/>
  <c r="Z248" i="1"/>
  <c r="X248" i="1"/>
  <c r="U248" i="1"/>
  <c r="I248" i="1"/>
  <c r="H248" i="1"/>
  <c r="CC247" i="1"/>
  <c r="AZ247" i="1"/>
  <c r="AS247" i="1"/>
  <c r="AL247" i="1"/>
  <c r="AH247" i="1"/>
  <c r="AG247" i="1"/>
  <c r="AB247" i="1"/>
  <c r="Z247" i="1"/>
  <c r="Y247" i="1"/>
  <c r="T247" i="1"/>
  <c r="P247" i="1"/>
  <c r="O247" i="1"/>
  <c r="I247" i="1"/>
  <c r="H247" i="1"/>
  <c r="CU264" i="1"/>
  <c r="CK264" i="1"/>
  <c r="CD264" i="1"/>
  <c r="BM264" i="1"/>
  <c r="BK264" i="1"/>
  <c r="BF264" i="1"/>
  <c r="BB264" i="1"/>
  <c r="AE264" i="1"/>
  <c r="Q264" i="1"/>
  <c r="J264" i="1"/>
  <c r="CU263" i="1"/>
  <c r="CK263" i="1"/>
  <c r="CD263" i="1"/>
  <c r="CA263" i="1"/>
  <c r="BM263" i="1"/>
  <c r="BK263" i="1"/>
  <c r="BF263" i="1"/>
  <c r="BB263" i="1"/>
  <c r="AE263" i="1"/>
  <c r="V263" i="1"/>
  <c r="J263" i="1"/>
  <c r="CU262" i="1"/>
  <c r="CK262" i="1"/>
  <c r="CD262" i="1"/>
  <c r="CA262" i="1"/>
  <c r="BM262" i="1"/>
  <c r="BK262" i="1"/>
  <c r="BF262" i="1"/>
  <c r="BB262" i="1"/>
  <c r="Q262" i="1"/>
  <c r="J262" i="1"/>
  <c r="CU261" i="1"/>
  <c r="CK261" i="1"/>
  <c r="CD261" i="1"/>
  <c r="CA261" i="1"/>
  <c r="BM261" i="1"/>
  <c r="BK261" i="1"/>
  <c r="BF261" i="1"/>
  <c r="BB261" i="1"/>
  <c r="AE261" i="1"/>
  <c r="Q261" i="1"/>
  <c r="J261" i="1"/>
  <c r="CU260" i="1"/>
  <c r="CK260" i="1"/>
  <c r="CD260" i="1"/>
  <c r="CA260" i="1"/>
  <c r="BM260" i="1"/>
  <c r="BK260" i="1"/>
  <c r="BF260" i="1"/>
  <c r="BB260" i="1"/>
  <c r="Q260" i="1"/>
  <c r="J260" i="1"/>
  <c r="CU259" i="1"/>
  <c r="CK259" i="1"/>
  <c r="CD259" i="1"/>
  <c r="CA259" i="1"/>
  <c r="BM259" i="1"/>
  <c r="BK259" i="1"/>
  <c r="BF259" i="1"/>
  <c r="BB259" i="1"/>
  <c r="Q259" i="1"/>
  <c r="J259" i="1"/>
  <c r="CU258" i="1"/>
  <c r="CK258" i="1"/>
  <c r="CD258" i="1"/>
  <c r="CA258" i="1"/>
  <c r="BM258" i="1"/>
  <c r="BK258" i="1"/>
  <c r="BF258" i="1"/>
  <c r="BB258" i="1"/>
  <c r="Q258" i="1"/>
  <c r="J258" i="1"/>
  <c r="CU257" i="1"/>
  <c r="CK257" i="1"/>
  <c r="CD257" i="1"/>
  <c r="BM257" i="1"/>
  <c r="BK257" i="1"/>
  <c r="BF257" i="1"/>
  <c r="BB257" i="1"/>
  <c r="Q257" i="1"/>
  <c r="CU256" i="1"/>
  <c r="CK256" i="1"/>
  <c r="CD256" i="1"/>
  <c r="BM256" i="1"/>
  <c r="BK256" i="1"/>
  <c r="BF256" i="1"/>
  <c r="BB256" i="1"/>
  <c r="Q256" i="1"/>
  <c r="CU255" i="1"/>
  <c r="CK255" i="1"/>
  <c r="CD255" i="1"/>
  <c r="CA255" i="1"/>
  <c r="BM255" i="1"/>
  <c r="BK255" i="1"/>
  <c r="BF255" i="1"/>
  <c r="BB255" i="1"/>
  <c r="Q255" i="1"/>
  <c r="CU254" i="1"/>
  <c r="CK254" i="1"/>
  <c r="CD254" i="1"/>
  <c r="CA254" i="1"/>
  <c r="BM254" i="1"/>
  <c r="BK254" i="1"/>
  <c r="BF254" i="1"/>
  <c r="BB254" i="1"/>
  <c r="Q254" i="1"/>
  <c r="J254" i="1"/>
  <c r="CU253" i="1"/>
  <c r="CD253" i="1"/>
  <c r="BM253" i="1"/>
  <c r="BK253" i="1"/>
  <c r="BF253" i="1"/>
  <c r="BB253" i="1"/>
  <c r="CU252" i="1"/>
  <c r="CK252" i="1"/>
  <c r="CD252" i="1"/>
  <c r="CA252" i="1"/>
  <c r="BM252" i="1"/>
  <c r="BK252" i="1"/>
  <c r="BF252" i="1"/>
  <c r="BB252" i="1"/>
  <c r="V252" i="1"/>
  <c r="Q252" i="1"/>
  <c r="J252" i="1"/>
  <c r="CU251" i="1"/>
  <c r="CK251" i="1"/>
  <c r="CD251" i="1"/>
  <c r="BM251" i="1"/>
  <c r="BK251" i="1"/>
  <c r="BF251" i="1"/>
  <c r="BB251" i="1"/>
  <c r="Q251" i="1"/>
  <c r="J251" i="1"/>
  <c r="CU250" i="1"/>
  <c r="CK250" i="1"/>
  <c r="CD250" i="1"/>
  <c r="BM250" i="1"/>
  <c r="BK250" i="1"/>
  <c r="BF250" i="1"/>
  <c r="BB250" i="1"/>
  <c r="Q250" i="1"/>
  <c r="CU249" i="1"/>
  <c r="CK249" i="1"/>
  <c r="CD249" i="1"/>
  <c r="BM249" i="1"/>
  <c r="BK249" i="1"/>
  <c r="BF249" i="1"/>
  <c r="BB249" i="1"/>
  <c r="AE249" i="1"/>
  <c r="Q249" i="1"/>
  <c r="J249" i="1"/>
  <c r="CU248" i="1"/>
  <c r="CK248" i="1"/>
  <c r="CD248" i="1"/>
  <c r="CA248" i="1"/>
  <c r="BM248" i="1"/>
  <c r="BK248" i="1"/>
  <c r="BF248" i="1"/>
  <c r="BB248" i="1"/>
  <c r="Q248" i="1"/>
  <c r="J248" i="1"/>
  <c r="CU247" i="1"/>
  <c r="CK247" i="1"/>
  <c r="CD247" i="1"/>
  <c r="BM247" i="1"/>
  <c r="BK247" i="1"/>
  <c r="BF247" i="1"/>
  <c r="BB247" i="1"/>
  <c r="Q247" i="1"/>
  <c r="W246" i="1"/>
  <c r="CC246" i="1"/>
  <c r="AQ246" i="1"/>
  <c r="AJ246" i="1"/>
  <c r="AH246" i="1"/>
  <c r="Z246" i="1"/>
  <c r="Y246" i="1"/>
  <c r="X246" i="1"/>
  <c r="U246" i="1"/>
  <c r="O246" i="1"/>
  <c r="I246" i="1"/>
  <c r="H246" i="1"/>
  <c r="Z245" i="1"/>
  <c r="Y245" i="1"/>
  <c r="X245" i="1"/>
  <c r="P245" i="1"/>
  <c r="W244" i="1"/>
  <c r="X244" i="1"/>
  <c r="Y244" i="1"/>
  <c r="Z244" i="1"/>
  <c r="AA244" i="1"/>
  <c r="AG244" i="1"/>
  <c r="AJ244" i="1"/>
  <c r="AL244" i="1"/>
  <c r="AM244" i="1"/>
  <c r="AZ244" i="1"/>
  <c r="CN244" i="1"/>
  <c r="U244" i="1"/>
  <c r="R244" i="1"/>
  <c r="P244" i="1"/>
  <c r="O244" i="1"/>
  <c r="I244" i="1"/>
  <c r="H244" i="1"/>
  <c r="CC243" i="1"/>
  <c r="AZ243" i="1"/>
  <c r="AH243" i="1"/>
  <c r="Z243" i="1"/>
  <c r="Y243" i="1"/>
  <c r="X243" i="1"/>
  <c r="P243" i="1"/>
  <c r="O243" i="1"/>
  <c r="K243" i="1"/>
  <c r="I243" i="1"/>
  <c r="H243" i="1"/>
  <c r="CC241" i="1"/>
  <c r="AZ241" i="1"/>
  <c r="AS241" i="1"/>
  <c r="AM241" i="1"/>
  <c r="AL241" i="1"/>
  <c r="AJ241" i="1"/>
  <c r="AH241" i="1"/>
  <c r="AG241" i="1"/>
  <c r="Z241" i="1"/>
  <c r="Y241" i="1"/>
  <c r="X241" i="1"/>
  <c r="W241" i="1"/>
  <c r="U241" i="1"/>
  <c r="P241" i="1"/>
  <c r="O241" i="1"/>
  <c r="M241" i="1"/>
  <c r="L241" i="1"/>
  <c r="K241" i="1"/>
  <c r="I241" i="1"/>
  <c r="H241" i="1"/>
  <c r="AS240" i="1"/>
  <c r="AZ240" i="1"/>
  <c r="AH240" i="1"/>
  <c r="AG240" i="1"/>
  <c r="Z240" i="1"/>
  <c r="Y240" i="1"/>
  <c r="X240" i="1"/>
  <c r="CU244" i="1"/>
  <c r="CK244" i="1"/>
  <c r="CD244" i="1"/>
  <c r="CA244" i="1"/>
  <c r="BM244" i="1"/>
  <c r="BK244" i="1"/>
  <c r="BF244" i="1"/>
  <c r="BB244" i="1"/>
  <c r="CU243" i="1"/>
  <c r="CK243" i="1"/>
  <c r="CD243" i="1"/>
  <c r="BM243" i="1"/>
  <c r="BK243" i="1"/>
  <c r="BF243" i="1"/>
  <c r="BB243" i="1"/>
  <c r="Q243" i="1"/>
  <c r="CU242" i="1"/>
  <c r="CK242" i="1"/>
  <c r="CD242" i="1"/>
  <c r="CA242" i="1"/>
  <c r="BM242" i="1"/>
  <c r="BK242" i="1"/>
  <c r="BF242" i="1"/>
  <c r="BB242" i="1"/>
  <c r="AE242" i="1"/>
  <c r="V242" i="1"/>
  <c r="Q242" i="1"/>
  <c r="J242" i="1"/>
  <c r="CU241" i="1"/>
  <c r="CK241" i="1"/>
  <c r="CD241" i="1"/>
  <c r="BM241" i="1"/>
  <c r="BK241" i="1"/>
  <c r="BF241" i="1"/>
  <c r="BB241" i="1"/>
  <c r="Q241" i="1"/>
  <c r="CU240" i="1"/>
  <c r="CK240" i="1"/>
  <c r="CD240" i="1"/>
  <c r="CA240" i="1"/>
  <c r="BM240" i="1"/>
  <c r="BK240" i="1"/>
  <c r="BF240" i="1"/>
  <c r="BB240" i="1"/>
  <c r="Q240" i="1"/>
  <c r="J240" i="1"/>
  <c r="AZ239" i="1"/>
  <c r="AZ238" i="1"/>
  <c r="CB225" i="1"/>
  <c r="CU278" i="1"/>
  <c r="CK278" i="1"/>
  <c r="CD278" i="1"/>
  <c r="CA278" i="1"/>
  <c r="BM278" i="1"/>
  <c r="BK278" i="1"/>
  <c r="BF278" i="1"/>
  <c r="BB278" i="1"/>
  <c r="AE278" i="1"/>
  <c r="V278" i="1"/>
  <c r="Q278" i="1"/>
  <c r="J278" i="1"/>
  <c r="CU277" i="1"/>
  <c r="CK277" i="1"/>
  <c r="CD277" i="1"/>
  <c r="CA277" i="1"/>
  <c r="BM277" i="1"/>
  <c r="BK277" i="1"/>
  <c r="BF277" i="1"/>
  <c r="BB277" i="1"/>
  <c r="AE277" i="1"/>
  <c r="V277" i="1"/>
  <c r="Q277" i="1"/>
  <c r="J277" i="1"/>
  <c r="CU276" i="1"/>
  <c r="CK276" i="1"/>
  <c r="CD276" i="1"/>
  <c r="CA276" i="1"/>
  <c r="BM276" i="1"/>
  <c r="BK276" i="1"/>
  <c r="BF276" i="1"/>
  <c r="BB276" i="1"/>
  <c r="AE276" i="1"/>
  <c r="V276" i="1"/>
  <c r="Q276" i="1"/>
  <c r="J276" i="1"/>
  <c r="CU274" i="1"/>
  <c r="CK274" i="1"/>
  <c r="CD274" i="1"/>
  <c r="CA274" i="1"/>
  <c r="BM274" i="1"/>
  <c r="BK274" i="1"/>
  <c r="BF274" i="1"/>
  <c r="BB274" i="1"/>
  <c r="AE274" i="1"/>
  <c r="V274" i="1"/>
  <c r="Q274" i="1"/>
  <c r="J274" i="1"/>
  <c r="CU275" i="1"/>
  <c r="CK275" i="1"/>
  <c r="CD275" i="1"/>
  <c r="CA275" i="1"/>
  <c r="BM275" i="1"/>
  <c r="BK275" i="1"/>
  <c r="BF275" i="1"/>
  <c r="BB275" i="1"/>
  <c r="AE275" i="1"/>
  <c r="V275" i="1"/>
  <c r="Q275" i="1"/>
  <c r="J275" i="1"/>
  <c r="CU273" i="1"/>
  <c r="CK273" i="1"/>
  <c r="CD273" i="1"/>
  <c r="CA273" i="1"/>
  <c r="BM273" i="1"/>
  <c r="BK273" i="1"/>
  <c r="BF273" i="1"/>
  <c r="BB273" i="1"/>
  <c r="AE273" i="1"/>
  <c r="V273" i="1"/>
  <c r="Q273" i="1"/>
  <c r="J273" i="1"/>
  <c r="CU269" i="1"/>
  <c r="CK269" i="1"/>
  <c r="CD269" i="1"/>
  <c r="CA269" i="1"/>
  <c r="BM269" i="1"/>
  <c r="BK269" i="1"/>
  <c r="BF269" i="1"/>
  <c r="BB269" i="1"/>
  <c r="AE269" i="1"/>
  <c r="V269" i="1"/>
  <c r="Q269" i="1"/>
  <c r="J269" i="1"/>
  <c r="CU270" i="1"/>
  <c r="CK270" i="1"/>
  <c r="CD270" i="1"/>
  <c r="CA270" i="1"/>
  <c r="BM270" i="1"/>
  <c r="BK270" i="1"/>
  <c r="BF270" i="1"/>
  <c r="BB270" i="1"/>
  <c r="AE270" i="1"/>
  <c r="V270" i="1"/>
  <c r="Q270" i="1"/>
  <c r="J270" i="1"/>
  <c r="CU271" i="1"/>
  <c r="CK271" i="1"/>
  <c r="CD271" i="1"/>
  <c r="CA271" i="1"/>
  <c r="BM271" i="1"/>
  <c r="BK271" i="1"/>
  <c r="BF271" i="1"/>
  <c r="BB271" i="1"/>
  <c r="AE271" i="1"/>
  <c r="V271" i="1"/>
  <c r="Q271" i="1"/>
  <c r="J271" i="1"/>
  <c r="CU272" i="1"/>
  <c r="CK272" i="1"/>
  <c r="CD272" i="1"/>
  <c r="CA272" i="1"/>
  <c r="BM272" i="1"/>
  <c r="BK272" i="1"/>
  <c r="BF272" i="1"/>
  <c r="BB272" i="1"/>
  <c r="AE272" i="1"/>
  <c r="V272" i="1"/>
  <c r="Q272" i="1"/>
  <c r="J272" i="1"/>
  <c r="CU268" i="1"/>
  <c r="CK268" i="1"/>
  <c r="CD268" i="1"/>
  <c r="CA268" i="1"/>
  <c r="BM268" i="1"/>
  <c r="BK268" i="1"/>
  <c r="BF268" i="1"/>
  <c r="BB268" i="1"/>
  <c r="AE268" i="1"/>
  <c r="V268" i="1"/>
  <c r="Q268" i="1"/>
  <c r="J268" i="1"/>
  <c r="CU266" i="1"/>
  <c r="CK266" i="1"/>
  <c r="CD266" i="1"/>
  <c r="CA266" i="1"/>
  <c r="BM266" i="1"/>
  <c r="BK266" i="1"/>
  <c r="BF266" i="1"/>
  <c r="BB266" i="1"/>
  <c r="AE266" i="1"/>
  <c r="V266" i="1"/>
  <c r="Q266" i="1"/>
  <c r="J266" i="1"/>
  <c r="CU267" i="1"/>
  <c r="CK267" i="1"/>
  <c r="CD267" i="1"/>
  <c r="CA267" i="1"/>
  <c r="BM267" i="1"/>
  <c r="BK267" i="1"/>
  <c r="BF267" i="1"/>
  <c r="BB267" i="1"/>
  <c r="AE267" i="1"/>
  <c r="V267" i="1"/>
  <c r="Q267" i="1"/>
  <c r="J267" i="1"/>
  <c r="CW265" i="1"/>
  <c r="CV265" i="1"/>
  <c r="CR265" i="1"/>
  <c r="CQ265" i="1"/>
  <c r="CP265" i="1"/>
  <c r="CO265" i="1"/>
  <c r="CN265" i="1"/>
  <c r="CM265" i="1"/>
  <c r="CL265" i="1"/>
  <c r="CI265" i="1"/>
  <c r="CH265" i="1"/>
  <c r="CG265" i="1"/>
  <c r="CF265" i="1"/>
  <c r="CE265" i="1"/>
  <c r="CC265" i="1"/>
  <c r="CB265" i="1"/>
  <c r="BX265" i="1"/>
  <c r="BW265" i="1"/>
  <c r="BV265" i="1"/>
  <c r="BU265" i="1"/>
  <c r="BT265" i="1"/>
  <c r="BS265" i="1"/>
  <c r="BR265" i="1"/>
  <c r="BQ265" i="1"/>
  <c r="BP265" i="1"/>
  <c r="BO265" i="1"/>
  <c r="BN265" i="1"/>
  <c r="BL265" i="1"/>
  <c r="BJ265" i="1"/>
  <c r="BI265" i="1"/>
  <c r="BH265" i="1"/>
  <c r="BG265" i="1"/>
  <c r="BE265" i="1"/>
  <c r="BD265" i="1"/>
  <c r="BC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C265" i="1"/>
  <c r="AB265" i="1"/>
  <c r="AA265" i="1"/>
  <c r="Z265" i="1"/>
  <c r="Y265" i="1"/>
  <c r="X265" i="1"/>
  <c r="W265" i="1"/>
  <c r="U265" i="1"/>
  <c r="T265" i="1"/>
  <c r="S265" i="1"/>
  <c r="R265" i="1"/>
  <c r="P265" i="1"/>
  <c r="O265" i="1"/>
  <c r="N265" i="1"/>
  <c r="M265" i="1"/>
  <c r="L265" i="1"/>
  <c r="K265" i="1"/>
  <c r="I265" i="1"/>
  <c r="H265" i="1"/>
  <c r="CU246" i="1"/>
  <c r="CD246" i="1"/>
  <c r="BM246" i="1"/>
  <c r="BK246" i="1"/>
  <c r="BF246" i="1"/>
  <c r="BB246" i="1"/>
  <c r="Q246" i="1"/>
  <c r="CU245" i="1"/>
  <c r="CK245" i="1"/>
  <c r="CD245" i="1"/>
  <c r="CA245" i="1"/>
  <c r="BM245" i="1"/>
  <c r="BK245" i="1"/>
  <c r="BF245" i="1"/>
  <c r="BB245" i="1"/>
  <c r="AE245" i="1"/>
  <c r="Q245" i="1"/>
  <c r="CU239" i="1"/>
  <c r="CK239" i="1"/>
  <c r="CD239" i="1"/>
  <c r="CA239" i="1"/>
  <c r="BM239" i="1"/>
  <c r="BK239" i="1"/>
  <c r="BF239" i="1"/>
  <c r="BB239" i="1"/>
  <c r="V239" i="1"/>
  <c r="Q239" i="1"/>
  <c r="J239" i="1"/>
  <c r="CU238" i="1"/>
  <c r="CK238" i="1"/>
  <c r="CD238" i="1"/>
  <c r="CA238" i="1"/>
  <c r="BM238" i="1"/>
  <c r="BK238" i="1"/>
  <c r="BF238" i="1"/>
  <c r="BB238" i="1"/>
  <c r="V238" i="1"/>
  <c r="Q238" i="1"/>
  <c r="J238" i="1"/>
  <c r="CW237" i="1"/>
  <c r="CV237" i="1"/>
  <c r="CS237" i="1"/>
  <c r="CR237" i="1"/>
  <c r="CQ237" i="1"/>
  <c r="CP237" i="1"/>
  <c r="CM237" i="1"/>
  <c r="CL237" i="1"/>
  <c r="CI237" i="1"/>
  <c r="CH237" i="1"/>
  <c r="CG237" i="1"/>
  <c r="CF237" i="1"/>
  <c r="CE237" i="1"/>
  <c r="CB237" i="1"/>
  <c r="BX237" i="1"/>
  <c r="BW237" i="1"/>
  <c r="BV237" i="1"/>
  <c r="BU237" i="1"/>
  <c r="BT237" i="1"/>
  <c r="BS237" i="1"/>
  <c r="BR237" i="1"/>
  <c r="BQ237" i="1"/>
  <c r="BP237" i="1"/>
  <c r="BO237" i="1"/>
  <c r="BN237" i="1"/>
  <c r="BL237" i="1"/>
  <c r="BJ237" i="1"/>
  <c r="BI237" i="1"/>
  <c r="BH237" i="1"/>
  <c r="BG237" i="1"/>
  <c r="BE237" i="1"/>
  <c r="BD237" i="1"/>
  <c r="BC237" i="1"/>
  <c r="AY237" i="1"/>
  <c r="AX237" i="1"/>
  <c r="AW237" i="1"/>
  <c r="AV237" i="1"/>
  <c r="AU237" i="1"/>
  <c r="AT237" i="1"/>
  <c r="AR237" i="1"/>
  <c r="AO237" i="1"/>
  <c r="AN237" i="1"/>
  <c r="AK237" i="1"/>
  <c r="AF237" i="1"/>
  <c r="AC237" i="1"/>
  <c r="N237" i="1"/>
  <c r="CU236" i="1"/>
  <c r="CK236" i="1"/>
  <c r="CD236" i="1"/>
  <c r="CA236" i="1"/>
  <c r="BM236" i="1"/>
  <c r="BK236" i="1"/>
  <c r="BF236" i="1"/>
  <c r="BB236" i="1"/>
  <c r="AE236" i="1"/>
  <c r="V236" i="1"/>
  <c r="Q236" i="1"/>
  <c r="J236" i="1"/>
  <c r="CU235" i="1"/>
  <c r="CK235" i="1"/>
  <c r="CD235" i="1"/>
  <c r="CA235" i="1"/>
  <c r="BM235" i="1"/>
  <c r="BK235" i="1"/>
  <c r="BF235" i="1"/>
  <c r="BB235" i="1"/>
  <c r="AE235" i="1"/>
  <c r="V235" i="1"/>
  <c r="Q235" i="1"/>
  <c r="J235" i="1"/>
  <c r="CU233" i="1"/>
  <c r="CK233" i="1"/>
  <c r="CD233" i="1"/>
  <c r="CA233" i="1"/>
  <c r="BM233" i="1"/>
  <c r="BK233" i="1"/>
  <c r="BJ233" i="1"/>
  <c r="BI233" i="1"/>
  <c r="BF233" i="1"/>
  <c r="BB233" i="1"/>
  <c r="AE233" i="1"/>
  <c r="V233" i="1"/>
  <c r="Q233" i="1"/>
  <c r="J233" i="1"/>
  <c r="CU232" i="1"/>
  <c r="CK232" i="1"/>
  <c r="CD232" i="1"/>
  <c r="CA232" i="1"/>
  <c r="BM232" i="1"/>
  <c r="BK232" i="1"/>
  <c r="BF232" i="1"/>
  <c r="BB232" i="1"/>
  <c r="AE232" i="1"/>
  <c r="V232" i="1"/>
  <c r="Q232" i="1"/>
  <c r="J232" i="1"/>
  <c r="CU231" i="1"/>
  <c r="CK231" i="1"/>
  <c r="CD231" i="1"/>
  <c r="CA231" i="1"/>
  <c r="BM231" i="1"/>
  <c r="BK231" i="1"/>
  <c r="BF231" i="1"/>
  <c r="BB231" i="1"/>
  <c r="AE231" i="1"/>
  <c r="V231" i="1"/>
  <c r="Q231" i="1"/>
  <c r="J231" i="1"/>
  <c r="CU229" i="1"/>
  <c r="CK229" i="1"/>
  <c r="CD229" i="1"/>
  <c r="CA229" i="1"/>
  <c r="BM229" i="1"/>
  <c r="BK229" i="1"/>
  <c r="BF229" i="1"/>
  <c r="BB229" i="1"/>
  <c r="AE229" i="1"/>
  <c r="V229" i="1"/>
  <c r="Q229" i="1"/>
  <c r="J229" i="1"/>
  <c r="CU228" i="1"/>
  <c r="CK228" i="1"/>
  <c r="CD228" i="1"/>
  <c r="CA228" i="1"/>
  <c r="BM228" i="1"/>
  <c r="BK228" i="1"/>
  <c r="BF228" i="1"/>
  <c r="BB228" i="1"/>
  <c r="AE228" i="1"/>
  <c r="V228" i="1"/>
  <c r="Q228" i="1"/>
  <c r="J228" i="1"/>
  <c r="CU227" i="1"/>
  <c r="CK227" i="1"/>
  <c r="CD227" i="1"/>
  <c r="CA227" i="1"/>
  <c r="BM227" i="1"/>
  <c r="BK227" i="1"/>
  <c r="BF227" i="1"/>
  <c r="BB227" i="1"/>
  <c r="AE227" i="1"/>
  <c r="V227" i="1"/>
  <c r="Q227" i="1"/>
  <c r="J227" i="1"/>
  <c r="CU226" i="1"/>
  <c r="CK226" i="1"/>
  <c r="CD226" i="1"/>
  <c r="CA226" i="1"/>
  <c r="BM226" i="1"/>
  <c r="BK226" i="1"/>
  <c r="BF226" i="1"/>
  <c r="BB226" i="1"/>
  <c r="AE226" i="1"/>
  <c r="V226" i="1"/>
  <c r="Q226" i="1"/>
  <c r="J226" i="1"/>
  <c r="CU225" i="1"/>
  <c r="CK225" i="1"/>
  <c r="CD225" i="1"/>
  <c r="BM225" i="1"/>
  <c r="BK225" i="1"/>
  <c r="BF225" i="1"/>
  <c r="BB225" i="1"/>
  <c r="AE225" i="1"/>
  <c r="V225" i="1"/>
  <c r="Q225" i="1"/>
  <c r="J225" i="1"/>
  <c r="CU224" i="1"/>
  <c r="CK224" i="1"/>
  <c r="CD224" i="1"/>
  <c r="CA224" i="1"/>
  <c r="BM224" i="1"/>
  <c r="BK224" i="1"/>
  <c r="BF224" i="1"/>
  <c r="BB224" i="1"/>
  <c r="AE224" i="1"/>
  <c r="V224" i="1"/>
  <c r="Q224" i="1"/>
  <c r="J224" i="1"/>
  <c r="CU222" i="1"/>
  <c r="CK222" i="1"/>
  <c r="CD222" i="1"/>
  <c r="CA222" i="1"/>
  <c r="BM222" i="1"/>
  <c r="BK222" i="1"/>
  <c r="BF222" i="1"/>
  <c r="BB222" i="1"/>
  <c r="AE222" i="1"/>
  <c r="V222" i="1"/>
  <c r="Q222" i="1"/>
  <c r="J222" i="1"/>
  <c r="CU221" i="1"/>
  <c r="CK221" i="1"/>
  <c r="CD221" i="1"/>
  <c r="CA221" i="1"/>
  <c r="BM221" i="1"/>
  <c r="BK221" i="1"/>
  <c r="BF221" i="1"/>
  <c r="BB221" i="1"/>
  <c r="AE221" i="1"/>
  <c r="V221" i="1"/>
  <c r="Q221" i="1"/>
  <c r="J221" i="1"/>
  <c r="CU219" i="1"/>
  <c r="CK219" i="1"/>
  <c r="CD219" i="1"/>
  <c r="CA219" i="1"/>
  <c r="BM219" i="1"/>
  <c r="BK219" i="1"/>
  <c r="BF219" i="1"/>
  <c r="BB219" i="1"/>
  <c r="AE219" i="1"/>
  <c r="V219" i="1"/>
  <c r="Q219" i="1"/>
  <c r="J219" i="1"/>
  <c r="CW279" i="1"/>
  <c r="CW212" i="1"/>
  <c r="CW214" i="1"/>
  <c r="CW285" i="1"/>
  <c r="CW287" i="1"/>
  <c r="CW289" i="1"/>
  <c r="CW291" i="1"/>
  <c r="CW293" i="1"/>
  <c r="CW295" i="1"/>
  <c r="CW297" i="1"/>
  <c r="CW11" i="1"/>
  <c r="CW13" i="1"/>
  <c r="CW17" i="1"/>
  <c r="CW34" i="1"/>
  <c r="CW36" i="1"/>
  <c r="CW42" i="1"/>
  <c r="CW44" i="1"/>
  <c r="CW47" i="1"/>
  <c r="CW49" i="1"/>
  <c r="CW51" i="1"/>
  <c r="CW53" i="1"/>
  <c r="CW55" i="1"/>
  <c r="CW58" i="1"/>
  <c r="CW60" i="1"/>
  <c r="CW63" i="1"/>
  <c r="CW65" i="1"/>
  <c r="CW68" i="1"/>
  <c r="CW70" i="1"/>
  <c r="CW73" i="1"/>
  <c r="CW75" i="1"/>
  <c r="CW77" i="1"/>
  <c r="CW79" i="1"/>
  <c r="CW81" i="1"/>
  <c r="CW84" i="1"/>
  <c r="CW87" i="1"/>
  <c r="CW100" i="1"/>
  <c r="CW103" i="1"/>
  <c r="CW107" i="1"/>
  <c r="CW109" i="1"/>
  <c r="CW112" i="1"/>
  <c r="CW114" i="1"/>
  <c r="CW116" i="1"/>
  <c r="CW118" i="1"/>
  <c r="CW121" i="1"/>
  <c r="CW125" i="1"/>
  <c r="CW129" i="1"/>
  <c r="CW133" i="1"/>
  <c r="CW135" i="1"/>
  <c r="CW137" i="1"/>
  <c r="CW142" i="1"/>
  <c r="CW146" i="1"/>
  <c r="CW149" i="1"/>
  <c r="CW157" i="1"/>
  <c r="CW160" i="1"/>
  <c r="CW164" i="1"/>
  <c r="CW166" i="1"/>
  <c r="CW169" i="1"/>
  <c r="CW172" i="1"/>
  <c r="CW174" i="1"/>
  <c r="CW179" i="1"/>
  <c r="CW183" i="1"/>
  <c r="CW185" i="1"/>
  <c r="CW187" i="1"/>
  <c r="CW189" i="1"/>
  <c r="CW191" i="1"/>
  <c r="CW199" i="1"/>
  <c r="CW202" i="1"/>
  <c r="CW208" i="1"/>
  <c r="CW205" i="1"/>
  <c r="CV279" i="1"/>
  <c r="CV212" i="1"/>
  <c r="CV214" i="1"/>
  <c r="CV282" i="1"/>
  <c r="CV285" i="1"/>
  <c r="CV287" i="1"/>
  <c r="CV289" i="1"/>
  <c r="CV291" i="1"/>
  <c r="CV293" i="1"/>
  <c r="CV295" i="1"/>
  <c r="CV297" i="1"/>
  <c r="CV11" i="1"/>
  <c r="CV13" i="1"/>
  <c r="CV17" i="1"/>
  <c r="CV34" i="1"/>
  <c r="CV36" i="1"/>
  <c r="CV42" i="1"/>
  <c r="CV44" i="1"/>
  <c r="CV47" i="1"/>
  <c r="CV49" i="1"/>
  <c r="CV51" i="1"/>
  <c r="CV53" i="1"/>
  <c r="CV55" i="1"/>
  <c r="CV58" i="1"/>
  <c r="CV60" i="1"/>
  <c r="CV63" i="1"/>
  <c r="CV65" i="1"/>
  <c r="CV68" i="1"/>
  <c r="CV70" i="1"/>
  <c r="CV73" i="1"/>
  <c r="CV75" i="1"/>
  <c r="CV77" i="1"/>
  <c r="CV79" i="1"/>
  <c r="CV81" i="1"/>
  <c r="CV84" i="1"/>
  <c r="CV87" i="1"/>
  <c r="CV100" i="1"/>
  <c r="CV103" i="1"/>
  <c r="CV107" i="1"/>
  <c r="CV109" i="1"/>
  <c r="CV112" i="1"/>
  <c r="CV114" i="1"/>
  <c r="CV116" i="1"/>
  <c r="CV118" i="1"/>
  <c r="CV121" i="1"/>
  <c r="CV125" i="1"/>
  <c r="CV129" i="1"/>
  <c r="CV133" i="1"/>
  <c r="CV135" i="1"/>
  <c r="CV137" i="1"/>
  <c r="CV142" i="1"/>
  <c r="CV146" i="1"/>
  <c r="CV149" i="1"/>
  <c r="CV157" i="1"/>
  <c r="CV160" i="1"/>
  <c r="CV164" i="1"/>
  <c r="CV166" i="1"/>
  <c r="CV169" i="1"/>
  <c r="CV172" i="1"/>
  <c r="CV174" i="1"/>
  <c r="CV179" i="1"/>
  <c r="CV183" i="1"/>
  <c r="CV185" i="1"/>
  <c r="CV187" i="1"/>
  <c r="CV189" i="1"/>
  <c r="CV191" i="1"/>
  <c r="CV199" i="1"/>
  <c r="CV202" i="1"/>
  <c r="CV208" i="1"/>
  <c r="CV205" i="1"/>
  <c r="CU218" i="1"/>
  <c r="CU280" i="1"/>
  <c r="CU215" i="1"/>
  <c r="CU216" i="1"/>
  <c r="CU213" i="1"/>
  <c r="CU286" i="1"/>
  <c r="CU288" i="1"/>
  <c r="CU290" i="1"/>
  <c r="CU292" i="1"/>
  <c r="CU294" i="1"/>
  <c r="CU296" i="1"/>
  <c r="CU298" i="1"/>
  <c r="CU12" i="1"/>
  <c r="CU14" i="1"/>
  <c r="CU15" i="1"/>
  <c r="CU16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5" i="1"/>
  <c r="CU37" i="1"/>
  <c r="CU38" i="1"/>
  <c r="CU39" i="1"/>
  <c r="CU40" i="1"/>
  <c r="CU41" i="1"/>
  <c r="CU43" i="1"/>
  <c r="CU45" i="1"/>
  <c r="CU48" i="1"/>
  <c r="CU50" i="1"/>
  <c r="CU52" i="1"/>
  <c r="CU54" i="1"/>
  <c r="CU56" i="1"/>
  <c r="CU59" i="1"/>
  <c r="CU61" i="1"/>
  <c r="CU64" i="1"/>
  <c r="CU66" i="1"/>
  <c r="CU69" i="1"/>
  <c r="CU71" i="1"/>
  <c r="CU72" i="1"/>
  <c r="CU74" i="1"/>
  <c r="CU76" i="1"/>
  <c r="CU78" i="1"/>
  <c r="CU80" i="1"/>
  <c r="CU82" i="1"/>
  <c r="CU85" i="1"/>
  <c r="CU86" i="1"/>
  <c r="CU88" i="1"/>
  <c r="CU89" i="1"/>
  <c r="CU90" i="1"/>
  <c r="CU93" i="1"/>
  <c r="CU94" i="1"/>
  <c r="CU95" i="1"/>
  <c r="CU96" i="1"/>
  <c r="CU97" i="1"/>
  <c r="CU98" i="1"/>
  <c r="CU101" i="1"/>
  <c r="CU104" i="1"/>
  <c r="CU105" i="1"/>
  <c r="CU108" i="1"/>
  <c r="CU110" i="1"/>
  <c r="CU113" i="1"/>
  <c r="CU115" i="1"/>
  <c r="CU117" i="1"/>
  <c r="CU119" i="1"/>
  <c r="CU122" i="1"/>
  <c r="CU123" i="1"/>
  <c r="CU124" i="1"/>
  <c r="CU126" i="1"/>
  <c r="CU127" i="1"/>
  <c r="CU128" i="1"/>
  <c r="CU130" i="1"/>
  <c r="CU131" i="1"/>
  <c r="CU132" i="1"/>
  <c r="CU134" i="1"/>
  <c r="CU136" i="1"/>
  <c r="CU138" i="1"/>
  <c r="CU139" i="1"/>
  <c r="CU140" i="1"/>
  <c r="CU143" i="1"/>
  <c r="CU144" i="1"/>
  <c r="CU145" i="1"/>
  <c r="CU147" i="1"/>
  <c r="CU148" i="1"/>
  <c r="CU150" i="1"/>
  <c r="CU151" i="1"/>
  <c r="CU152" i="1"/>
  <c r="CU153" i="1"/>
  <c r="CU154" i="1"/>
  <c r="CU158" i="1"/>
  <c r="CU159" i="1"/>
  <c r="CU161" i="1"/>
  <c r="CU162" i="1"/>
  <c r="CU165" i="1"/>
  <c r="CU167" i="1"/>
  <c r="CU168" i="1"/>
  <c r="CU170" i="1"/>
  <c r="CU171" i="1"/>
  <c r="CU173" i="1"/>
  <c r="CU175" i="1"/>
  <c r="CU177" i="1"/>
  <c r="CU178" i="1"/>
  <c r="CU180" i="1"/>
  <c r="CU181" i="1"/>
  <c r="CU182" i="1"/>
  <c r="CU184" i="1"/>
  <c r="CU186" i="1"/>
  <c r="CU188" i="1"/>
  <c r="CU190" i="1"/>
  <c r="CU192" i="1"/>
  <c r="CU193" i="1"/>
  <c r="CU194" i="1"/>
  <c r="CU195" i="1"/>
  <c r="CU196" i="1"/>
  <c r="CU197" i="1"/>
  <c r="CU198" i="1"/>
  <c r="CU200" i="1"/>
  <c r="CU203" i="1"/>
  <c r="CU209" i="1"/>
  <c r="CU210" i="1"/>
  <c r="CU206" i="1"/>
  <c r="CT216" i="1"/>
  <c r="CS214" i="1"/>
  <c r="CS282" i="1"/>
  <c r="CS285" i="1"/>
  <c r="CS287" i="1"/>
  <c r="CS289" i="1"/>
  <c r="CS293" i="1"/>
  <c r="CS295" i="1"/>
  <c r="CS297" i="1"/>
  <c r="CS11" i="1"/>
  <c r="CS13" i="1"/>
  <c r="CS17" i="1"/>
  <c r="CS34" i="1"/>
  <c r="CS36" i="1"/>
  <c r="CS42" i="1"/>
  <c r="CS44" i="1"/>
  <c r="CS47" i="1"/>
  <c r="CS49" i="1"/>
  <c r="CS51" i="1"/>
  <c r="CS53" i="1"/>
  <c r="CS55" i="1"/>
  <c r="CS58" i="1"/>
  <c r="CS60" i="1"/>
  <c r="CS63" i="1"/>
  <c r="CS65" i="1"/>
  <c r="CS68" i="1"/>
  <c r="CS70" i="1"/>
  <c r="CS73" i="1"/>
  <c r="CS75" i="1"/>
  <c r="CS77" i="1"/>
  <c r="CS79" i="1"/>
  <c r="CS81" i="1"/>
  <c r="CS84" i="1"/>
  <c r="CS87" i="1"/>
  <c r="CS100" i="1"/>
  <c r="CS103" i="1"/>
  <c r="CS107" i="1"/>
  <c r="CS109" i="1"/>
  <c r="CS112" i="1"/>
  <c r="CS114" i="1"/>
  <c r="CS116" i="1"/>
  <c r="CS118" i="1"/>
  <c r="CS121" i="1"/>
  <c r="CS125" i="1"/>
  <c r="CS129" i="1"/>
  <c r="CS133" i="1"/>
  <c r="CS135" i="1"/>
  <c r="CS137" i="1"/>
  <c r="CS142" i="1"/>
  <c r="CS146" i="1"/>
  <c r="CS149" i="1"/>
  <c r="CS157" i="1"/>
  <c r="CS160" i="1"/>
  <c r="CS164" i="1"/>
  <c r="CS166" i="1"/>
  <c r="CS169" i="1"/>
  <c r="CS172" i="1"/>
  <c r="CS174" i="1"/>
  <c r="CS179" i="1"/>
  <c r="CS183" i="1"/>
  <c r="CS185" i="1"/>
  <c r="CS187" i="1"/>
  <c r="CS189" i="1"/>
  <c r="CS191" i="1"/>
  <c r="CS199" i="1"/>
  <c r="CS202" i="1"/>
  <c r="CS208" i="1"/>
  <c r="CS205" i="1"/>
  <c r="CR279" i="1"/>
  <c r="CR212" i="1"/>
  <c r="CR214" i="1"/>
  <c r="CR282" i="1"/>
  <c r="CR285" i="1"/>
  <c r="CR287" i="1"/>
  <c r="CR289" i="1"/>
  <c r="CR291" i="1"/>
  <c r="CR293" i="1"/>
  <c r="CR295" i="1"/>
  <c r="CR297" i="1"/>
  <c r="CR11" i="1"/>
  <c r="CR17" i="1"/>
  <c r="CR34" i="1"/>
  <c r="CR36" i="1"/>
  <c r="CR42" i="1"/>
  <c r="CR44" i="1"/>
  <c r="CR47" i="1"/>
  <c r="CR49" i="1"/>
  <c r="CR51" i="1"/>
  <c r="CR53" i="1"/>
  <c r="CR55" i="1"/>
  <c r="CR58" i="1"/>
  <c r="CR60" i="1"/>
  <c r="CR63" i="1"/>
  <c r="CR65" i="1"/>
  <c r="CR68" i="1"/>
  <c r="CR70" i="1"/>
  <c r="CR73" i="1"/>
  <c r="CR75" i="1"/>
  <c r="CR77" i="1"/>
  <c r="CR79" i="1"/>
  <c r="CR81" i="1"/>
  <c r="CR84" i="1"/>
  <c r="CR87" i="1"/>
  <c r="CR100" i="1"/>
  <c r="CR103" i="1"/>
  <c r="CR107" i="1"/>
  <c r="CR109" i="1"/>
  <c r="CR112" i="1"/>
  <c r="CR114" i="1"/>
  <c r="CR116" i="1"/>
  <c r="CR118" i="1"/>
  <c r="CR121" i="1"/>
  <c r="CR125" i="1"/>
  <c r="CR129" i="1"/>
  <c r="CR133" i="1"/>
  <c r="CR135" i="1"/>
  <c r="CR137" i="1"/>
  <c r="CR142" i="1"/>
  <c r="CR146" i="1"/>
  <c r="CR149" i="1"/>
  <c r="CR157" i="1"/>
  <c r="CR160" i="1"/>
  <c r="CR164" i="1"/>
  <c r="CR166" i="1"/>
  <c r="CR169" i="1"/>
  <c r="CR172" i="1"/>
  <c r="CR174" i="1"/>
  <c r="CR179" i="1"/>
  <c r="CR183" i="1"/>
  <c r="CR185" i="1"/>
  <c r="CR187" i="1"/>
  <c r="CR189" i="1"/>
  <c r="CR191" i="1"/>
  <c r="CR199" i="1"/>
  <c r="CR202" i="1"/>
  <c r="CR208" i="1"/>
  <c r="CQ279" i="1"/>
  <c r="CQ212" i="1"/>
  <c r="CQ214" i="1"/>
  <c r="CQ282" i="1"/>
  <c r="CQ285" i="1"/>
  <c r="CQ287" i="1"/>
  <c r="CQ289" i="1"/>
  <c r="CQ291" i="1"/>
  <c r="CQ293" i="1"/>
  <c r="CQ295" i="1"/>
  <c r="CQ297" i="1"/>
  <c r="CQ12" i="1"/>
  <c r="CQ13" i="1"/>
  <c r="CQ17" i="1"/>
  <c r="CQ34" i="1"/>
  <c r="CQ36" i="1"/>
  <c r="CQ42" i="1"/>
  <c r="CQ44" i="1"/>
  <c r="CQ47" i="1"/>
  <c r="CQ49" i="1"/>
  <c r="CQ51" i="1"/>
  <c r="CQ53" i="1"/>
  <c r="CQ55" i="1"/>
  <c r="CQ58" i="1"/>
  <c r="CQ60" i="1"/>
  <c r="CQ63" i="1"/>
  <c r="CQ65" i="1"/>
  <c r="CQ68" i="1"/>
  <c r="CQ70" i="1"/>
  <c r="CQ73" i="1"/>
  <c r="CQ75" i="1"/>
  <c r="CQ77" i="1"/>
  <c r="CQ79" i="1"/>
  <c r="CQ81" i="1"/>
  <c r="CQ84" i="1"/>
  <c r="CQ87" i="1"/>
  <c r="CQ100" i="1"/>
  <c r="CQ103" i="1"/>
  <c r="CQ107" i="1"/>
  <c r="CQ109" i="1"/>
  <c r="CQ112" i="1"/>
  <c r="CQ114" i="1"/>
  <c r="CQ116" i="1"/>
  <c r="CQ118" i="1"/>
  <c r="CQ121" i="1"/>
  <c r="CQ125" i="1"/>
  <c r="CQ129" i="1"/>
  <c r="CQ133" i="1"/>
  <c r="CQ135" i="1"/>
  <c r="CQ137" i="1"/>
  <c r="CQ142" i="1"/>
  <c r="CQ146" i="1"/>
  <c r="CQ149" i="1"/>
  <c r="CQ157" i="1"/>
  <c r="CQ160" i="1"/>
  <c r="CQ164" i="1"/>
  <c r="CQ166" i="1"/>
  <c r="CQ169" i="1"/>
  <c r="CQ172" i="1"/>
  <c r="CQ174" i="1"/>
  <c r="CQ179" i="1"/>
  <c r="CQ183" i="1"/>
  <c r="CQ185" i="1"/>
  <c r="CQ187" i="1"/>
  <c r="CQ189" i="1"/>
  <c r="CQ191" i="1"/>
  <c r="CQ199" i="1"/>
  <c r="CQ202" i="1"/>
  <c r="CQ208" i="1"/>
  <c r="CP279" i="1"/>
  <c r="CP212" i="1"/>
  <c r="CP214" i="1"/>
  <c r="CP282" i="1"/>
  <c r="CP285" i="1"/>
  <c r="CP287" i="1"/>
  <c r="CP289" i="1"/>
  <c r="CP291" i="1"/>
  <c r="CP293" i="1"/>
  <c r="CP295" i="1"/>
  <c r="CP297" i="1"/>
  <c r="CP11" i="1"/>
  <c r="CP13" i="1"/>
  <c r="CP17" i="1"/>
  <c r="CP34" i="1"/>
  <c r="CP36" i="1"/>
  <c r="CP42" i="1"/>
  <c r="CP44" i="1"/>
  <c r="CP47" i="1"/>
  <c r="CP49" i="1"/>
  <c r="CP51" i="1"/>
  <c r="CP53" i="1"/>
  <c r="CP55" i="1"/>
  <c r="CP58" i="1"/>
  <c r="CP60" i="1"/>
  <c r="CP63" i="1"/>
  <c r="CP65" i="1"/>
  <c r="CP68" i="1"/>
  <c r="CP70" i="1"/>
  <c r="CP73" i="1"/>
  <c r="CP75" i="1"/>
  <c r="CP77" i="1"/>
  <c r="CP79" i="1"/>
  <c r="CP81" i="1"/>
  <c r="CP84" i="1"/>
  <c r="CP87" i="1"/>
  <c r="CP100" i="1"/>
  <c r="CP103" i="1"/>
  <c r="CP107" i="1"/>
  <c r="CP109" i="1"/>
  <c r="CP112" i="1"/>
  <c r="CP114" i="1"/>
  <c r="CP116" i="1"/>
  <c r="CP118" i="1"/>
  <c r="CP121" i="1"/>
  <c r="CP125" i="1"/>
  <c r="CP129" i="1"/>
  <c r="CP133" i="1"/>
  <c r="CP135" i="1"/>
  <c r="CP137" i="1"/>
  <c r="CP142" i="1"/>
  <c r="CP146" i="1"/>
  <c r="CP149" i="1"/>
  <c r="CP157" i="1"/>
  <c r="CP160" i="1"/>
  <c r="CP164" i="1"/>
  <c r="CP166" i="1"/>
  <c r="CP169" i="1"/>
  <c r="CP172" i="1"/>
  <c r="CP174" i="1"/>
  <c r="CP179" i="1"/>
  <c r="CP183" i="1"/>
  <c r="CP185" i="1"/>
  <c r="CP187" i="1"/>
  <c r="CP189" i="1"/>
  <c r="CP191" i="1"/>
  <c r="CP199" i="1"/>
  <c r="CP202" i="1"/>
  <c r="CP208" i="1"/>
  <c r="CP205" i="1"/>
  <c r="CO279" i="1"/>
  <c r="CO212" i="1"/>
  <c r="CO214" i="1"/>
  <c r="CO282" i="1"/>
  <c r="CO285" i="1"/>
  <c r="CO287" i="1"/>
  <c r="CO289" i="1"/>
  <c r="CO293" i="1"/>
  <c r="CO295" i="1"/>
  <c r="CO297" i="1"/>
  <c r="CO11" i="1"/>
  <c r="CO13" i="1"/>
  <c r="CO17" i="1"/>
  <c r="CO34" i="1"/>
  <c r="CO36" i="1"/>
  <c r="CO42" i="1"/>
  <c r="CO45" i="1"/>
  <c r="CO47" i="1"/>
  <c r="CO49" i="1"/>
  <c r="CO51" i="1"/>
  <c r="CO53" i="1"/>
  <c r="CO55" i="1"/>
  <c r="CO58" i="1"/>
  <c r="CO60" i="1"/>
  <c r="CO63" i="1"/>
  <c r="CO65" i="1"/>
  <c r="CO68" i="1"/>
  <c r="CO70" i="1"/>
  <c r="CO73" i="1"/>
  <c r="CO75" i="1"/>
  <c r="CO77" i="1"/>
  <c r="CO79" i="1"/>
  <c r="CO81" i="1"/>
  <c r="CO84" i="1"/>
  <c r="CO87" i="1"/>
  <c r="CO100" i="1"/>
  <c r="CO103" i="1"/>
  <c r="CO107" i="1"/>
  <c r="CO109" i="1"/>
  <c r="CO112" i="1"/>
  <c r="CO114" i="1"/>
  <c r="CO116" i="1"/>
  <c r="CO118" i="1"/>
  <c r="CO121" i="1"/>
  <c r="CO125" i="1"/>
  <c r="CO129" i="1"/>
  <c r="CO133" i="1"/>
  <c r="CO135" i="1"/>
  <c r="CO137" i="1"/>
  <c r="CO142" i="1"/>
  <c r="CO146" i="1"/>
  <c r="CO149" i="1"/>
  <c r="CO157" i="1"/>
  <c r="CO160" i="1"/>
  <c r="CO164" i="1"/>
  <c r="CO166" i="1"/>
  <c r="CO169" i="1"/>
  <c r="CO172" i="1"/>
  <c r="CO174" i="1"/>
  <c r="CO179" i="1"/>
  <c r="CO183" i="1"/>
  <c r="CO185" i="1"/>
  <c r="CO187" i="1"/>
  <c r="CO189" i="1"/>
  <c r="CO191" i="1"/>
  <c r="CO199" i="1"/>
  <c r="CO202" i="1"/>
  <c r="CO208" i="1"/>
  <c r="CO205" i="1"/>
  <c r="CN279" i="1"/>
  <c r="CN212" i="1"/>
  <c r="CN214" i="1"/>
  <c r="CN282" i="1"/>
  <c r="CN285" i="1"/>
  <c r="CN287" i="1"/>
  <c r="CN289" i="1"/>
  <c r="CN293" i="1"/>
  <c r="CN295" i="1"/>
  <c r="CN297" i="1"/>
  <c r="CN11" i="1"/>
  <c r="CN13" i="1"/>
  <c r="CN17" i="1"/>
  <c r="CN34" i="1"/>
  <c r="CN36" i="1"/>
  <c r="CN42" i="1"/>
  <c r="CN44" i="1"/>
  <c r="CN47" i="1"/>
  <c r="CN49" i="1"/>
  <c r="CN51" i="1"/>
  <c r="CN53" i="1"/>
  <c r="CN55" i="1"/>
  <c r="CN58" i="1"/>
  <c r="CN60" i="1"/>
  <c r="CN63" i="1"/>
  <c r="CN65" i="1"/>
  <c r="CN68" i="1"/>
  <c r="CN70" i="1"/>
  <c r="CN73" i="1"/>
  <c r="CN75" i="1"/>
  <c r="CN77" i="1"/>
  <c r="CN79" i="1"/>
  <c r="CN81" i="1"/>
  <c r="CN84" i="1"/>
  <c r="CN87" i="1"/>
  <c r="CN100" i="1"/>
  <c r="CN103" i="1"/>
  <c r="CN107" i="1"/>
  <c r="CN109" i="1"/>
  <c r="CN112" i="1"/>
  <c r="CN114" i="1"/>
  <c r="CN116" i="1"/>
  <c r="CN118" i="1"/>
  <c r="CN121" i="1"/>
  <c r="CN125" i="1"/>
  <c r="CN129" i="1"/>
  <c r="CN133" i="1"/>
  <c r="CN135" i="1"/>
  <c r="CN137" i="1"/>
  <c r="CN142" i="1"/>
  <c r="CN146" i="1"/>
  <c r="CN149" i="1"/>
  <c r="CN157" i="1"/>
  <c r="CN160" i="1"/>
  <c r="CN164" i="1"/>
  <c r="CN166" i="1"/>
  <c r="CN169" i="1"/>
  <c r="CN172" i="1"/>
  <c r="CN174" i="1"/>
  <c r="CN179" i="1"/>
  <c r="CN183" i="1"/>
  <c r="CN185" i="1"/>
  <c r="CN187" i="1"/>
  <c r="CN189" i="1"/>
  <c r="CN191" i="1"/>
  <c r="CN199" i="1"/>
  <c r="CN202" i="1"/>
  <c r="CN208" i="1"/>
  <c r="CN205" i="1"/>
  <c r="CM279" i="1"/>
  <c r="CM212" i="1"/>
  <c r="CM214" i="1"/>
  <c r="CM282" i="1"/>
  <c r="CM285" i="1"/>
  <c r="CM287" i="1"/>
  <c r="CM289" i="1"/>
  <c r="CM291" i="1"/>
  <c r="CM293" i="1"/>
  <c r="CM295" i="1"/>
  <c r="CM297" i="1"/>
  <c r="CM11" i="1"/>
  <c r="CM13" i="1"/>
  <c r="CM17" i="1"/>
  <c r="CM34" i="1"/>
  <c r="CM36" i="1"/>
  <c r="CM42" i="1"/>
  <c r="CM44" i="1"/>
  <c r="CM47" i="1"/>
  <c r="CM49" i="1"/>
  <c r="CM51" i="1"/>
  <c r="CM53" i="1"/>
  <c r="CM55" i="1"/>
  <c r="CM58" i="1"/>
  <c r="CM60" i="1"/>
  <c r="CM63" i="1"/>
  <c r="CM65" i="1"/>
  <c r="CM68" i="1"/>
  <c r="CM70" i="1"/>
  <c r="CM73" i="1"/>
  <c r="CM75" i="1"/>
  <c r="CM77" i="1"/>
  <c r="CM79" i="1"/>
  <c r="CM81" i="1"/>
  <c r="CM84" i="1"/>
  <c r="CM87" i="1"/>
  <c r="CM100" i="1"/>
  <c r="CM103" i="1"/>
  <c r="CM107" i="1"/>
  <c r="CM109" i="1"/>
  <c r="CM112" i="1"/>
  <c r="CM114" i="1"/>
  <c r="CM116" i="1"/>
  <c r="CM118" i="1"/>
  <c r="CM121" i="1"/>
  <c r="CM125" i="1"/>
  <c r="CM129" i="1"/>
  <c r="CM133" i="1"/>
  <c r="CM135" i="1"/>
  <c r="CM137" i="1"/>
  <c r="CM142" i="1"/>
  <c r="CM146" i="1"/>
  <c r="CM149" i="1"/>
  <c r="CM157" i="1"/>
  <c r="CM160" i="1"/>
  <c r="CM164" i="1"/>
  <c r="CM166" i="1"/>
  <c r="CM169" i="1"/>
  <c r="CM172" i="1"/>
  <c r="CM174" i="1"/>
  <c r="CM179" i="1"/>
  <c r="CM183" i="1"/>
  <c r="CM185" i="1"/>
  <c r="CM187" i="1"/>
  <c r="CM189" i="1"/>
  <c r="CM191" i="1"/>
  <c r="CM199" i="1"/>
  <c r="CM202" i="1"/>
  <c r="CM208" i="1"/>
  <c r="CM205" i="1"/>
  <c r="CL279" i="1"/>
  <c r="CL212" i="1"/>
  <c r="CL214" i="1"/>
  <c r="CL282" i="1"/>
  <c r="CL285" i="1"/>
  <c r="CL287" i="1"/>
  <c r="CL289" i="1"/>
  <c r="CL291" i="1"/>
  <c r="CL293" i="1"/>
  <c r="CL295" i="1"/>
  <c r="CL297" i="1"/>
  <c r="CL11" i="1"/>
  <c r="CL13" i="1"/>
  <c r="CL17" i="1"/>
  <c r="CL34" i="1"/>
  <c r="CL36" i="1"/>
  <c r="CL42" i="1"/>
  <c r="CL44" i="1"/>
  <c r="CL47" i="1"/>
  <c r="CL49" i="1"/>
  <c r="CL51" i="1"/>
  <c r="CL53" i="1"/>
  <c r="CL55" i="1"/>
  <c r="CL58" i="1"/>
  <c r="CL60" i="1"/>
  <c r="CL63" i="1"/>
  <c r="CL65" i="1"/>
  <c r="CL68" i="1"/>
  <c r="CL70" i="1"/>
  <c r="CL73" i="1"/>
  <c r="CL75" i="1"/>
  <c r="CL77" i="1"/>
  <c r="CL79" i="1"/>
  <c r="CL81" i="1"/>
  <c r="CL84" i="1"/>
  <c r="CL87" i="1"/>
  <c r="CL100" i="1"/>
  <c r="CL103" i="1"/>
  <c r="CL107" i="1"/>
  <c r="CL109" i="1"/>
  <c r="CL112" i="1"/>
  <c r="CL114" i="1"/>
  <c r="CL116" i="1"/>
  <c r="CL118" i="1"/>
  <c r="CL121" i="1"/>
  <c r="CL125" i="1"/>
  <c r="CL129" i="1"/>
  <c r="CL133" i="1"/>
  <c r="CL135" i="1"/>
  <c r="CL137" i="1"/>
  <c r="CL142" i="1"/>
  <c r="CL146" i="1"/>
  <c r="CL149" i="1"/>
  <c r="CL157" i="1"/>
  <c r="CL160" i="1"/>
  <c r="CL164" i="1"/>
  <c r="CL166" i="1"/>
  <c r="CL169" i="1"/>
  <c r="CL172" i="1"/>
  <c r="CL174" i="1"/>
  <c r="CL179" i="1"/>
  <c r="CL183" i="1"/>
  <c r="CL185" i="1"/>
  <c r="CL187" i="1"/>
  <c r="CL189" i="1"/>
  <c r="CL191" i="1"/>
  <c r="CL199" i="1"/>
  <c r="CL202" i="1"/>
  <c r="CL208" i="1"/>
  <c r="CL205" i="1"/>
  <c r="CK218" i="1"/>
  <c r="CK280" i="1"/>
  <c r="CK215" i="1"/>
  <c r="CK216" i="1"/>
  <c r="CK213" i="1"/>
  <c r="CK283" i="1"/>
  <c r="CK286" i="1"/>
  <c r="CK288" i="1"/>
  <c r="CK290" i="1"/>
  <c r="CK294" i="1"/>
  <c r="CK296" i="1"/>
  <c r="CK298" i="1"/>
  <c r="CK12" i="1"/>
  <c r="CK14" i="1"/>
  <c r="CK15" i="1"/>
  <c r="CK16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5" i="1"/>
  <c r="CK37" i="1"/>
  <c r="CK38" i="1"/>
  <c r="CK39" i="1"/>
  <c r="CK40" i="1"/>
  <c r="CK41" i="1"/>
  <c r="CK43" i="1"/>
  <c r="CK48" i="1"/>
  <c r="CK50" i="1"/>
  <c r="CK52" i="1"/>
  <c r="CK54" i="1"/>
  <c r="CK56" i="1"/>
  <c r="CK59" i="1"/>
  <c r="CK61" i="1"/>
  <c r="CK64" i="1"/>
  <c r="CK66" i="1"/>
  <c r="CK69" i="1"/>
  <c r="CK71" i="1"/>
  <c r="CK72" i="1"/>
  <c r="CK74" i="1"/>
  <c r="CK76" i="1"/>
  <c r="CK78" i="1"/>
  <c r="CK80" i="1"/>
  <c r="CK82" i="1"/>
  <c r="CK85" i="1"/>
  <c r="CK86" i="1"/>
  <c r="CK88" i="1"/>
  <c r="CK89" i="1"/>
  <c r="CK90" i="1"/>
  <c r="CK93" i="1"/>
  <c r="CK94" i="1"/>
  <c r="CK95" i="1"/>
  <c r="CK96" i="1"/>
  <c r="CK97" i="1"/>
  <c r="CK98" i="1"/>
  <c r="CK101" i="1"/>
  <c r="CK104" i="1"/>
  <c r="CK105" i="1"/>
  <c r="CK108" i="1"/>
  <c r="CK110" i="1"/>
  <c r="CK113" i="1"/>
  <c r="CK115" i="1"/>
  <c r="CK117" i="1"/>
  <c r="CK119" i="1"/>
  <c r="CK122" i="1"/>
  <c r="CK123" i="1"/>
  <c r="CK124" i="1"/>
  <c r="CK126" i="1"/>
  <c r="CK127" i="1"/>
  <c r="CK128" i="1"/>
  <c r="CK130" i="1"/>
  <c r="CK131" i="1"/>
  <c r="CK132" i="1"/>
  <c r="CK134" i="1"/>
  <c r="CK136" i="1"/>
  <c r="CK138" i="1"/>
  <c r="CK139" i="1"/>
  <c r="CK140" i="1"/>
  <c r="CK143" i="1"/>
  <c r="CK144" i="1"/>
  <c r="CK145" i="1"/>
  <c r="CK147" i="1"/>
  <c r="CK148" i="1"/>
  <c r="CK150" i="1"/>
  <c r="CK151" i="1"/>
  <c r="CK152" i="1"/>
  <c r="CK153" i="1"/>
  <c r="CK154" i="1"/>
  <c r="CK158" i="1"/>
  <c r="CK159" i="1"/>
  <c r="CK161" i="1"/>
  <c r="CK162" i="1"/>
  <c r="CK165" i="1"/>
  <c r="CK167" i="1"/>
  <c r="CK168" i="1"/>
  <c r="CK170" i="1"/>
  <c r="CK171" i="1"/>
  <c r="CK173" i="1"/>
  <c r="CK175" i="1"/>
  <c r="CK177" i="1"/>
  <c r="CK178" i="1"/>
  <c r="CK180" i="1"/>
  <c r="CK181" i="1"/>
  <c r="CK182" i="1"/>
  <c r="CK184" i="1"/>
  <c r="CK186" i="1"/>
  <c r="CK188" i="1"/>
  <c r="CK190" i="1"/>
  <c r="CK192" i="1"/>
  <c r="CK193" i="1"/>
  <c r="CK194" i="1"/>
  <c r="CK195" i="1"/>
  <c r="CK196" i="1"/>
  <c r="CK197" i="1"/>
  <c r="CK198" i="1"/>
  <c r="CK200" i="1"/>
  <c r="CK203" i="1"/>
  <c r="CK209" i="1"/>
  <c r="CK210" i="1"/>
  <c r="CK206" i="1"/>
  <c r="CI279" i="1"/>
  <c r="CI212" i="1"/>
  <c r="CI214" i="1"/>
  <c r="CI282" i="1"/>
  <c r="CI285" i="1"/>
  <c r="CI287" i="1"/>
  <c r="CI289" i="1"/>
  <c r="CI293" i="1"/>
  <c r="CI295" i="1"/>
  <c r="CI297" i="1"/>
  <c r="CI11" i="1"/>
  <c r="CI13" i="1"/>
  <c r="CI17" i="1"/>
  <c r="CI34" i="1"/>
  <c r="CI36" i="1"/>
  <c r="CI42" i="1"/>
  <c r="CI44" i="1"/>
  <c r="CI47" i="1"/>
  <c r="CI49" i="1"/>
  <c r="CI51" i="1"/>
  <c r="CI53" i="1"/>
  <c r="CI55" i="1"/>
  <c r="CI58" i="1"/>
  <c r="CI60" i="1"/>
  <c r="CI63" i="1"/>
  <c r="CI65" i="1"/>
  <c r="CI68" i="1"/>
  <c r="CI70" i="1"/>
  <c r="CI73" i="1"/>
  <c r="CI75" i="1"/>
  <c r="CI77" i="1"/>
  <c r="CI79" i="1"/>
  <c r="CI81" i="1"/>
  <c r="CI84" i="1"/>
  <c r="CI87" i="1"/>
  <c r="CI100" i="1"/>
  <c r="CI103" i="1"/>
  <c r="CI107" i="1"/>
  <c r="CI109" i="1"/>
  <c r="CI112" i="1"/>
  <c r="CI114" i="1"/>
  <c r="CI116" i="1"/>
  <c r="CI118" i="1"/>
  <c r="CI121" i="1"/>
  <c r="CI125" i="1"/>
  <c r="CI129" i="1"/>
  <c r="CI133" i="1"/>
  <c r="CI135" i="1"/>
  <c r="CI137" i="1"/>
  <c r="CI142" i="1"/>
  <c r="CI146" i="1"/>
  <c r="CI149" i="1"/>
  <c r="CI157" i="1"/>
  <c r="CI160" i="1"/>
  <c r="CI164" i="1"/>
  <c r="CI166" i="1"/>
  <c r="CI169" i="1"/>
  <c r="CI172" i="1"/>
  <c r="CI174" i="1"/>
  <c r="CI179" i="1"/>
  <c r="CI183" i="1"/>
  <c r="CI185" i="1"/>
  <c r="CI187" i="1"/>
  <c r="CI189" i="1"/>
  <c r="CI191" i="1"/>
  <c r="CI199" i="1"/>
  <c r="CI202" i="1"/>
  <c r="CI208" i="1"/>
  <c r="CI205" i="1"/>
  <c r="CH279" i="1"/>
  <c r="CH212" i="1"/>
  <c r="CH214" i="1"/>
  <c r="CH282" i="1"/>
  <c r="CH285" i="1"/>
  <c r="CH287" i="1"/>
  <c r="CH289" i="1"/>
  <c r="CH293" i="1"/>
  <c r="CH295" i="1"/>
  <c r="CH297" i="1"/>
  <c r="CH11" i="1"/>
  <c r="CH13" i="1"/>
  <c r="CH17" i="1"/>
  <c r="CH34" i="1"/>
  <c r="CH36" i="1"/>
  <c r="CH42" i="1"/>
  <c r="CH44" i="1"/>
  <c r="CH47" i="1"/>
  <c r="CH49" i="1"/>
  <c r="CH51" i="1"/>
  <c r="CH53" i="1"/>
  <c r="CH55" i="1"/>
  <c r="CH58" i="1"/>
  <c r="CH60" i="1"/>
  <c r="CH63" i="1"/>
  <c r="CH65" i="1"/>
  <c r="CH68" i="1"/>
  <c r="CH70" i="1"/>
  <c r="CH73" i="1"/>
  <c r="CH75" i="1"/>
  <c r="CH77" i="1"/>
  <c r="CH79" i="1"/>
  <c r="CH81" i="1"/>
  <c r="CH84" i="1"/>
  <c r="CH87" i="1"/>
  <c r="CH100" i="1"/>
  <c r="CH103" i="1"/>
  <c r="CH107" i="1"/>
  <c r="CH109" i="1"/>
  <c r="CH112" i="1"/>
  <c r="CH114" i="1"/>
  <c r="CH116" i="1"/>
  <c r="CH118" i="1"/>
  <c r="CH121" i="1"/>
  <c r="CH125" i="1"/>
  <c r="CH129" i="1"/>
  <c r="CH133" i="1"/>
  <c r="CH135" i="1"/>
  <c r="CH137" i="1"/>
  <c r="CH142" i="1"/>
  <c r="CH146" i="1"/>
  <c r="CH149" i="1"/>
  <c r="CH157" i="1"/>
  <c r="CH160" i="1"/>
  <c r="CH164" i="1"/>
  <c r="CH166" i="1"/>
  <c r="CH169" i="1"/>
  <c r="CH172" i="1"/>
  <c r="CH174" i="1"/>
  <c r="CH179" i="1"/>
  <c r="CH183" i="1"/>
  <c r="CH185" i="1"/>
  <c r="CH187" i="1"/>
  <c r="CH189" i="1"/>
  <c r="CH191" i="1"/>
  <c r="CH199" i="1"/>
  <c r="CH202" i="1"/>
  <c r="CH208" i="1"/>
  <c r="CH205" i="1"/>
  <c r="CG279" i="1"/>
  <c r="CG212" i="1"/>
  <c r="CG214" i="1"/>
  <c r="CG282" i="1"/>
  <c r="CG285" i="1"/>
  <c r="CG287" i="1"/>
  <c r="CG289" i="1"/>
  <c r="CG293" i="1"/>
  <c r="CG295" i="1"/>
  <c r="CG297" i="1"/>
  <c r="CG11" i="1"/>
  <c r="CG13" i="1"/>
  <c r="CG17" i="1"/>
  <c r="CG34" i="1"/>
  <c r="CG36" i="1"/>
  <c r="CG42" i="1"/>
  <c r="CG44" i="1"/>
  <c r="CG47" i="1"/>
  <c r="CG49" i="1"/>
  <c r="CG51" i="1"/>
  <c r="CG53" i="1"/>
  <c r="CG55" i="1"/>
  <c r="CG58" i="1"/>
  <c r="CG60" i="1"/>
  <c r="CG63" i="1"/>
  <c r="CG65" i="1"/>
  <c r="CG68" i="1"/>
  <c r="CG70" i="1"/>
  <c r="CG73" i="1"/>
  <c r="CG75" i="1"/>
  <c r="CG77" i="1"/>
  <c r="CG79" i="1"/>
  <c r="CG81" i="1"/>
  <c r="CG84" i="1"/>
  <c r="CG87" i="1"/>
  <c r="CG100" i="1"/>
  <c r="CG103" i="1"/>
  <c r="CG107" i="1"/>
  <c r="CG109" i="1"/>
  <c r="CG112" i="1"/>
  <c r="CG114" i="1"/>
  <c r="CG116" i="1"/>
  <c r="CG118" i="1"/>
  <c r="CG121" i="1"/>
  <c r="CG125" i="1"/>
  <c r="CG129" i="1"/>
  <c r="CG133" i="1"/>
  <c r="CG135" i="1"/>
  <c r="CG137" i="1"/>
  <c r="CG142" i="1"/>
  <c r="CG146" i="1"/>
  <c r="CG149" i="1"/>
  <c r="CG157" i="1"/>
  <c r="CG160" i="1"/>
  <c r="CG164" i="1"/>
  <c r="CG166" i="1"/>
  <c r="CG169" i="1"/>
  <c r="CG172" i="1"/>
  <c r="CG174" i="1"/>
  <c r="CG179" i="1"/>
  <c r="CG183" i="1"/>
  <c r="CG185" i="1"/>
  <c r="CG187" i="1"/>
  <c r="CG189" i="1"/>
  <c r="CG191" i="1"/>
  <c r="CG199" i="1"/>
  <c r="CG202" i="1"/>
  <c r="CG208" i="1"/>
  <c r="CG205" i="1"/>
  <c r="CF279" i="1"/>
  <c r="CF212" i="1"/>
  <c r="CF214" i="1"/>
  <c r="CF282" i="1"/>
  <c r="CF285" i="1"/>
  <c r="CF287" i="1"/>
  <c r="CF289" i="1"/>
  <c r="CF291" i="1"/>
  <c r="CF293" i="1"/>
  <c r="CF295" i="1"/>
  <c r="CF297" i="1"/>
  <c r="CF11" i="1"/>
  <c r="CF13" i="1"/>
  <c r="CF17" i="1"/>
  <c r="CF34" i="1"/>
  <c r="CF36" i="1"/>
  <c r="CF42" i="1"/>
  <c r="CF44" i="1"/>
  <c r="CF47" i="1"/>
  <c r="CF49" i="1"/>
  <c r="CF51" i="1"/>
  <c r="CF53" i="1"/>
  <c r="CF55" i="1"/>
  <c r="CF58" i="1"/>
  <c r="CF60" i="1"/>
  <c r="CF63" i="1"/>
  <c r="CF65" i="1"/>
  <c r="CF68" i="1"/>
  <c r="CF70" i="1"/>
  <c r="CF73" i="1"/>
  <c r="CF75" i="1"/>
  <c r="CF77" i="1"/>
  <c r="CF79" i="1"/>
  <c r="CF81" i="1"/>
  <c r="CF84" i="1"/>
  <c r="CF87" i="1"/>
  <c r="CF100" i="1"/>
  <c r="CF103" i="1"/>
  <c r="CF107" i="1"/>
  <c r="CF109" i="1"/>
  <c r="CF112" i="1"/>
  <c r="CF114" i="1"/>
  <c r="CF116" i="1"/>
  <c r="CF118" i="1"/>
  <c r="CF121" i="1"/>
  <c r="CF125" i="1"/>
  <c r="CF129" i="1"/>
  <c r="CF133" i="1"/>
  <c r="CF135" i="1"/>
  <c r="CF137" i="1"/>
  <c r="CF142" i="1"/>
  <c r="CF146" i="1"/>
  <c r="CF149" i="1"/>
  <c r="CF157" i="1"/>
  <c r="CF160" i="1"/>
  <c r="CF164" i="1"/>
  <c r="CF166" i="1"/>
  <c r="CF169" i="1"/>
  <c r="CF172" i="1"/>
  <c r="CF174" i="1"/>
  <c r="CF179" i="1"/>
  <c r="CF183" i="1"/>
  <c r="CF185" i="1"/>
  <c r="CF187" i="1"/>
  <c r="CF189" i="1"/>
  <c r="CF191" i="1"/>
  <c r="CF199" i="1"/>
  <c r="CF202" i="1"/>
  <c r="CF208" i="1"/>
  <c r="CF205" i="1"/>
  <c r="CE279" i="1"/>
  <c r="CE212" i="1"/>
  <c r="CE214" i="1"/>
  <c r="CE282" i="1"/>
  <c r="CE285" i="1"/>
  <c r="CE287" i="1"/>
  <c r="CE289" i="1"/>
  <c r="CE291" i="1"/>
  <c r="CE293" i="1"/>
  <c r="CE295" i="1"/>
  <c r="CE297" i="1"/>
  <c r="CE11" i="1"/>
  <c r="CE13" i="1"/>
  <c r="CE17" i="1"/>
  <c r="CE34" i="1"/>
  <c r="CE36" i="1"/>
  <c r="CE42" i="1"/>
  <c r="CE44" i="1"/>
  <c r="CE47" i="1"/>
  <c r="CE49" i="1"/>
  <c r="CE51" i="1"/>
  <c r="CE53" i="1"/>
  <c r="CE55" i="1"/>
  <c r="CE58" i="1"/>
  <c r="CE60" i="1"/>
  <c r="CE63" i="1"/>
  <c r="CE65" i="1"/>
  <c r="CE68" i="1"/>
  <c r="CE70" i="1"/>
  <c r="CE73" i="1"/>
  <c r="CE75" i="1"/>
  <c r="CE77" i="1"/>
  <c r="CE79" i="1"/>
  <c r="CE81" i="1"/>
  <c r="CE84" i="1"/>
  <c r="CE87" i="1"/>
  <c r="CE100" i="1"/>
  <c r="CE103" i="1"/>
  <c r="CE107" i="1"/>
  <c r="CE109" i="1"/>
  <c r="CE112" i="1"/>
  <c r="CE114" i="1"/>
  <c r="CE116" i="1"/>
  <c r="CE118" i="1"/>
  <c r="CE121" i="1"/>
  <c r="CE125" i="1"/>
  <c r="CE129" i="1"/>
  <c r="CE133" i="1"/>
  <c r="CE135" i="1"/>
  <c r="CE137" i="1"/>
  <c r="CE142" i="1"/>
  <c r="CE146" i="1"/>
  <c r="CE149" i="1"/>
  <c r="CE157" i="1"/>
  <c r="CE160" i="1"/>
  <c r="CE164" i="1"/>
  <c r="CE166" i="1"/>
  <c r="CE169" i="1"/>
  <c r="CE172" i="1"/>
  <c r="CE174" i="1"/>
  <c r="CE179" i="1"/>
  <c r="CE183" i="1"/>
  <c r="CE185" i="1"/>
  <c r="CE187" i="1"/>
  <c r="CE189" i="1"/>
  <c r="CE191" i="1"/>
  <c r="CE199" i="1"/>
  <c r="CE202" i="1"/>
  <c r="CE208" i="1"/>
  <c r="CE205" i="1"/>
  <c r="CD218" i="1"/>
  <c r="CD280" i="1"/>
  <c r="CD215" i="1"/>
  <c r="CD216" i="1"/>
  <c r="CD213" i="1"/>
  <c r="CD283" i="1"/>
  <c r="CD286" i="1"/>
  <c r="CD290" i="1"/>
  <c r="CD294" i="1"/>
  <c r="CD296" i="1"/>
  <c r="CD298" i="1"/>
  <c r="CD12" i="1"/>
  <c r="CD14" i="1"/>
  <c r="CD15" i="1"/>
  <c r="CD16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5" i="1"/>
  <c r="CD37" i="1"/>
  <c r="CD38" i="1"/>
  <c r="CD39" i="1"/>
  <c r="CD40" i="1"/>
  <c r="CD41" i="1"/>
  <c r="CD43" i="1"/>
  <c r="CD45" i="1"/>
  <c r="CD48" i="1"/>
  <c r="CD50" i="1"/>
  <c r="CD52" i="1"/>
  <c r="CD54" i="1"/>
  <c r="CD56" i="1"/>
  <c r="CD59" i="1"/>
  <c r="CD61" i="1"/>
  <c r="CD64" i="1"/>
  <c r="CD66" i="1"/>
  <c r="CD69" i="1"/>
  <c r="CD71" i="1"/>
  <c r="CD72" i="1"/>
  <c r="CD74" i="1"/>
  <c r="CD76" i="1"/>
  <c r="CD78" i="1"/>
  <c r="CD80" i="1"/>
  <c r="CD82" i="1"/>
  <c r="CD85" i="1"/>
  <c r="CD86" i="1"/>
  <c r="CD88" i="1"/>
  <c r="CD89" i="1"/>
  <c r="CD90" i="1"/>
  <c r="CD93" i="1"/>
  <c r="CD94" i="1"/>
  <c r="CD95" i="1"/>
  <c r="CD96" i="1"/>
  <c r="CD97" i="1"/>
  <c r="CD98" i="1"/>
  <c r="CD101" i="1"/>
  <c r="CD104" i="1"/>
  <c r="CD105" i="1"/>
  <c r="CD108" i="1"/>
  <c r="CD110" i="1"/>
  <c r="CD113" i="1"/>
  <c r="CD115" i="1"/>
  <c r="CD117" i="1"/>
  <c r="CD119" i="1"/>
  <c r="CD122" i="1"/>
  <c r="CD123" i="1"/>
  <c r="CD124" i="1"/>
  <c r="CD126" i="1"/>
  <c r="CD127" i="1"/>
  <c r="CD128" i="1"/>
  <c r="CD130" i="1"/>
  <c r="CD131" i="1"/>
  <c r="CD132" i="1"/>
  <c r="CD134" i="1"/>
  <c r="CD136" i="1"/>
  <c r="CD138" i="1"/>
  <c r="CD139" i="1"/>
  <c r="CD140" i="1"/>
  <c r="CD143" i="1"/>
  <c r="CD144" i="1"/>
  <c r="CD145" i="1"/>
  <c r="CD147" i="1"/>
  <c r="CD148" i="1"/>
  <c r="CD150" i="1"/>
  <c r="CD151" i="1"/>
  <c r="CD152" i="1"/>
  <c r="CD153" i="1"/>
  <c r="CD154" i="1"/>
  <c r="CD158" i="1"/>
  <c r="CD159" i="1"/>
  <c r="CD161" i="1"/>
  <c r="CD162" i="1"/>
  <c r="CD165" i="1"/>
  <c r="CD167" i="1"/>
  <c r="CD168" i="1"/>
  <c r="CD170" i="1"/>
  <c r="CD171" i="1"/>
  <c r="CD173" i="1"/>
  <c r="CD175" i="1"/>
  <c r="CD177" i="1"/>
  <c r="CD178" i="1"/>
  <c r="CD180" i="1"/>
  <c r="CD181" i="1"/>
  <c r="CD182" i="1"/>
  <c r="CD184" i="1"/>
  <c r="CD186" i="1"/>
  <c r="CD188" i="1"/>
  <c r="CD190" i="1"/>
  <c r="CD192" i="1"/>
  <c r="CD193" i="1"/>
  <c r="CD194" i="1"/>
  <c r="CD195" i="1"/>
  <c r="CD196" i="1"/>
  <c r="CD197" i="1"/>
  <c r="CD198" i="1"/>
  <c r="CD200" i="1"/>
  <c r="CD203" i="1"/>
  <c r="CD209" i="1"/>
  <c r="CD210" i="1"/>
  <c r="CD206" i="1"/>
  <c r="CC279" i="1"/>
  <c r="CC212" i="1"/>
  <c r="CC214" i="1"/>
  <c r="CC282" i="1"/>
  <c r="CC285" i="1"/>
  <c r="CC287" i="1"/>
  <c r="CC289" i="1"/>
  <c r="CC293" i="1"/>
  <c r="CC295" i="1"/>
  <c r="CC297" i="1"/>
  <c r="CC11" i="1"/>
  <c r="CC13" i="1"/>
  <c r="CC18" i="1"/>
  <c r="CC19" i="1"/>
  <c r="CC30" i="1"/>
  <c r="CC34" i="1"/>
  <c r="CC38" i="1"/>
  <c r="CC42" i="1"/>
  <c r="CC44" i="1"/>
  <c r="CC47" i="1"/>
  <c r="CC49" i="1"/>
  <c r="CC51" i="1"/>
  <c r="CC53" i="1"/>
  <c r="CC55" i="1"/>
  <c r="CC58" i="1"/>
  <c r="CC60" i="1"/>
  <c r="CC63" i="1"/>
  <c r="CC65" i="1"/>
  <c r="CC68" i="1"/>
  <c r="CC70" i="1"/>
  <c r="CC73" i="1"/>
  <c r="CC75" i="1"/>
  <c r="CC77" i="1"/>
  <c r="CC79" i="1"/>
  <c r="CC81" i="1"/>
  <c r="CC84" i="1"/>
  <c r="CC87" i="1"/>
  <c r="CC100" i="1"/>
  <c r="CC103" i="1"/>
  <c r="CC107" i="1"/>
  <c r="CC109" i="1"/>
  <c r="CC112" i="1"/>
  <c r="CC114" i="1"/>
  <c r="CC116" i="1"/>
  <c r="CC118" i="1"/>
  <c r="CC121" i="1"/>
  <c r="CC127" i="1"/>
  <c r="CC129" i="1"/>
  <c r="CC133" i="1"/>
  <c r="CC135" i="1"/>
  <c r="CC137" i="1"/>
  <c r="CC142" i="1"/>
  <c r="CC146" i="1"/>
  <c r="CC149" i="1"/>
  <c r="CC157" i="1"/>
  <c r="CC160" i="1"/>
  <c r="CC164" i="1"/>
  <c r="CC166" i="1"/>
  <c r="CC169" i="1"/>
  <c r="CC172" i="1"/>
  <c r="CC174" i="1"/>
  <c r="CC179" i="1"/>
  <c r="CC183" i="1"/>
  <c r="CC185" i="1"/>
  <c r="CC187" i="1"/>
  <c r="CC189" i="1"/>
  <c r="CC191" i="1"/>
  <c r="CC199" i="1"/>
  <c r="CC202" i="1"/>
  <c r="CC208" i="1"/>
  <c r="CC205" i="1"/>
  <c r="CB279" i="1"/>
  <c r="CB212" i="1"/>
  <c r="CB214" i="1"/>
  <c r="CB282" i="1"/>
  <c r="CB285" i="1"/>
  <c r="CB287" i="1"/>
  <c r="CB289" i="1"/>
  <c r="CB293" i="1"/>
  <c r="CB295" i="1"/>
  <c r="CB297" i="1"/>
  <c r="CB11" i="1"/>
  <c r="CB13" i="1"/>
  <c r="CB17" i="1"/>
  <c r="CB34" i="1"/>
  <c r="CB36" i="1"/>
  <c r="CB42" i="1"/>
  <c r="CB44" i="1"/>
  <c r="CB47" i="1"/>
  <c r="CB49" i="1"/>
  <c r="CB51" i="1"/>
  <c r="CB53" i="1"/>
  <c r="CB55" i="1"/>
  <c r="CB58" i="1"/>
  <c r="CB60" i="1"/>
  <c r="CB63" i="1"/>
  <c r="CB65" i="1"/>
  <c r="CB68" i="1"/>
  <c r="CB70" i="1"/>
  <c r="CB73" i="1"/>
  <c r="CB75" i="1"/>
  <c r="CB77" i="1"/>
  <c r="CB79" i="1"/>
  <c r="CB81" i="1"/>
  <c r="CB84" i="1"/>
  <c r="CB87" i="1"/>
  <c r="CB100" i="1"/>
  <c r="CB103" i="1"/>
  <c r="CB107" i="1"/>
  <c r="CB109" i="1"/>
  <c r="CB112" i="1"/>
  <c r="CB114" i="1"/>
  <c r="CB116" i="1"/>
  <c r="CB118" i="1"/>
  <c r="CB121" i="1"/>
  <c r="CB125" i="1"/>
  <c r="CB129" i="1"/>
  <c r="CB133" i="1"/>
  <c r="CB135" i="1"/>
  <c r="CB137" i="1"/>
  <c r="CB142" i="1"/>
  <c r="CB146" i="1"/>
  <c r="CB149" i="1"/>
  <c r="CB157" i="1"/>
  <c r="CB160" i="1"/>
  <c r="CB164" i="1"/>
  <c r="CB166" i="1"/>
  <c r="CB169" i="1"/>
  <c r="CB172" i="1"/>
  <c r="CB174" i="1"/>
  <c r="CB179" i="1"/>
  <c r="CB183" i="1"/>
  <c r="CB185" i="1"/>
  <c r="CB187" i="1"/>
  <c r="CB189" i="1"/>
  <c r="CB191" i="1"/>
  <c r="CB199" i="1"/>
  <c r="CB202" i="1"/>
  <c r="CB208" i="1"/>
  <c r="CB205" i="1"/>
  <c r="CA218" i="1"/>
  <c r="CA280" i="1"/>
  <c r="CA215" i="1"/>
  <c r="CA216" i="1"/>
  <c r="CA213" i="1"/>
  <c r="CA283" i="1"/>
  <c r="CA286" i="1"/>
  <c r="CA288" i="1"/>
  <c r="CA290" i="1"/>
  <c r="CA294" i="1"/>
  <c r="CA296" i="1"/>
  <c r="CA298" i="1"/>
  <c r="CA12" i="1"/>
  <c r="CA14" i="1"/>
  <c r="CA15" i="1"/>
  <c r="CA16" i="1"/>
  <c r="CA20" i="1"/>
  <c r="CA21" i="1"/>
  <c r="CA22" i="1"/>
  <c r="CA23" i="1"/>
  <c r="CA24" i="1"/>
  <c r="CA25" i="1"/>
  <c r="CA26" i="1"/>
  <c r="CA27" i="1"/>
  <c r="CA28" i="1"/>
  <c r="CA29" i="1"/>
  <c r="CA31" i="1"/>
  <c r="CA32" i="1"/>
  <c r="CA33" i="1"/>
  <c r="CA35" i="1"/>
  <c r="CA37" i="1"/>
  <c r="CA39" i="1"/>
  <c r="CA40" i="1"/>
  <c r="CA41" i="1"/>
  <c r="CA43" i="1"/>
  <c r="CA45" i="1"/>
  <c r="CA48" i="1"/>
  <c r="CA50" i="1"/>
  <c r="CA52" i="1"/>
  <c r="CA54" i="1"/>
  <c r="CA56" i="1"/>
  <c r="CA59" i="1"/>
  <c r="CA61" i="1"/>
  <c r="CA64" i="1"/>
  <c r="CA66" i="1"/>
  <c r="CA69" i="1"/>
  <c r="CA71" i="1"/>
  <c r="CA72" i="1"/>
  <c r="CA74" i="1"/>
  <c r="CA76" i="1"/>
  <c r="CA78" i="1"/>
  <c r="CA80" i="1"/>
  <c r="CA82" i="1"/>
  <c r="CA85" i="1"/>
  <c r="CA86" i="1"/>
  <c r="CA88" i="1"/>
  <c r="CA89" i="1"/>
  <c r="CA90" i="1"/>
  <c r="CA93" i="1"/>
  <c r="CA94" i="1"/>
  <c r="CA95" i="1"/>
  <c r="CA96" i="1"/>
  <c r="CA97" i="1"/>
  <c r="CA98" i="1"/>
  <c r="CA101" i="1"/>
  <c r="CA104" i="1"/>
  <c r="CA105" i="1"/>
  <c r="CA108" i="1"/>
  <c r="CA110" i="1"/>
  <c r="CA113" i="1"/>
  <c r="CA115" i="1"/>
  <c r="CA117" i="1"/>
  <c r="CA119" i="1"/>
  <c r="CA122" i="1"/>
  <c r="CA123" i="1"/>
  <c r="CA124" i="1"/>
  <c r="CA126" i="1"/>
  <c r="CA128" i="1"/>
  <c r="CA130" i="1"/>
  <c r="CA131" i="1"/>
  <c r="CA132" i="1"/>
  <c r="CA134" i="1"/>
  <c r="CA136" i="1"/>
  <c r="CA138" i="1"/>
  <c r="CA139" i="1"/>
  <c r="CA140" i="1"/>
  <c r="CA143" i="1"/>
  <c r="CA144" i="1"/>
  <c r="CA145" i="1"/>
  <c r="CA147" i="1"/>
  <c r="CA148" i="1"/>
  <c r="CA150" i="1"/>
  <c r="CA151" i="1"/>
  <c r="CA152" i="1"/>
  <c r="CA153" i="1"/>
  <c r="CA154" i="1"/>
  <c r="CA158" i="1"/>
  <c r="CA159" i="1"/>
  <c r="CA161" i="1"/>
  <c r="CA162" i="1"/>
  <c r="CA165" i="1"/>
  <c r="CA167" i="1"/>
  <c r="CA168" i="1"/>
  <c r="CA170" i="1"/>
  <c r="CA171" i="1"/>
  <c r="CA173" i="1"/>
  <c r="CA175" i="1"/>
  <c r="CA177" i="1"/>
  <c r="CA178" i="1"/>
  <c r="CA180" i="1"/>
  <c r="CA181" i="1"/>
  <c r="CA182" i="1"/>
  <c r="CA184" i="1"/>
  <c r="CA186" i="1"/>
  <c r="CA188" i="1"/>
  <c r="CA190" i="1"/>
  <c r="CA192" i="1"/>
  <c r="CA193" i="1"/>
  <c r="CA194" i="1"/>
  <c r="CA195" i="1"/>
  <c r="CA196" i="1"/>
  <c r="CA197" i="1"/>
  <c r="CA198" i="1"/>
  <c r="CA200" i="1"/>
  <c r="CA203" i="1"/>
  <c r="CA209" i="1"/>
  <c r="CA210" i="1"/>
  <c r="CA206" i="1"/>
  <c r="BX279" i="1"/>
  <c r="BX212" i="1"/>
  <c r="BX214" i="1"/>
  <c r="BX282" i="1"/>
  <c r="BX285" i="1"/>
  <c r="BX287" i="1"/>
  <c r="BX289" i="1"/>
  <c r="BX291" i="1"/>
  <c r="BX293" i="1"/>
  <c r="BX295" i="1"/>
  <c r="BX297" i="1"/>
  <c r="BX11" i="1"/>
  <c r="BX13" i="1"/>
  <c r="BX17" i="1"/>
  <c r="BX34" i="1"/>
  <c r="BX36" i="1"/>
  <c r="BX42" i="1"/>
  <c r="BX44" i="1"/>
  <c r="BX47" i="1"/>
  <c r="BX49" i="1"/>
  <c r="BX51" i="1"/>
  <c r="BX53" i="1"/>
  <c r="BX55" i="1"/>
  <c r="BX58" i="1"/>
  <c r="BX60" i="1"/>
  <c r="BX63" i="1"/>
  <c r="BX65" i="1"/>
  <c r="BX68" i="1"/>
  <c r="BX70" i="1"/>
  <c r="BX73" i="1"/>
  <c r="BX75" i="1"/>
  <c r="BX77" i="1"/>
  <c r="BX79" i="1"/>
  <c r="BX81" i="1"/>
  <c r="BX84" i="1"/>
  <c r="BX87" i="1"/>
  <c r="BX100" i="1"/>
  <c r="BX103" i="1"/>
  <c r="BX107" i="1"/>
  <c r="BX109" i="1"/>
  <c r="BX112" i="1"/>
  <c r="BX114" i="1"/>
  <c r="BX116" i="1"/>
  <c r="BX118" i="1"/>
  <c r="BX121" i="1"/>
  <c r="BX125" i="1"/>
  <c r="BX129" i="1"/>
  <c r="BX133" i="1"/>
  <c r="BX135" i="1"/>
  <c r="BX137" i="1"/>
  <c r="BX142" i="1"/>
  <c r="BX146" i="1"/>
  <c r="BX149" i="1"/>
  <c r="BX157" i="1"/>
  <c r="BX160" i="1"/>
  <c r="BX164" i="1"/>
  <c r="BX166" i="1"/>
  <c r="BX169" i="1"/>
  <c r="BX172" i="1"/>
  <c r="BX174" i="1"/>
  <c r="BX179" i="1"/>
  <c r="BX183" i="1"/>
  <c r="BX185" i="1"/>
  <c r="BX187" i="1"/>
  <c r="BX189" i="1"/>
  <c r="BX191" i="1"/>
  <c r="BX199" i="1"/>
  <c r="BX202" i="1"/>
  <c r="BX208" i="1"/>
  <c r="BX205" i="1"/>
  <c r="BW279" i="1"/>
  <c r="BW212" i="1"/>
  <c r="BW214" i="1"/>
  <c r="BW282" i="1"/>
  <c r="BW285" i="1"/>
  <c r="BW287" i="1"/>
  <c r="BW289" i="1"/>
  <c r="BW291" i="1"/>
  <c r="BW293" i="1"/>
  <c r="BW295" i="1"/>
  <c r="BW297" i="1"/>
  <c r="BW11" i="1"/>
  <c r="BW13" i="1"/>
  <c r="BW17" i="1"/>
  <c r="BW34" i="1"/>
  <c r="BW36" i="1"/>
  <c r="BW42" i="1"/>
  <c r="BW44" i="1"/>
  <c r="BW47" i="1"/>
  <c r="BW49" i="1"/>
  <c r="BW51" i="1"/>
  <c r="BW53" i="1"/>
  <c r="BW55" i="1"/>
  <c r="BW58" i="1"/>
  <c r="BW60" i="1"/>
  <c r="BW63" i="1"/>
  <c r="BW65" i="1"/>
  <c r="BW68" i="1"/>
  <c r="BW70" i="1"/>
  <c r="BW73" i="1"/>
  <c r="BW75" i="1"/>
  <c r="BW77" i="1"/>
  <c r="BW79" i="1"/>
  <c r="BW81" i="1"/>
  <c r="BW84" i="1"/>
  <c r="BW87" i="1"/>
  <c r="BW100" i="1"/>
  <c r="BW103" i="1"/>
  <c r="BW107" i="1"/>
  <c r="BW109" i="1"/>
  <c r="BW112" i="1"/>
  <c r="BW114" i="1"/>
  <c r="BW116" i="1"/>
  <c r="BW118" i="1"/>
  <c r="BW121" i="1"/>
  <c r="BW125" i="1"/>
  <c r="BW129" i="1"/>
  <c r="BW133" i="1"/>
  <c r="BW135" i="1"/>
  <c r="BW137" i="1"/>
  <c r="BW142" i="1"/>
  <c r="BW146" i="1"/>
  <c r="BW149" i="1"/>
  <c r="BW157" i="1"/>
  <c r="BW160" i="1"/>
  <c r="BW164" i="1"/>
  <c r="BW166" i="1"/>
  <c r="BW169" i="1"/>
  <c r="BW172" i="1"/>
  <c r="BW174" i="1"/>
  <c r="BW179" i="1"/>
  <c r="BW183" i="1"/>
  <c r="BW185" i="1"/>
  <c r="BW187" i="1"/>
  <c r="BW189" i="1"/>
  <c r="BW191" i="1"/>
  <c r="BW199" i="1"/>
  <c r="BW202" i="1"/>
  <c r="BW208" i="1"/>
  <c r="BW205" i="1"/>
  <c r="BV279" i="1"/>
  <c r="BV212" i="1"/>
  <c r="BV214" i="1"/>
  <c r="BV282" i="1"/>
  <c r="BV285" i="1"/>
  <c r="BV287" i="1"/>
  <c r="BV289" i="1"/>
  <c r="BV291" i="1"/>
  <c r="BV293" i="1"/>
  <c r="BV295" i="1"/>
  <c r="BV297" i="1"/>
  <c r="BV11" i="1"/>
  <c r="BV13" i="1"/>
  <c r="BV17" i="1"/>
  <c r="BV34" i="1"/>
  <c r="BV36" i="1"/>
  <c r="BV42" i="1"/>
  <c r="BV44" i="1"/>
  <c r="BV47" i="1"/>
  <c r="BV49" i="1"/>
  <c r="BV51" i="1"/>
  <c r="BV53" i="1"/>
  <c r="BV55" i="1"/>
  <c r="BV58" i="1"/>
  <c r="BV60" i="1"/>
  <c r="BV63" i="1"/>
  <c r="BV65" i="1"/>
  <c r="BV68" i="1"/>
  <c r="BV70" i="1"/>
  <c r="BV73" i="1"/>
  <c r="BV75" i="1"/>
  <c r="BV77" i="1"/>
  <c r="BV79" i="1"/>
  <c r="BV81" i="1"/>
  <c r="BV84" i="1"/>
  <c r="BV87" i="1"/>
  <c r="BV100" i="1"/>
  <c r="BV103" i="1"/>
  <c r="BV107" i="1"/>
  <c r="BV109" i="1"/>
  <c r="BV112" i="1"/>
  <c r="BV114" i="1"/>
  <c r="BV116" i="1"/>
  <c r="BV118" i="1"/>
  <c r="BV121" i="1"/>
  <c r="BV125" i="1"/>
  <c r="BV129" i="1"/>
  <c r="BV133" i="1"/>
  <c r="BV135" i="1"/>
  <c r="BV137" i="1"/>
  <c r="BV142" i="1"/>
  <c r="BV146" i="1"/>
  <c r="BV149" i="1"/>
  <c r="BV157" i="1"/>
  <c r="BV160" i="1"/>
  <c r="BV164" i="1"/>
  <c r="BV166" i="1"/>
  <c r="BV169" i="1"/>
  <c r="BV172" i="1"/>
  <c r="BV174" i="1"/>
  <c r="BV179" i="1"/>
  <c r="BV183" i="1"/>
  <c r="BV185" i="1"/>
  <c r="BV187" i="1"/>
  <c r="BV189" i="1"/>
  <c r="BV191" i="1"/>
  <c r="BV199" i="1"/>
  <c r="BV202" i="1"/>
  <c r="BV208" i="1"/>
  <c r="BV205" i="1"/>
  <c r="BU279" i="1"/>
  <c r="BU212" i="1"/>
  <c r="BU214" i="1"/>
  <c r="BU282" i="1"/>
  <c r="BU285" i="1"/>
  <c r="BU287" i="1"/>
  <c r="BU289" i="1"/>
  <c r="BU291" i="1"/>
  <c r="BU293" i="1"/>
  <c r="BU295" i="1"/>
  <c r="BU297" i="1"/>
  <c r="BU11" i="1"/>
  <c r="BU13" i="1"/>
  <c r="BU17" i="1"/>
  <c r="BU34" i="1"/>
  <c r="BU36" i="1"/>
  <c r="BU42" i="1"/>
  <c r="BU44" i="1"/>
  <c r="BU47" i="1"/>
  <c r="BU49" i="1"/>
  <c r="BU51" i="1"/>
  <c r="BU53" i="1"/>
  <c r="BU55" i="1"/>
  <c r="BU58" i="1"/>
  <c r="BU60" i="1"/>
  <c r="BU63" i="1"/>
  <c r="BU65" i="1"/>
  <c r="BU68" i="1"/>
  <c r="BU70" i="1"/>
  <c r="BU73" i="1"/>
  <c r="BU75" i="1"/>
  <c r="BU77" i="1"/>
  <c r="BU79" i="1"/>
  <c r="BU81" i="1"/>
  <c r="BU84" i="1"/>
  <c r="BU87" i="1"/>
  <c r="BU100" i="1"/>
  <c r="BU103" i="1"/>
  <c r="BU107" i="1"/>
  <c r="BU109" i="1"/>
  <c r="BU112" i="1"/>
  <c r="BU114" i="1"/>
  <c r="BU116" i="1"/>
  <c r="BU118" i="1"/>
  <c r="BU121" i="1"/>
  <c r="BU125" i="1"/>
  <c r="BU129" i="1"/>
  <c r="BU133" i="1"/>
  <c r="BU135" i="1"/>
  <c r="BU137" i="1"/>
  <c r="BU142" i="1"/>
  <c r="BU146" i="1"/>
  <c r="BU149" i="1"/>
  <c r="BU157" i="1"/>
  <c r="BU160" i="1"/>
  <c r="BU164" i="1"/>
  <c r="BU166" i="1"/>
  <c r="BU169" i="1"/>
  <c r="BU172" i="1"/>
  <c r="BU174" i="1"/>
  <c r="BU179" i="1"/>
  <c r="BU183" i="1"/>
  <c r="BU185" i="1"/>
  <c r="BU187" i="1"/>
  <c r="BU189" i="1"/>
  <c r="BU191" i="1"/>
  <c r="BU199" i="1"/>
  <c r="BU202" i="1"/>
  <c r="BU208" i="1"/>
  <c r="BU205" i="1"/>
  <c r="BT279" i="1"/>
  <c r="BT212" i="1"/>
  <c r="BT214" i="1"/>
  <c r="BT282" i="1"/>
  <c r="BT285" i="1"/>
  <c r="BT287" i="1"/>
  <c r="BT289" i="1"/>
  <c r="BT291" i="1"/>
  <c r="BT293" i="1"/>
  <c r="BT295" i="1"/>
  <c r="BT297" i="1"/>
  <c r="BT11" i="1"/>
  <c r="BT13" i="1"/>
  <c r="BT17" i="1"/>
  <c r="BT34" i="1"/>
  <c r="BT36" i="1"/>
  <c r="BT42" i="1"/>
  <c r="BT44" i="1"/>
  <c r="BT47" i="1"/>
  <c r="BT49" i="1"/>
  <c r="BT51" i="1"/>
  <c r="BT53" i="1"/>
  <c r="BT55" i="1"/>
  <c r="BT58" i="1"/>
  <c r="BT60" i="1"/>
  <c r="BT63" i="1"/>
  <c r="BT65" i="1"/>
  <c r="BT68" i="1"/>
  <c r="BT70" i="1"/>
  <c r="BT73" i="1"/>
  <c r="BT75" i="1"/>
  <c r="BT77" i="1"/>
  <c r="BT79" i="1"/>
  <c r="BT81" i="1"/>
  <c r="BT84" i="1"/>
  <c r="BT87" i="1"/>
  <c r="BT100" i="1"/>
  <c r="BT103" i="1"/>
  <c r="BT107" i="1"/>
  <c r="BT109" i="1"/>
  <c r="BT112" i="1"/>
  <c r="BT114" i="1"/>
  <c r="BT116" i="1"/>
  <c r="BT118" i="1"/>
  <c r="BT121" i="1"/>
  <c r="BT125" i="1"/>
  <c r="BT129" i="1"/>
  <c r="BT133" i="1"/>
  <c r="BT135" i="1"/>
  <c r="BT137" i="1"/>
  <c r="BT142" i="1"/>
  <c r="BT146" i="1"/>
  <c r="BT149" i="1"/>
  <c r="BT157" i="1"/>
  <c r="BT160" i="1"/>
  <c r="BT164" i="1"/>
  <c r="BT166" i="1"/>
  <c r="BT169" i="1"/>
  <c r="BT172" i="1"/>
  <c r="BT174" i="1"/>
  <c r="BT179" i="1"/>
  <c r="BT183" i="1"/>
  <c r="BT185" i="1"/>
  <c r="BT187" i="1"/>
  <c r="BT189" i="1"/>
  <c r="BT191" i="1"/>
  <c r="BT199" i="1"/>
  <c r="BT202" i="1"/>
  <c r="BT208" i="1"/>
  <c r="BT205" i="1"/>
  <c r="BS279" i="1"/>
  <c r="BS212" i="1"/>
  <c r="BS214" i="1"/>
  <c r="BS282" i="1"/>
  <c r="BS285" i="1"/>
  <c r="BS287" i="1"/>
  <c r="BS289" i="1"/>
  <c r="BS291" i="1"/>
  <c r="BS293" i="1"/>
  <c r="BS295" i="1"/>
  <c r="BS297" i="1"/>
  <c r="BS11" i="1"/>
  <c r="BS13" i="1"/>
  <c r="BS17" i="1"/>
  <c r="BS34" i="1"/>
  <c r="BS36" i="1"/>
  <c r="BS42" i="1"/>
  <c r="BS44" i="1"/>
  <c r="BS47" i="1"/>
  <c r="BS49" i="1"/>
  <c r="BS51" i="1"/>
  <c r="BS53" i="1"/>
  <c r="BS55" i="1"/>
  <c r="BS58" i="1"/>
  <c r="BS60" i="1"/>
  <c r="BS63" i="1"/>
  <c r="BS65" i="1"/>
  <c r="BS68" i="1"/>
  <c r="BS70" i="1"/>
  <c r="BS73" i="1"/>
  <c r="BS75" i="1"/>
  <c r="BS77" i="1"/>
  <c r="BS79" i="1"/>
  <c r="BS81" i="1"/>
  <c r="BS84" i="1"/>
  <c r="BS87" i="1"/>
  <c r="BS100" i="1"/>
  <c r="BS103" i="1"/>
  <c r="BS107" i="1"/>
  <c r="BS109" i="1"/>
  <c r="BS112" i="1"/>
  <c r="BS114" i="1"/>
  <c r="BS116" i="1"/>
  <c r="BS118" i="1"/>
  <c r="BS121" i="1"/>
  <c r="BS125" i="1"/>
  <c r="BS129" i="1"/>
  <c r="BS133" i="1"/>
  <c r="BS135" i="1"/>
  <c r="BS137" i="1"/>
  <c r="BS142" i="1"/>
  <c r="BS146" i="1"/>
  <c r="BS149" i="1"/>
  <c r="BS157" i="1"/>
  <c r="BS160" i="1"/>
  <c r="BS164" i="1"/>
  <c r="BS166" i="1"/>
  <c r="BS169" i="1"/>
  <c r="BS172" i="1"/>
  <c r="BS174" i="1"/>
  <c r="BS179" i="1"/>
  <c r="BS183" i="1"/>
  <c r="BS185" i="1"/>
  <c r="BS187" i="1"/>
  <c r="BS189" i="1"/>
  <c r="BS191" i="1"/>
  <c r="BS199" i="1"/>
  <c r="BS202" i="1"/>
  <c r="BS208" i="1"/>
  <c r="BS205" i="1"/>
  <c r="BR279" i="1"/>
  <c r="BR212" i="1"/>
  <c r="BR214" i="1"/>
  <c r="BR282" i="1"/>
  <c r="BR285" i="1"/>
  <c r="BR287" i="1"/>
  <c r="BR289" i="1"/>
  <c r="BR291" i="1"/>
  <c r="BR293" i="1"/>
  <c r="BR295" i="1"/>
  <c r="BR297" i="1"/>
  <c r="BR11" i="1"/>
  <c r="BR13" i="1"/>
  <c r="BR17" i="1"/>
  <c r="BR34" i="1"/>
  <c r="BR36" i="1"/>
  <c r="BR42" i="1"/>
  <c r="BR44" i="1"/>
  <c r="BR47" i="1"/>
  <c r="BR49" i="1"/>
  <c r="BR51" i="1"/>
  <c r="BR53" i="1"/>
  <c r="BR55" i="1"/>
  <c r="BR58" i="1"/>
  <c r="BR60" i="1"/>
  <c r="BR63" i="1"/>
  <c r="BR65" i="1"/>
  <c r="BR68" i="1"/>
  <c r="BR70" i="1"/>
  <c r="BR73" i="1"/>
  <c r="BR75" i="1"/>
  <c r="BR77" i="1"/>
  <c r="BR79" i="1"/>
  <c r="BR81" i="1"/>
  <c r="BR84" i="1"/>
  <c r="BR87" i="1"/>
  <c r="BR100" i="1"/>
  <c r="BR103" i="1"/>
  <c r="BR107" i="1"/>
  <c r="BR109" i="1"/>
  <c r="BR112" i="1"/>
  <c r="BR114" i="1"/>
  <c r="BR116" i="1"/>
  <c r="BR118" i="1"/>
  <c r="BR121" i="1"/>
  <c r="BR125" i="1"/>
  <c r="BR129" i="1"/>
  <c r="BR133" i="1"/>
  <c r="BR135" i="1"/>
  <c r="BR137" i="1"/>
  <c r="BR142" i="1"/>
  <c r="BR146" i="1"/>
  <c r="BR149" i="1"/>
  <c r="BR157" i="1"/>
  <c r="BR160" i="1"/>
  <c r="BR164" i="1"/>
  <c r="BR166" i="1"/>
  <c r="BR169" i="1"/>
  <c r="BR172" i="1"/>
  <c r="BR174" i="1"/>
  <c r="BR179" i="1"/>
  <c r="BR183" i="1"/>
  <c r="BR185" i="1"/>
  <c r="BR187" i="1"/>
  <c r="BR189" i="1"/>
  <c r="BR191" i="1"/>
  <c r="BR199" i="1"/>
  <c r="BR202" i="1"/>
  <c r="BR208" i="1"/>
  <c r="BR205" i="1"/>
  <c r="BQ279" i="1"/>
  <c r="BQ212" i="1"/>
  <c r="BQ214" i="1"/>
  <c r="BQ282" i="1"/>
  <c r="BQ285" i="1"/>
  <c r="BQ287" i="1"/>
  <c r="BQ289" i="1"/>
  <c r="BQ291" i="1"/>
  <c r="BQ293" i="1"/>
  <c r="BQ295" i="1"/>
  <c r="BQ297" i="1"/>
  <c r="BQ11" i="1"/>
  <c r="BQ13" i="1"/>
  <c r="BQ17" i="1"/>
  <c r="BQ34" i="1"/>
  <c r="BQ36" i="1"/>
  <c r="BQ42" i="1"/>
  <c r="BQ44" i="1"/>
  <c r="BQ47" i="1"/>
  <c r="BQ49" i="1"/>
  <c r="BQ51" i="1"/>
  <c r="BQ53" i="1"/>
  <c r="BQ55" i="1"/>
  <c r="BQ58" i="1"/>
  <c r="BQ60" i="1"/>
  <c r="BQ63" i="1"/>
  <c r="BQ65" i="1"/>
  <c r="BQ68" i="1"/>
  <c r="BQ70" i="1"/>
  <c r="BQ73" i="1"/>
  <c r="BQ75" i="1"/>
  <c r="BQ77" i="1"/>
  <c r="BQ79" i="1"/>
  <c r="BQ81" i="1"/>
  <c r="BQ84" i="1"/>
  <c r="BQ87" i="1"/>
  <c r="BQ100" i="1"/>
  <c r="BQ103" i="1"/>
  <c r="BQ107" i="1"/>
  <c r="BQ109" i="1"/>
  <c r="BQ112" i="1"/>
  <c r="BQ114" i="1"/>
  <c r="BQ116" i="1"/>
  <c r="BQ118" i="1"/>
  <c r="BQ121" i="1"/>
  <c r="BQ125" i="1"/>
  <c r="BQ129" i="1"/>
  <c r="BQ133" i="1"/>
  <c r="BQ135" i="1"/>
  <c r="BQ137" i="1"/>
  <c r="BQ142" i="1"/>
  <c r="BQ146" i="1"/>
  <c r="BQ149" i="1"/>
  <c r="BQ157" i="1"/>
  <c r="BQ160" i="1"/>
  <c r="BQ164" i="1"/>
  <c r="BQ166" i="1"/>
  <c r="BQ169" i="1"/>
  <c r="BQ172" i="1"/>
  <c r="BQ174" i="1"/>
  <c r="BQ179" i="1"/>
  <c r="BQ183" i="1"/>
  <c r="BQ185" i="1"/>
  <c r="BQ187" i="1"/>
  <c r="BQ189" i="1"/>
  <c r="BQ191" i="1"/>
  <c r="BQ199" i="1"/>
  <c r="BQ202" i="1"/>
  <c r="BQ208" i="1"/>
  <c r="BQ205" i="1"/>
  <c r="BP279" i="1"/>
  <c r="BP212" i="1"/>
  <c r="BP214" i="1"/>
  <c r="BP282" i="1"/>
  <c r="BP285" i="1"/>
  <c r="BP287" i="1"/>
  <c r="BP289" i="1"/>
  <c r="BP291" i="1"/>
  <c r="BP293" i="1"/>
  <c r="BP295" i="1"/>
  <c r="BP297" i="1"/>
  <c r="BP11" i="1"/>
  <c r="BP13" i="1"/>
  <c r="BP17" i="1"/>
  <c r="BP34" i="1"/>
  <c r="BP36" i="1"/>
  <c r="BP42" i="1"/>
  <c r="BP44" i="1"/>
  <c r="BP47" i="1"/>
  <c r="BP49" i="1"/>
  <c r="BP51" i="1"/>
  <c r="BP53" i="1"/>
  <c r="BP55" i="1"/>
  <c r="BP58" i="1"/>
  <c r="BP60" i="1"/>
  <c r="BP63" i="1"/>
  <c r="BP65" i="1"/>
  <c r="BP68" i="1"/>
  <c r="BP70" i="1"/>
  <c r="BP73" i="1"/>
  <c r="BP75" i="1"/>
  <c r="BP77" i="1"/>
  <c r="BP79" i="1"/>
  <c r="BP81" i="1"/>
  <c r="BP84" i="1"/>
  <c r="BP87" i="1"/>
  <c r="BP100" i="1"/>
  <c r="BP103" i="1"/>
  <c r="BP107" i="1"/>
  <c r="BP109" i="1"/>
  <c r="BP112" i="1"/>
  <c r="BP114" i="1"/>
  <c r="BP116" i="1"/>
  <c r="BP118" i="1"/>
  <c r="BP121" i="1"/>
  <c r="BP125" i="1"/>
  <c r="BP131" i="1"/>
  <c r="BP133" i="1"/>
  <c r="BP135" i="1"/>
  <c r="BP137" i="1"/>
  <c r="BP142" i="1"/>
  <c r="BP146" i="1"/>
  <c r="BP149" i="1"/>
  <c r="BP157" i="1"/>
  <c r="BP160" i="1"/>
  <c r="BP164" i="1"/>
  <c r="BP166" i="1"/>
  <c r="BP169" i="1"/>
  <c r="BP172" i="1"/>
  <c r="BP174" i="1"/>
  <c r="BP179" i="1"/>
  <c r="BP183" i="1"/>
  <c r="BP185" i="1"/>
  <c r="BP187" i="1"/>
  <c r="BP189" i="1"/>
  <c r="BP191" i="1"/>
  <c r="BP199" i="1"/>
  <c r="BP202" i="1"/>
  <c r="BP208" i="1"/>
  <c r="BP205" i="1"/>
  <c r="BO279" i="1"/>
  <c r="BO212" i="1"/>
  <c r="BO214" i="1"/>
  <c r="BO282" i="1"/>
  <c r="BO285" i="1"/>
  <c r="BO287" i="1"/>
  <c r="BO289" i="1"/>
  <c r="BO291" i="1"/>
  <c r="BO293" i="1"/>
  <c r="BO295" i="1"/>
  <c r="BO297" i="1"/>
  <c r="BO11" i="1"/>
  <c r="BO13" i="1"/>
  <c r="BO17" i="1"/>
  <c r="BO34" i="1"/>
  <c r="BO36" i="1"/>
  <c r="BO42" i="1"/>
  <c r="BO44" i="1"/>
  <c r="BO47" i="1"/>
  <c r="BO49" i="1"/>
  <c r="BO51" i="1"/>
  <c r="BO53" i="1"/>
  <c r="BO55" i="1"/>
  <c r="BO58" i="1"/>
  <c r="BO60" i="1"/>
  <c r="BO63" i="1"/>
  <c r="BO65" i="1"/>
  <c r="BO68" i="1"/>
  <c r="BO70" i="1"/>
  <c r="BO73" i="1"/>
  <c r="BO75" i="1"/>
  <c r="BO77" i="1"/>
  <c r="BO79" i="1"/>
  <c r="BO81" i="1"/>
  <c r="BO84" i="1"/>
  <c r="BO87" i="1"/>
  <c r="BO100" i="1"/>
  <c r="BO103" i="1"/>
  <c r="BO107" i="1"/>
  <c r="BO109" i="1"/>
  <c r="BO112" i="1"/>
  <c r="BO114" i="1"/>
  <c r="BO116" i="1"/>
  <c r="BO118" i="1"/>
  <c r="BO121" i="1"/>
  <c r="BO125" i="1"/>
  <c r="BO129" i="1"/>
  <c r="BO133" i="1"/>
  <c r="BO135" i="1"/>
  <c r="BO137" i="1"/>
  <c r="BO142" i="1"/>
  <c r="BO146" i="1"/>
  <c r="BO149" i="1"/>
  <c r="BO157" i="1"/>
  <c r="BO160" i="1"/>
  <c r="BO164" i="1"/>
  <c r="BO166" i="1"/>
  <c r="BO169" i="1"/>
  <c r="BO172" i="1"/>
  <c r="BO174" i="1"/>
  <c r="BO179" i="1"/>
  <c r="BO183" i="1"/>
  <c r="BO185" i="1"/>
  <c r="BO187" i="1"/>
  <c r="BO189" i="1"/>
  <c r="BO191" i="1"/>
  <c r="BO199" i="1"/>
  <c r="BO202" i="1"/>
  <c r="BO208" i="1"/>
  <c r="BO205" i="1"/>
  <c r="BN279" i="1"/>
  <c r="BN212" i="1"/>
  <c r="BN214" i="1"/>
  <c r="BN282" i="1"/>
  <c r="BN285" i="1"/>
  <c r="BN287" i="1"/>
  <c r="BN289" i="1"/>
  <c r="BN291" i="1"/>
  <c r="BN293" i="1"/>
  <c r="BN295" i="1"/>
  <c r="BN297" i="1"/>
  <c r="BN11" i="1"/>
  <c r="BN13" i="1"/>
  <c r="BN17" i="1"/>
  <c r="BN34" i="1"/>
  <c r="BN36" i="1"/>
  <c r="BN42" i="1"/>
  <c r="BN44" i="1"/>
  <c r="BN47" i="1"/>
  <c r="BN49" i="1"/>
  <c r="BN51" i="1"/>
  <c r="BN53" i="1"/>
  <c r="BN55" i="1"/>
  <c r="BN58" i="1"/>
  <c r="BN60" i="1"/>
  <c r="BN63" i="1"/>
  <c r="BN65" i="1"/>
  <c r="BN68" i="1"/>
  <c r="BN70" i="1"/>
  <c r="BN73" i="1"/>
  <c r="BN75" i="1"/>
  <c r="BN77" i="1"/>
  <c r="BN79" i="1"/>
  <c r="BN81" i="1"/>
  <c r="BN84" i="1"/>
  <c r="BN87" i="1"/>
  <c r="BN100" i="1"/>
  <c r="BN103" i="1"/>
  <c r="BN107" i="1"/>
  <c r="BN109" i="1"/>
  <c r="BN112" i="1"/>
  <c r="BN114" i="1"/>
  <c r="BN116" i="1"/>
  <c r="BN118" i="1"/>
  <c r="BN121" i="1"/>
  <c r="BN125" i="1"/>
  <c r="BN129" i="1"/>
  <c r="BN133" i="1"/>
  <c r="BN135" i="1"/>
  <c r="BN137" i="1"/>
  <c r="BN142" i="1"/>
  <c r="BN146" i="1"/>
  <c r="BN149" i="1"/>
  <c r="BN157" i="1"/>
  <c r="BN160" i="1"/>
  <c r="BN164" i="1"/>
  <c r="BN166" i="1"/>
  <c r="BN169" i="1"/>
  <c r="BN172" i="1"/>
  <c r="BN174" i="1"/>
  <c r="BN179" i="1"/>
  <c r="BN183" i="1"/>
  <c r="BN185" i="1"/>
  <c r="BN187" i="1"/>
  <c r="BN189" i="1"/>
  <c r="BN191" i="1"/>
  <c r="BN199" i="1"/>
  <c r="BN202" i="1"/>
  <c r="BN208" i="1"/>
  <c r="BN205" i="1"/>
  <c r="BM218" i="1"/>
  <c r="BM280" i="1"/>
  <c r="BM215" i="1"/>
  <c r="BM216" i="1"/>
  <c r="BM213" i="1"/>
  <c r="BM283" i="1"/>
  <c r="BM286" i="1"/>
  <c r="BM288" i="1"/>
  <c r="BM290" i="1"/>
  <c r="BM292" i="1"/>
  <c r="BM294" i="1"/>
  <c r="BM296" i="1"/>
  <c r="BM298" i="1"/>
  <c r="BM12" i="1"/>
  <c r="BM14" i="1"/>
  <c r="BM15" i="1"/>
  <c r="BM16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7" i="1"/>
  <c r="BM38" i="1"/>
  <c r="BM39" i="1"/>
  <c r="BM40" i="1"/>
  <c r="BM41" i="1"/>
  <c r="BM43" i="1"/>
  <c r="BM45" i="1"/>
  <c r="BM48" i="1"/>
  <c r="BM50" i="1"/>
  <c r="BM52" i="1"/>
  <c r="BM54" i="1"/>
  <c r="BM56" i="1"/>
  <c r="BM59" i="1"/>
  <c r="BM61" i="1"/>
  <c r="BM64" i="1"/>
  <c r="BM66" i="1"/>
  <c r="BM69" i="1"/>
  <c r="BM71" i="1"/>
  <c r="BM72" i="1"/>
  <c r="BM74" i="1"/>
  <c r="BM76" i="1"/>
  <c r="BM78" i="1"/>
  <c r="BM80" i="1"/>
  <c r="BM82" i="1"/>
  <c r="BM85" i="1"/>
  <c r="BM86" i="1"/>
  <c r="BM88" i="1"/>
  <c r="BM89" i="1"/>
  <c r="BM90" i="1"/>
  <c r="BM93" i="1"/>
  <c r="BM94" i="1"/>
  <c r="BM95" i="1"/>
  <c r="BM96" i="1"/>
  <c r="BM97" i="1"/>
  <c r="BM98" i="1"/>
  <c r="BM101" i="1"/>
  <c r="BM104" i="1"/>
  <c r="BM105" i="1"/>
  <c r="BM108" i="1"/>
  <c r="BM110" i="1"/>
  <c r="BM113" i="1"/>
  <c r="BM115" i="1"/>
  <c r="BM117" i="1"/>
  <c r="BM119" i="1"/>
  <c r="BM122" i="1"/>
  <c r="BM123" i="1"/>
  <c r="BM124" i="1"/>
  <c r="BM126" i="1"/>
  <c r="BM127" i="1"/>
  <c r="BM128" i="1"/>
  <c r="BM130" i="1"/>
  <c r="BM132" i="1"/>
  <c r="BM134" i="1"/>
  <c r="BM136" i="1"/>
  <c r="BM138" i="1"/>
  <c r="BM139" i="1"/>
  <c r="BM140" i="1"/>
  <c r="BM143" i="1"/>
  <c r="BM144" i="1"/>
  <c r="BM145" i="1"/>
  <c r="BM147" i="1"/>
  <c r="BM148" i="1"/>
  <c r="BM150" i="1"/>
  <c r="BM151" i="1"/>
  <c r="BM152" i="1"/>
  <c r="BM153" i="1"/>
  <c r="BM154" i="1"/>
  <c r="BM158" i="1"/>
  <c r="BM159" i="1"/>
  <c r="BM161" i="1"/>
  <c r="BM162" i="1"/>
  <c r="BM165" i="1"/>
  <c r="BM167" i="1"/>
  <c r="BM168" i="1"/>
  <c r="BM170" i="1"/>
  <c r="BM171" i="1"/>
  <c r="BM173" i="1"/>
  <c r="BM175" i="1"/>
  <c r="BM177" i="1"/>
  <c r="BM178" i="1"/>
  <c r="BM180" i="1"/>
  <c r="BM181" i="1"/>
  <c r="BM182" i="1"/>
  <c r="BM184" i="1"/>
  <c r="BM186" i="1"/>
  <c r="BM188" i="1"/>
  <c r="BM190" i="1"/>
  <c r="BM192" i="1"/>
  <c r="BM193" i="1"/>
  <c r="BM194" i="1"/>
  <c r="BM195" i="1"/>
  <c r="BM196" i="1"/>
  <c r="BM197" i="1"/>
  <c r="BM198" i="1"/>
  <c r="BM200" i="1"/>
  <c r="BM203" i="1"/>
  <c r="BM209" i="1"/>
  <c r="BM210" i="1"/>
  <c r="BM206" i="1"/>
  <c r="BL279" i="1"/>
  <c r="BL212" i="1"/>
  <c r="BL214" i="1"/>
  <c r="BL282" i="1"/>
  <c r="BL285" i="1"/>
  <c r="BL287" i="1"/>
  <c r="BL289" i="1"/>
  <c r="BL291" i="1"/>
  <c r="BL293" i="1"/>
  <c r="BL295" i="1"/>
  <c r="BL297" i="1"/>
  <c r="BL11" i="1"/>
  <c r="BL13" i="1"/>
  <c r="BL17" i="1"/>
  <c r="BL34" i="1"/>
  <c r="BL36" i="1"/>
  <c r="BL42" i="1"/>
  <c r="BL44" i="1"/>
  <c r="BL47" i="1"/>
  <c r="BL49" i="1"/>
  <c r="BL51" i="1"/>
  <c r="BL53" i="1"/>
  <c r="BL55" i="1"/>
  <c r="BL58" i="1"/>
  <c r="BL60" i="1"/>
  <c r="BL63" i="1"/>
  <c r="BL65" i="1"/>
  <c r="BL68" i="1"/>
  <c r="BL70" i="1"/>
  <c r="BL73" i="1"/>
  <c r="BL75" i="1"/>
  <c r="BL77" i="1"/>
  <c r="BL79" i="1"/>
  <c r="BL81" i="1"/>
  <c r="BL84" i="1"/>
  <c r="BL87" i="1"/>
  <c r="BL100" i="1"/>
  <c r="BL103" i="1"/>
  <c r="BL107" i="1"/>
  <c r="BL109" i="1"/>
  <c r="BL112" i="1"/>
  <c r="BL114" i="1"/>
  <c r="BL116" i="1"/>
  <c r="BL118" i="1"/>
  <c r="BL121" i="1"/>
  <c r="BL125" i="1"/>
  <c r="BL129" i="1"/>
  <c r="BL133" i="1"/>
  <c r="BL135" i="1"/>
  <c r="BL137" i="1"/>
  <c r="BL142" i="1"/>
  <c r="BL146" i="1"/>
  <c r="BL149" i="1"/>
  <c r="BL157" i="1"/>
  <c r="BL160" i="1"/>
  <c r="BL164" i="1"/>
  <c r="BL166" i="1"/>
  <c r="BL169" i="1"/>
  <c r="BL172" i="1"/>
  <c r="BL174" i="1"/>
  <c r="BL179" i="1"/>
  <c r="BL183" i="1"/>
  <c r="BL185" i="1"/>
  <c r="BL187" i="1"/>
  <c r="BL189" i="1"/>
  <c r="BL191" i="1"/>
  <c r="BL199" i="1"/>
  <c r="BL202" i="1"/>
  <c r="BL208" i="1"/>
  <c r="BL205" i="1"/>
  <c r="BK218" i="1"/>
  <c r="BK280" i="1"/>
  <c r="BK215" i="1"/>
  <c r="BK216" i="1"/>
  <c r="BK213" i="1"/>
  <c r="BK283" i="1"/>
  <c r="BK286" i="1"/>
  <c r="BK288" i="1"/>
  <c r="BK290" i="1"/>
  <c r="BK292" i="1"/>
  <c r="BK294" i="1"/>
  <c r="BK296" i="1"/>
  <c r="BK298" i="1"/>
  <c r="BK12" i="1"/>
  <c r="BK14" i="1"/>
  <c r="BK15" i="1"/>
  <c r="BK16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5" i="1"/>
  <c r="BK37" i="1"/>
  <c r="BK38" i="1"/>
  <c r="BK39" i="1"/>
  <c r="BK40" i="1"/>
  <c r="BK41" i="1"/>
  <c r="BK43" i="1"/>
  <c r="BK45" i="1"/>
  <c r="BK48" i="1"/>
  <c r="BK50" i="1"/>
  <c r="BK52" i="1"/>
  <c r="BK54" i="1"/>
  <c r="BK56" i="1"/>
  <c r="BK59" i="1"/>
  <c r="BK61" i="1"/>
  <c r="BK64" i="1"/>
  <c r="BK66" i="1"/>
  <c r="BK69" i="1"/>
  <c r="BK71" i="1"/>
  <c r="BK72" i="1"/>
  <c r="BK74" i="1"/>
  <c r="BK76" i="1"/>
  <c r="BK78" i="1"/>
  <c r="BK80" i="1"/>
  <c r="BK82" i="1"/>
  <c r="BK85" i="1"/>
  <c r="BK86" i="1"/>
  <c r="BK88" i="1"/>
  <c r="BK89" i="1"/>
  <c r="BK90" i="1"/>
  <c r="BK93" i="1"/>
  <c r="BK94" i="1"/>
  <c r="BK95" i="1"/>
  <c r="BK96" i="1"/>
  <c r="BK97" i="1"/>
  <c r="BK98" i="1"/>
  <c r="BK101" i="1"/>
  <c r="BK104" i="1"/>
  <c r="BK105" i="1"/>
  <c r="BK108" i="1"/>
  <c r="BK110" i="1"/>
  <c r="BK113" i="1"/>
  <c r="BK115" i="1"/>
  <c r="BK117" i="1"/>
  <c r="BK119" i="1"/>
  <c r="BK122" i="1"/>
  <c r="BK123" i="1"/>
  <c r="BK124" i="1"/>
  <c r="BK126" i="1"/>
  <c r="BK127" i="1"/>
  <c r="BK128" i="1"/>
  <c r="BK130" i="1"/>
  <c r="BK131" i="1"/>
  <c r="BK132" i="1"/>
  <c r="BK134" i="1"/>
  <c r="BK136" i="1"/>
  <c r="BK138" i="1"/>
  <c r="BK139" i="1"/>
  <c r="BK140" i="1"/>
  <c r="BK143" i="1"/>
  <c r="BK144" i="1"/>
  <c r="BK145" i="1"/>
  <c r="BK147" i="1"/>
  <c r="BK148" i="1"/>
  <c r="BK150" i="1"/>
  <c r="BK151" i="1"/>
  <c r="BK152" i="1"/>
  <c r="BK153" i="1"/>
  <c r="BK154" i="1"/>
  <c r="BK158" i="1"/>
  <c r="BK159" i="1"/>
  <c r="BK161" i="1"/>
  <c r="BK162" i="1"/>
  <c r="BK165" i="1"/>
  <c r="BK167" i="1"/>
  <c r="BK168" i="1"/>
  <c r="BK170" i="1"/>
  <c r="BK171" i="1"/>
  <c r="BK173" i="1"/>
  <c r="BK175" i="1"/>
  <c r="BK177" i="1"/>
  <c r="BK178" i="1"/>
  <c r="BK180" i="1"/>
  <c r="BK181" i="1"/>
  <c r="BK182" i="1"/>
  <c r="BK184" i="1"/>
  <c r="BK186" i="1"/>
  <c r="BK188" i="1"/>
  <c r="BK190" i="1"/>
  <c r="BK192" i="1"/>
  <c r="BK193" i="1"/>
  <c r="BK194" i="1"/>
  <c r="BK195" i="1"/>
  <c r="BK196" i="1"/>
  <c r="BK197" i="1"/>
  <c r="BK198" i="1"/>
  <c r="BK200" i="1"/>
  <c r="BK203" i="1"/>
  <c r="BK209" i="1"/>
  <c r="BK210" i="1"/>
  <c r="BK206" i="1"/>
  <c r="BJ279" i="1"/>
  <c r="BJ212" i="1"/>
  <c r="BJ214" i="1"/>
  <c r="BJ282" i="1"/>
  <c r="BJ285" i="1"/>
  <c r="BJ287" i="1"/>
  <c r="BJ289" i="1"/>
  <c r="BJ291" i="1"/>
  <c r="BJ293" i="1"/>
  <c r="BJ295" i="1"/>
  <c r="BJ297" i="1"/>
  <c r="BJ11" i="1"/>
  <c r="BJ13" i="1"/>
  <c r="BJ17" i="1"/>
  <c r="BJ34" i="1"/>
  <c r="BJ36" i="1"/>
  <c r="BJ42" i="1"/>
  <c r="BJ44" i="1"/>
  <c r="BJ47" i="1"/>
  <c r="BJ49" i="1"/>
  <c r="BJ51" i="1"/>
  <c r="BJ53" i="1"/>
  <c r="BJ55" i="1"/>
  <c r="BJ58" i="1"/>
  <c r="BJ60" i="1"/>
  <c r="BJ63" i="1"/>
  <c r="BJ65" i="1"/>
  <c r="BJ68" i="1"/>
  <c r="BJ70" i="1"/>
  <c r="BJ73" i="1"/>
  <c r="BJ75" i="1"/>
  <c r="BJ77" i="1"/>
  <c r="BJ79" i="1"/>
  <c r="BJ81" i="1"/>
  <c r="BJ84" i="1"/>
  <c r="BJ87" i="1"/>
  <c r="BJ100" i="1"/>
  <c r="BJ103" i="1"/>
  <c r="BJ107" i="1"/>
  <c r="BJ109" i="1"/>
  <c r="BJ112" i="1"/>
  <c r="BJ114" i="1"/>
  <c r="BJ116" i="1"/>
  <c r="BJ118" i="1"/>
  <c r="BJ121" i="1"/>
  <c r="BJ125" i="1"/>
  <c r="BJ129" i="1"/>
  <c r="BJ133" i="1"/>
  <c r="BJ135" i="1"/>
  <c r="BJ137" i="1"/>
  <c r="BJ142" i="1"/>
  <c r="BJ146" i="1"/>
  <c r="BJ149" i="1"/>
  <c r="BJ157" i="1"/>
  <c r="BJ160" i="1"/>
  <c r="BJ164" i="1"/>
  <c r="BJ166" i="1"/>
  <c r="BJ169" i="1"/>
  <c r="BJ172" i="1"/>
  <c r="BJ174" i="1"/>
  <c r="BJ179" i="1"/>
  <c r="BJ183" i="1"/>
  <c r="BJ185" i="1"/>
  <c r="BJ187" i="1"/>
  <c r="BJ189" i="1"/>
  <c r="BJ191" i="1"/>
  <c r="BJ199" i="1"/>
  <c r="BJ202" i="1"/>
  <c r="BJ208" i="1"/>
  <c r="BJ205" i="1"/>
  <c r="BI279" i="1"/>
  <c r="BI212" i="1"/>
  <c r="BI214" i="1"/>
  <c r="BI282" i="1"/>
  <c r="BI285" i="1"/>
  <c r="BI287" i="1"/>
  <c r="BI289" i="1"/>
  <c r="BI291" i="1"/>
  <c r="BI293" i="1"/>
  <c r="BI295" i="1"/>
  <c r="BI297" i="1"/>
  <c r="BI11" i="1"/>
  <c r="BI13" i="1"/>
  <c r="BI17" i="1"/>
  <c r="BI34" i="1"/>
  <c r="BI36" i="1"/>
  <c r="BI42" i="1"/>
  <c r="BI44" i="1"/>
  <c r="BI47" i="1"/>
  <c r="BI49" i="1"/>
  <c r="BI51" i="1"/>
  <c r="BI53" i="1"/>
  <c r="BI55" i="1"/>
  <c r="BI58" i="1"/>
  <c r="BI60" i="1"/>
  <c r="BI63" i="1"/>
  <c r="BI65" i="1"/>
  <c r="BI68" i="1"/>
  <c r="BI70" i="1"/>
  <c r="BI73" i="1"/>
  <c r="BI75" i="1"/>
  <c r="BI77" i="1"/>
  <c r="BI79" i="1"/>
  <c r="BI81" i="1"/>
  <c r="BI84" i="1"/>
  <c r="BI87" i="1"/>
  <c r="BI100" i="1"/>
  <c r="BI103" i="1"/>
  <c r="BI107" i="1"/>
  <c r="BI109" i="1"/>
  <c r="BI112" i="1"/>
  <c r="BI114" i="1"/>
  <c r="BI116" i="1"/>
  <c r="BI118" i="1"/>
  <c r="BI121" i="1"/>
  <c r="BI125" i="1"/>
  <c r="BI129" i="1"/>
  <c r="BI133" i="1"/>
  <c r="BI135" i="1"/>
  <c r="BI137" i="1"/>
  <c r="BI142" i="1"/>
  <c r="BI146" i="1"/>
  <c r="BI149" i="1"/>
  <c r="BI157" i="1"/>
  <c r="BI160" i="1"/>
  <c r="BI164" i="1"/>
  <c r="BI166" i="1"/>
  <c r="BI169" i="1"/>
  <c r="BI172" i="1"/>
  <c r="BI174" i="1"/>
  <c r="BI179" i="1"/>
  <c r="BI183" i="1"/>
  <c r="BI185" i="1"/>
  <c r="BI187" i="1"/>
  <c r="BI189" i="1"/>
  <c r="BI191" i="1"/>
  <c r="BI199" i="1"/>
  <c r="BI202" i="1"/>
  <c r="BI205" i="1"/>
  <c r="BH279" i="1"/>
  <c r="BH212" i="1"/>
  <c r="BH214" i="1"/>
  <c r="BH282" i="1"/>
  <c r="BH287" i="1"/>
  <c r="BH289" i="1"/>
  <c r="BH291" i="1"/>
  <c r="BH293" i="1"/>
  <c r="BH295" i="1"/>
  <c r="BH297" i="1"/>
  <c r="BH11" i="1"/>
  <c r="BH13" i="1"/>
  <c r="BH17" i="1"/>
  <c r="BH34" i="1"/>
  <c r="BH36" i="1"/>
  <c r="BH42" i="1"/>
  <c r="BH44" i="1"/>
  <c r="BH47" i="1"/>
  <c r="BH49" i="1"/>
  <c r="BH51" i="1"/>
  <c r="BH53" i="1"/>
  <c r="BH55" i="1"/>
  <c r="BH58" i="1"/>
  <c r="BH60" i="1"/>
  <c r="BH63" i="1"/>
  <c r="BH65" i="1"/>
  <c r="BH68" i="1"/>
  <c r="BH70" i="1"/>
  <c r="BH73" i="1"/>
  <c r="BH75" i="1"/>
  <c r="BH77" i="1"/>
  <c r="BH79" i="1"/>
  <c r="BH81" i="1"/>
  <c r="BH84" i="1"/>
  <c r="BH87" i="1"/>
  <c r="BH100" i="1"/>
  <c r="BH103" i="1"/>
  <c r="BH107" i="1"/>
  <c r="BH109" i="1"/>
  <c r="BH112" i="1"/>
  <c r="BH114" i="1"/>
  <c r="BH116" i="1"/>
  <c r="BH118" i="1"/>
  <c r="BH121" i="1"/>
  <c r="BH125" i="1"/>
  <c r="BH129" i="1"/>
  <c r="BH133" i="1"/>
  <c r="BH135" i="1"/>
  <c r="BH137" i="1"/>
  <c r="BH142" i="1"/>
  <c r="BH146" i="1"/>
  <c r="BH149" i="1"/>
  <c r="BH157" i="1"/>
  <c r="BH160" i="1"/>
  <c r="BH164" i="1"/>
  <c r="BH166" i="1"/>
  <c r="BH169" i="1"/>
  <c r="BH172" i="1"/>
  <c r="BH174" i="1"/>
  <c r="BH179" i="1"/>
  <c r="BH183" i="1"/>
  <c r="BH185" i="1"/>
  <c r="BH187" i="1"/>
  <c r="BH189" i="1"/>
  <c r="BH191" i="1"/>
  <c r="BH199" i="1"/>
  <c r="BH202" i="1"/>
  <c r="BH208" i="1"/>
  <c r="BH205" i="1"/>
  <c r="BG279" i="1"/>
  <c r="BG212" i="1"/>
  <c r="BG214" i="1"/>
  <c r="BG282" i="1"/>
  <c r="BG285" i="1"/>
  <c r="BG287" i="1"/>
  <c r="BG289" i="1"/>
  <c r="BG291" i="1"/>
  <c r="BG293" i="1"/>
  <c r="BG295" i="1"/>
  <c r="BG297" i="1"/>
  <c r="BG11" i="1"/>
  <c r="BG13" i="1"/>
  <c r="BG17" i="1"/>
  <c r="BG34" i="1"/>
  <c r="BG36" i="1"/>
  <c r="BG42" i="1"/>
  <c r="BG44" i="1"/>
  <c r="BG47" i="1"/>
  <c r="BG49" i="1"/>
  <c r="BG51" i="1"/>
  <c r="BG53" i="1"/>
  <c r="BG55" i="1"/>
  <c r="BG58" i="1"/>
  <c r="BG60" i="1"/>
  <c r="BG63" i="1"/>
  <c r="BG65" i="1"/>
  <c r="BG68" i="1"/>
  <c r="BG70" i="1"/>
  <c r="BG73" i="1"/>
  <c r="BG75" i="1"/>
  <c r="BG77" i="1"/>
  <c r="BG79" i="1"/>
  <c r="BG81" i="1"/>
  <c r="BG84" i="1"/>
  <c r="BG87" i="1"/>
  <c r="BG100" i="1"/>
  <c r="BG103" i="1"/>
  <c r="BG107" i="1"/>
  <c r="BG109" i="1"/>
  <c r="BG112" i="1"/>
  <c r="BG114" i="1"/>
  <c r="BG116" i="1"/>
  <c r="BG118" i="1"/>
  <c r="BG121" i="1"/>
  <c r="BG125" i="1"/>
  <c r="BG129" i="1"/>
  <c r="BG133" i="1"/>
  <c r="BG135" i="1"/>
  <c r="BG137" i="1"/>
  <c r="BG142" i="1"/>
  <c r="BG146" i="1"/>
  <c r="BG149" i="1"/>
  <c r="BG157" i="1"/>
  <c r="BG160" i="1"/>
  <c r="BG164" i="1"/>
  <c r="BG166" i="1"/>
  <c r="BG169" i="1"/>
  <c r="BG172" i="1"/>
  <c r="BG174" i="1"/>
  <c r="BG179" i="1"/>
  <c r="BG183" i="1"/>
  <c r="BG185" i="1"/>
  <c r="BG187" i="1"/>
  <c r="BG189" i="1"/>
  <c r="BG191" i="1"/>
  <c r="BG199" i="1"/>
  <c r="BG202" i="1"/>
  <c r="BG208" i="1"/>
  <c r="BG205" i="1"/>
  <c r="BF218" i="1"/>
  <c r="BF280" i="1"/>
  <c r="BF215" i="1"/>
  <c r="BF216" i="1"/>
  <c r="BF213" i="1"/>
  <c r="BF283" i="1"/>
  <c r="BF288" i="1"/>
  <c r="BF290" i="1"/>
  <c r="BF292" i="1"/>
  <c r="BF294" i="1"/>
  <c r="BF296" i="1"/>
  <c r="BF298" i="1"/>
  <c r="BF12" i="1"/>
  <c r="BF14" i="1"/>
  <c r="BF15" i="1"/>
  <c r="BF16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7" i="1"/>
  <c r="BF38" i="1"/>
  <c r="BF39" i="1"/>
  <c r="BF40" i="1"/>
  <c r="BF41" i="1"/>
  <c r="BF43" i="1"/>
  <c r="BF45" i="1"/>
  <c r="BF48" i="1"/>
  <c r="BF50" i="1"/>
  <c r="BF52" i="1"/>
  <c r="BF54" i="1"/>
  <c r="BF56" i="1"/>
  <c r="BF59" i="1"/>
  <c r="BF61" i="1"/>
  <c r="BF64" i="1"/>
  <c r="BF66" i="1"/>
  <c r="BF69" i="1"/>
  <c r="BF71" i="1"/>
  <c r="BF72" i="1"/>
  <c r="BF74" i="1"/>
  <c r="BF76" i="1"/>
  <c r="BF78" i="1"/>
  <c r="BF80" i="1"/>
  <c r="BF82" i="1"/>
  <c r="BF85" i="1"/>
  <c r="BF86" i="1"/>
  <c r="BF88" i="1"/>
  <c r="BF89" i="1"/>
  <c r="BF90" i="1"/>
  <c r="BF93" i="1"/>
  <c r="BF94" i="1"/>
  <c r="BF95" i="1"/>
  <c r="BF96" i="1"/>
  <c r="BF97" i="1"/>
  <c r="BF98" i="1"/>
  <c r="BF101" i="1"/>
  <c r="BF104" i="1"/>
  <c r="BF105" i="1"/>
  <c r="BF108" i="1"/>
  <c r="BF110" i="1"/>
  <c r="BF113" i="1"/>
  <c r="BF115" i="1"/>
  <c r="BF117" i="1"/>
  <c r="BF119" i="1"/>
  <c r="BF122" i="1"/>
  <c r="BF123" i="1"/>
  <c r="BF124" i="1"/>
  <c r="BF126" i="1"/>
  <c r="BF127" i="1"/>
  <c r="BF128" i="1"/>
  <c r="BF130" i="1"/>
  <c r="BF131" i="1"/>
  <c r="BF132" i="1"/>
  <c r="BF134" i="1"/>
  <c r="BF136" i="1"/>
  <c r="BF138" i="1"/>
  <c r="BF139" i="1"/>
  <c r="BF140" i="1"/>
  <c r="BF143" i="1"/>
  <c r="BF144" i="1"/>
  <c r="BF145" i="1"/>
  <c r="BF147" i="1"/>
  <c r="BF148" i="1"/>
  <c r="BF150" i="1"/>
  <c r="BF151" i="1"/>
  <c r="BF152" i="1"/>
  <c r="BF153" i="1"/>
  <c r="BF154" i="1"/>
  <c r="BF158" i="1"/>
  <c r="BF159" i="1"/>
  <c r="BF161" i="1"/>
  <c r="BF162" i="1"/>
  <c r="BF165" i="1"/>
  <c r="BF167" i="1"/>
  <c r="BF168" i="1"/>
  <c r="BF170" i="1"/>
  <c r="BF171" i="1"/>
  <c r="BF173" i="1"/>
  <c r="BF175" i="1"/>
  <c r="BF177" i="1"/>
  <c r="BF178" i="1"/>
  <c r="BF180" i="1"/>
  <c r="BF181" i="1"/>
  <c r="BF182" i="1"/>
  <c r="BF184" i="1"/>
  <c r="BF186" i="1"/>
  <c r="BF188" i="1"/>
  <c r="BF190" i="1"/>
  <c r="BF192" i="1"/>
  <c r="BF193" i="1"/>
  <c r="BF194" i="1"/>
  <c r="BF195" i="1"/>
  <c r="BF196" i="1"/>
  <c r="BF197" i="1"/>
  <c r="BF198" i="1"/>
  <c r="BF200" i="1"/>
  <c r="BF203" i="1"/>
  <c r="BF209" i="1"/>
  <c r="BF210" i="1"/>
  <c r="BF206" i="1"/>
  <c r="BE279" i="1"/>
  <c r="BE212" i="1"/>
  <c r="BE214" i="1"/>
  <c r="BE282" i="1"/>
  <c r="BE285" i="1"/>
  <c r="BE287" i="1"/>
  <c r="BE289" i="1"/>
  <c r="BE291" i="1"/>
  <c r="BE293" i="1"/>
  <c r="BE295" i="1"/>
  <c r="BE297" i="1"/>
  <c r="BE11" i="1"/>
  <c r="BE13" i="1"/>
  <c r="BE17" i="1"/>
  <c r="BE34" i="1"/>
  <c r="BE36" i="1"/>
  <c r="BE42" i="1"/>
  <c r="BE44" i="1"/>
  <c r="BE47" i="1"/>
  <c r="BE49" i="1"/>
  <c r="BE51" i="1"/>
  <c r="BE53" i="1"/>
  <c r="BE55" i="1"/>
  <c r="BE58" i="1"/>
  <c r="BE60" i="1"/>
  <c r="BE63" i="1"/>
  <c r="BE65" i="1"/>
  <c r="BE68" i="1"/>
  <c r="BE70" i="1"/>
  <c r="BE73" i="1"/>
  <c r="BE75" i="1"/>
  <c r="BE77" i="1"/>
  <c r="BE79" i="1"/>
  <c r="BE81" i="1"/>
  <c r="BE84" i="1"/>
  <c r="BE87" i="1"/>
  <c r="BE100" i="1"/>
  <c r="BE103" i="1"/>
  <c r="BE107" i="1"/>
  <c r="BE109" i="1"/>
  <c r="BE112" i="1"/>
  <c r="BE114" i="1"/>
  <c r="BE116" i="1"/>
  <c r="BE118" i="1"/>
  <c r="BE121" i="1"/>
  <c r="BE125" i="1"/>
  <c r="BE129" i="1"/>
  <c r="BE133" i="1"/>
  <c r="BE135" i="1"/>
  <c r="BE137" i="1"/>
  <c r="BE142" i="1"/>
  <c r="BE146" i="1"/>
  <c r="BE149" i="1"/>
  <c r="BE157" i="1"/>
  <c r="BE160" i="1"/>
  <c r="BE164" i="1"/>
  <c r="BE166" i="1"/>
  <c r="BE169" i="1"/>
  <c r="BE172" i="1"/>
  <c r="BE174" i="1"/>
  <c r="BE179" i="1"/>
  <c r="BE183" i="1"/>
  <c r="BE185" i="1"/>
  <c r="BE187" i="1"/>
  <c r="BE189" i="1"/>
  <c r="BE191" i="1"/>
  <c r="BE199" i="1"/>
  <c r="BE202" i="1"/>
  <c r="BE208" i="1"/>
  <c r="BE205" i="1"/>
  <c r="BD279" i="1"/>
  <c r="BD212" i="1"/>
  <c r="BD214" i="1"/>
  <c r="BD282" i="1"/>
  <c r="BD285" i="1"/>
  <c r="BD287" i="1"/>
  <c r="BD289" i="1"/>
  <c r="BD291" i="1"/>
  <c r="BD293" i="1"/>
  <c r="BD295" i="1"/>
  <c r="BD297" i="1"/>
  <c r="BD11" i="1"/>
  <c r="BD13" i="1"/>
  <c r="BD17" i="1"/>
  <c r="BD34" i="1"/>
  <c r="BD36" i="1"/>
  <c r="BD42" i="1"/>
  <c r="BD44" i="1"/>
  <c r="BD47" i="1"/>
  <c r="BD49" i="1"/>
  <c r="BD51" i="1"/>
  <c r="BD53" i="1"/>
  <c r="BD55" i="1"/>
  <c r="BD58" i="1"/>
  <c r="BD60" i="1"/>
  <c r="BD63" i="1"/>
  <c r="BD65" i="1"/>
  <c r="BD68" i="1"/>
  <c r="BD70" i="1"/>
  <c r="BD73" i="1"/>
  <c r="BD75" i="1"/>
  <c r="BD77" i="1"/>
  <c r="BD79" i="1"/>
  <c r="BD81" i="1"/>
  <c r="BD84" i="1"/>
  <c r="BD87" i="1"/>
  <c r="BD100" i="1"/>
  <c r="BD103" i="1"/>
  <c r="BD107" i="1"/>
  <c r="BD109" i="1"/>
  <c r="BD112" i="1"/>
  <c r="BD114" i="1"/>
  <c r="BD116" i="1"/>
  <c r="BD118" i="1"/>
  <c r="BD121" i="1"/>
  <c r="BD125" i="1"/>
  <c r="BD129" i="1"/>
  <c r="BD133" i="1"/>
  <c r="BD135" i="1"/>
  <c r="BD137" i="1"/>
  <c r="BD142" i="1"/>
  <c r="BD146" i="1"/>
  <c r="BD149" i="1"/>
  <c r="BD157" i="1"/>
  <c r="BD160" i="1"/>
  <c r="BD164" i="1"/>
  <c r="BD166" i="1"/>
  <c r="BD169" i="1"/>
  <c r="BD172" i="1"/>
  <c r="BD174" i="1"/>
  <c r="BD179" i="1"/>
  <c r="BD183" i="1"/>
  <c r="BD185" i="1"/>
  <c r="BD187" i="1"/>
  <c r="BD189" i="1"/>
  <c r="BD191" i="1"/>
  <c r="BD199" i="1"/>
  <c r="BD202" i="1"/>
  <c r="BD208" i="1"/>
  <c r="BD205" i="1"/>
  <c r="BC279" i="1"/>
  <c r="BC212" i="1"/>
  <c r="BC214" i="1"/>
  <c r="BC282" i="1"/>
  <c r="BC285" i="1"/>
  <c r="BC287" i="1"/>
  <c r="BC289" i="1"/>
  <c r="BC291" i="1"/>
  <c r="BC293" i="1"/>
  <c r="BC295" i="1"/>
  <c r="BC297" i="1"/>
  <c r="BC11" i="1"/>
  <c r="BC13" i="1"/>
  <c r="BC17" i="1"/>
  <c r="BC34" i="1"/>
  <c r="BC36" i="1"/>
  <c r="BC42" i="1"/>
  <c r="BC44" i="1"/>
  <c r="BC47" i="1"/>
  <c r="BC49" i="1"/>
  <c r="BC51" i="1"/>
  <c r="BC53" i="1"/>
  <c r="BC55" i="1"/>
  <c r="BC58" i="1"/>
  <c r="BC60" i="1"/>
  <c r="BC63" i="1"/>
  <c r="BC65" i="1"/>
  <c r="BC68" i="1"/>
  <c r="BC70" i="1"/>
  <c r="BC73" i="1"/>
  <c r="BC75" i="1"/>
  <c r="BC77" i="1"/>
  <c r="BC79" i="1"/>
  <c r="BC81" i="1"/>
  <c r="BC84" i="1"/>
  <c r="BC87" i="1"/>
  <c r="BC100" i="1"/>
  <c r="BC103" i="1"/>
  <c r="BC107" i="1"/>
  <c r="BC109" i="1"/>
  <c r="BC112" i="1"/>
  <c r="BC114" i="1"/>
  <c r="BC116" i="1"/>
  <c r="BC118" i="1"/>
  <c r="BC121" i="1"/>
  <c r="BC125" i="1"/>
  <c r="BC129" i="1"/>
  <c r="BC133" i="1"/>
  <c r="BC135" i="1"/>
  <c r="BC137" i="1"/>
  <c r="BC142" i="1"/>
  <c r="BC146" i="1"/>
  <c r="BC149" i="1"/>
  <c r="BC157" i="1"/>
  <c r="BC160" i="1"/>
  <c r="BC164" i="1"/>
  <c r="BC166" i="1"/>
  <c r="BC169" i="1"/>
  <c r="BC172" i="1"/>
  <c r="BC174" i="1"/>
  <c r="BC179" i="1"/>
  <c r="BC183" i="1"/>
  <c r="BC185" i="1"/>
  <c r="BC187" i="1"/>
  <c r="BC189" i="1"/>
  <c r="BC191" i="1"/>
  <c r="BC199" i="1"/>
  <c r="BC202" i="1"/>
  <c r="BC208" i="1"/>
  <c r="BC205" i="1"/>
  <c r="BB218" i="1"/>
  <c r="BB280" i="1"/>
  <c r="BB215" i="1"/>
  <c r="BB216" i="1"/>
  <c r="BB213" i="1"/>
  <c r="BB283" i="1"/>
  <c r="BB286" i="1"/>
  <c r="BB288" i="1"/>
  <c r="BB290" i="1"/>
  <c r="BB292" i="1"/>
  <c r="BB294" i="1"/>
  <c r="BB296" i="1"/>
  <c r="BB298" i="1"/>
  <c r="BB12" i="1"/>
  <c r="BB14" i="1"/>
  <c r="BB15" i="1"/>
  <c r="BB16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7" i="1"/>
  <c r="BB38" i="1"/>
  <c r="BB39" i="1"/>
  <c r="BB40" i="1"/>
  <c r="BB41" i="1"/>
  <c r="BB43" i="1"/>
  <c r="BB45" i="1"/>
  <c r="BB48" i="1"/>
  <c r="BB50" i="1"/>
  <c r="BB52" i="1"/>
  <c r="BB54" i="1"/>
  <c r="BB56" i="1"/>
  <c r="BB59" i="1"/>
  <c r="BB61" i="1"/>
  <c r="BB64" i="1"/>
  <c r="BB66" i="1"/>
  <c r="BB69" i="1"/>
  <c r="BB71" i="1"/>
  <c r="BB72" i="1"/>
  <c r="BB74" i="1"/>
  <c r="BB76" i="1"/>
  <c r="BB78" i="1"/>
  <c r="BB80" i="1"/>
  <c r="BB82" i="1"/>
  <c r="BB85" i="1"/>
  <c r="BB86" i="1"/>
  <c r="BB88" i="1"/>
  <c r="BB89" i="1"/>
  <c r="BB90" i="1"/>
  <c r="BB93" i="1"/>
  <c r="BB94" i="1"/>
  <c r="BB95" i="1"/>
  <c r="BB96" i="1"/>
  <c r="BB97" i="1"/>
  <c r="BB98" i="1"/>
  <c r="BB101" i="1"/>
  <c r="BB104" i="1"/>
  <c r="BB105" i="1"/>
  <c r="BB108" i="1"/>
  <c r="BB110" i="1"/>
  <c r="BB113" i="1"/>
  <c r="BB115" i="1"/>
  <c r="BB117" i="1"/>
  <c r="BB119" i="1"/>
  <c r="BB122" i="1"/>
  <c r="BB123" i="1"/>
  <c r="BB124" i="1"/>
  <c r="BB126" i="1"/>
  <c r="BB127" i="1"/>
  <c r="BB128" i="1"/>
  <c r="BB130" i="1"/>
  <c r="BB131" i="1"/>
  <c r="BB132" i="1"/>
  <c r="BB134" i="1"/>
  <c r="BB136" i="1"/>
  <c r="BB138" i="1"/>
  <c r="BB139" i="1"/>
  <c r="BB140" i="1"/>
  <c r="BB143" i="1"/>
  <c r="BB144" i="1"/>
  <c r="BB145" i="1"/>
  <c r="BB147" i="1"/>
  <c r="BB148" i="1"/>
  <c r="BB150" i="1"/>
  <c r="BB151" i="1"/>
  <c r="BB152" i="1"/>
  <c r="BB153" i="1"/>
  <c r="BB154" i="1"/>
  <c r="BB158" i="1"/>
  <c r="BB159" i="1"/>
  <c r="BB161" i="1"/>
  <c r="BB162" i="1"/>
  <c r="BB165" i="1"/>
  <c r="BB167" i="1"/>
  <c r="BB168" i="1"/>
  <c r="BB170" i="1"/>
  <c r="BB171" i="1"/>
  <c r="BB173" i="1"/>
  <c r="BB175" i="1"/>
  <c r="BB177" i="1"/>
  <c r="BB178" i="1"/>
  <c r="BB180" i="1"/>
  <c r="BB181" i="1"/>
  <c r="BB182" i="1"/>
  <c r="BB184" i="1"/>
  <c r="BB186" i="1"/>
  <c r="BB188" i="1"/>
  <c r="BB190" i="1"/>
  <c r="BB192" i="1"/>
  <c r="BB193" i="1"/>
  <c r="BB194" i="1"/>
  <c r="BB195" i="1"/>
  <c r="BB196" i="1"/>
  <c r="BB197" i="1"/>
  <c r="BB198" i="1"/>
  <c r="BB200" i="1"/>
  <c r="BB203" i="1"/>
  <c r="BB209" i="1"/>
  <c r="BB210" i="1"/>
  <c r="BB206" i="1"/>
  <c r="AZ279" i="1"/>
  <c r="AZ212" i="1"/>
  <c r="AZ214" i="1"/>
  <c r="AZ282" i="1"/>
  <c r="AZ285" i="1"/>
  <c r="AZ289" i="1"/>
  <c r="AZ291" i="1"/>
  <c r="AZ295" i="1"/>
  <c r="AZ297" i="1"/>
  <c r="AZ11" i="1"/>
  <c r="AZ13" i="1"/>
  <c r="AZ18" i="1"/>
  <c r="AZ19" i="1"/>
  <c r="AZ34" i="1"/>
  <c r="AZ38" i="1"/>
  <c r="AZ42" i="1"/>
  <c r="AZ45" i="1"/>
  <c r="AZ47" i="1"/>
  <c r="AZ49" i="1"/>
  <c r="AZ51" i="1"/>
  <c r="AZ53" i="1"/>
  <c r="AZ55" i="1"/>
  <c r="AZ58" i="1"/>
  <c r="AZ60" i="1"/>
  <c r="AZ63" i="1"/>
  <c r="AZ65" i="1"/>
  <c r="AZ68" i="1"/>
  <c r="AZ70" i="1"/>
  <c r="AZ73" i="1"/>
  <c r="AZ75" i="1"/>
  <c r="AZ77" i="1"/>
  <c r="AZ79" i="1"/>
  <c r="AZ81" i="1"/>
  <c r="AZ84" i="1"/>
  <c r="AZ87" i="1"/>
  <c r="AZ100" i="1"/>
  <c r="AZ103" i="1"/>
  <c r="AZ107" i="1"/>
  <c r="AZ109" i="1"/>
  <c r="AZ112" i="1"/>
  <c r="AZ114" i="1"/>
  <c r="AZ117" i="1"/>
  <c r="AZ118" i="1"/>
  <c r="AZ121" i="1"/>
  <c r="AZ125" i="1"/>
  <c r="AZ129" i="1"/>
  <c r="AZ133" i="1"/>
  <c r="AZ135" i="1"/>
  <c r="AZ137" i="1"/>
  <c r="AZ142" i="1"/>
  <c r="AZ146" i="1"/>
  <c r="AZ149" i="1"/>
  <c r="AZ159" i="1"/>
  <c r="AZ160" i="1"/>
  <c r="AZ164" i="1"/>
  <c r="AZ166" i="1"/>
  <c r="AZ169" i="1"/>
  <c r="AZ172" i="1"/>
  <c r="AZ174" i="1"/>
  <c r="AZ179" i="1"/>
  <c r="AZ183" i="1"/>
  <c r="AZ185" i="1"/>
  <c r="AZ187" i="1"/>
  <c r="AZ189" i="1"/>
  <c r="AZ191" i="1"/>
  <c r="AZ199" i="1"/>
  <c r="AZ202" i="1"/>
  <c r="AZ208" i="1"/>
  <c r="AZ205" i="1"/>
  <c r="AY279" i="1"/>
  <c r="AY212" i="1"/>
  <c r="AY214" i="1"/>
  <c r="AY282" i="1"/>
  <c r="AY285" i="1"/>
  <c r="AY287" i="1"/>
  <c r="AY289" i="1"/>
  <c r="AY291" i="1"/>
  <c r="AY293" i="1"/>
  <c r="AY295" i="1"/>
  <c r="AY297" i="1"/>
  <c r="AY11" i="1"/>
  <c r="AY17" i="1"/>
  <c r="AY34" i="1"/>
  <c r="AY36" i="1"/>
  <c r="AY42" i="1"/>
  <c r="AY45" i="1"/>
  <c r="AY47" i="1"/>
  <c r="AY49" i="1"/>
  <c r="AY51" i="1"/>
  <c r="AY53" i="1"/>
  <c r="AY55" i="1"/>
  <c r="AY58" i="1"/>
  <c r="AY60" i="1"/>
  <c r="AY63" i="1"/>
  <c r="AY65" i="1"/>
  <c r="AY68" i="1"/>
  <c r="AY70" i="1"/>
  <c r="AY73" i="1"/>
  <c r="AY75" i="1"/>
  <c r="AY77" i="1"/>
  <c r="AY79" i="1"/>
  <c r="AY81" i="1"/>
  <c r="AY84" i="1"/>
  <c r="AY87" i="1"/>
  <c r="AY100" i="1"/>
  <c r="AY103" i="1"/>
  <c r="AY107" i="1"/>
  <c r="AY109" i="1"/>
  <c r="AY112" i="1"/>
  <c r="AY114" i="1"/>
  <c r="AY116" i="1"/>
  <c r="AY118" i="1"/>
  <c r="AY121" i="1"/>
  <c r="AY125" i="1"/>
  <c r="AY129" i="1"/>
  <c r="AY133" i="1"/>
  <c r="AY135" i="1"/>
  <c r="AY137" i="1"/>
  <c r="AY142" i="1"/>
  <c r="AY146" i="1"/>
  <c r="AY149" i="1"/>
  <c r="AY157" i="1"/>
  <c r="AY160" i="1"/>
  <c r="AY164" i="1"/>
  <c r="AY166" i="1"/>
  <c r="AY169" i="1"/>
  <c r="AY172" i="1"/>
  <c r="AY174" i="1"/>
  <c r="AY179" i="1"/>
  <c r="AY183" i="1"/>
  <c r="AY185" i="1"/>
  <c r="AY187" i="1"/>
  <c r="AY189" i="1"/>
  <c r="AY191" i="1"/>
  <c r="AY199" i="1"/>
  <c r="AY202" i="1"/>
  <c r="AY208" i="1"/>
  <c r="AY205" i="1"/>
  <c r="AX279" i="1"/>
  <c r="AX212" i="1"/>
  <c r="AX214" i="1"/>
  <c r="AX282" i="1"/>
  <c r="AX285" i="1"/>
  <c r="AX287" i="1"/>
  <c r="AX289" i="1"/>
  <c r="AX291" i="1"/>
  <c r="AX293" i="1"/>
  <c r="AX295" i="1"/>
  <c r="AX297" i="1"/>
  <c r="AX11" i="1"/>
  <c r="AX13" i="1"/>
  <c r="AX17" i="1"/>
  <c r="AX34" i="1"/>
  <c r="AX36" i="1"/>
  <c r="AX42" i="1"/>
  <c r="AX44" i="1"/>
  <c r="AX47" i="1"/>
  <c r="AX49" i="1"/>
  <c r="AX51" i="1"/>
  <c r="AX53" i="1"/>
  <c r="AX55" i="1"/>
  <c r="AX58" i="1"/>
  <c r="AX60" i="1"/>
  <c r="AX63" i="1"/>
  <c r="AX65" i="1"/>
  <c r="AX68" i="1"/>
  <c r="AX70" i="1"/>
  <c r="AX73" i="1"/>
  <c r="AX75" i="1"/>
  <c r="AX77" i="1"/>
  <c r="AX79" i="1"/>
  <c r="AX81" i="1"/>
  <c r="AX84" i="1"/>
  <c r="AX87" i="1"/>
  <c r="AX100" i="1"/>
  <c r="AX103" i="1"/>
  <c r="AX107" i="1"/>
  <c r="AX109" i="1"/>
  <c r="AX112" i="1"/>
  <c r="AX114" i="1"/>
  <c r="AX116" i="1"/>
  <c r="AX118" i="1"/>
  <c r="AX121" i="1"/>
  <c r="AX125" i="1"/>
  <c r="AX129" i="1"/>
  <c r="AX133" i="1"/>
  <c r="AX135" i="1"/>
  <c r="AX137" i="1"/>
  <c r="AX142" i="1"/>
  <c r="AX146" i="1"/>
  <c r="AX149" i="1"/>
  <c r="AX157" i="1"/>
  <c r="AX160" i="1"/>
  <c r="AX164" i="1"/>
  <c r="AX166" i="1"/>
  <c r="AX169" i="1"/>
  <c r="AX172" i="1"/>
  <c r="AX174" i="1"/>
  <c r="AX179" i="1"/>
  <c r="AX183" i="1"/>
  <c r="AX185" i="1"/>
  <c r="AX187" i="1"/>
  <c r="AX189" i="1"/>
  <c r="AX191" i="1"/>
  <c r="AX199" i="1"/>
  <c r="AX202" i="1"/>
  <c r="AX208" i="1"/>
  <c r="AX205" i="1"/>
  <c r="AW279" i="1"/>
  <c r="AW212" i="1"/>
  <c r="AW214" i="1"/>
  <c r="AW282" i="1"/>
  <c r="AW285" i="1"/>
  <c r="AW287" i="1"/>
  <c r="AW289" i="1"/>
  <c r="AW291" i="1"/>
  <c r="AW293" i="1"/>
  <c r="AW295" i="1"/>
  <c r="AW297" i="1"/>
  <c r="AW11" i="1"/>
  <c r="AW13" i="1"/>
  <c r="AW17" i="1"/>
  <c r="AW34" i="1"/>
  <c r="AW36" i="1"/>
  <c r="AW42" i="1"/>
  <c r="AW44" i="1"/>
  <c r="AW47" i="1"/>
  <c r="AW49" i="1"/>
  <c r="AW51" i="1"/>
  <c r="AW53" i="1"/>
  <c r="AW55" i="1"/>
  <c r="AW58" i="1"/>
  <c r="AW60" i="1"/>
  <c r="AW63" i="1"/>
  <c r="AW65" i="1"/>
  <c r="AW68" i="1"/>
  <c r="AW70" i="1"/>
  <c r="AW73" i="1"/>
  <c r="AW75" i="1"/>
  <c r="AW77" i="1"/>
  <c r="AW79" i="1"/>
  <c r="AW81" i="1"/>
  <c r="AW84" i="1"/>
  <c r="AW87" i="1"/>
  <c r="AW100" i="1"/>
  <c r="AW103" i="1"/>
  <c r="AW107" i="1"/>
  <c r="AW109" i="1"/>
  <c r="AW112" i="1"/>
  <c r="AW114" i="1"/>
  <c r="AW116" i="1"/>
  <c r="AW118" i="1"/>
  <c r="AW121" i="1"/>
  <c r="AW125" i="1"/>
  <c r="AW129" i="1"/>
  <c r="AW133" i="1"/>
  <c r="AW135" i="1"/>
  <c r="AW137" i="1"/>
  <c r="AW142" i="1"/>
  <c r="AW146" i="1"/>
  <c r="AW149" i="1"/>
  <c r="AW157" i="1"/>
  <c r="AW160" i="1"/>
  <c r="AW164" i="1"/>
  <c r="AW166" i="1"/>
  <c r="AW169" i="1"/>
  <c r="AW172" i="1"/>
  <c r="AW174" i="1"/>
  <c r="AW179" i="1"/>
  <c r="AW183" i="1"/>
  <c r="AW185" i="1"/>
  <c r="AW187" i="1"/>
  <c r="AW189" i="1"/>
  <c r="AW191" i="1"/>
  <c r="AW199" i="1"/>
  <c r="AW202" i="1"/>
  <c r="AW208" i="1"/>
  <c r="AW205" i="1"/>
  <c r="AV279" i="1"/>
  <c r="AV212" i="1"/>
  <c r="AV214" i="1"/>
  <c r="AV282" i="1"/>
  <c r="AV285" i="1"/>
  <c r="AV287" i="1"/>
  <c r="AV289" i="1"/>
  <c r="AV293" i="1"/>
  <c r="AV295" i="1"/>
  <c r="AV297" i="1"/>
  <c r="AV11" i="1"/>
  <c r="AV13" i="1"/>
  <c r="AV17" i="1"/>
  <c r="AV34" i="1"/>
  <c r="AV36" i="1"/>
  <c r="AV42" i="1"/>
  <c r="AV44" i="1"/>
  <c r="AV47" i="1"/>
  <c r="AV49" i="1"/>
  <c r="AV51" i="1"/>
  <c r="AV53" i="1"/>
  <c r="AV55" i="1"/>
  <c r="AV58" i="1"/>
  <c r="AV60" i="1"/>
  <c r="AV63" i="1"/>
  <c r="AV65" i="1"/>
  <c r="AV68" i="1"/>
  <c r="AV70" i="1"/>
  <c r="AV73" i="1"/>
  <c r="AV75" i="1"/>
  <c r="AV77" i="1"/>
  <c r="AV79" i="1"/>
  <c r="AV81" i="1"/>
  <c r="AV84" i="1"/>
  <c r="AV87" i="1"/>
  <c r="AV100" i="1"/>
  <c r="AV103" i="1"/>
  <c r="AV107" i="1"/>
  <c r="AV109" i="1"/>
  <c r="AV112" i="1"/>
  <c r="AV114" i="1"/>
  <c r="AV116" i="1"/>
  <c r="AV118" i="1"/>
  <c r="AV121" i="1"/>
  <c r="AV125" i="1"/>
  <c r="AV129" i="1"/>
  <c r="AV133" i="1"/>
  <c r="AV135" i="1"/>
  <c r="AV137" i="1"/>
  <c r="AV142" i="1"/>
  <c r="AV146" i="1"/>
  <c r="AV149" i="1"/>
  <c r="AV157" i="1"/>
  <c r="AV160" i="1"/>
  <c r="AV164" i="1"/>
  <c r="AV166" i="1"/>
  <c r="AV169" i="1"/>
  <c r="AV172" i="1"/>
  <c r="AV174" i="1"/>
  <c r="AV179" i="1"/>
  <c r="AV183" i="1"/>
  <c r="AV185" i="1"/>
  <c r="AV187" i="1"/>
  <c r="AV189" i="1"/>
  <c r="AV191" i="1"/>
  <c r="AV199" i="1"/>
  <c r="AV202" i="1"/>
  <c r="AV208" i="1"/>
  <c r="AV205" i="1"/>
  <c r="AU279" i="1"/>
  <c r="AU212" i="1"/>
  <c r="AU214" i="1"/>
  <c r="AU282" i="1"/>
  <c r="AU285" i="1"/>
  <c r="AU287" i="1"/>
  <c r="AU289" i="1"/>
  <c r="AU291" i="1"/>
  <c r="AU293" i="1"/>
  <c r="AU295" i="1"/>
  <c r="AU297" i="1"/>
  <c r="AU11" i="1"/>
  <c r="AU13" i="1"/>
  <c r="AU17" i="1"/>
  <c r="AU34" i="1"/>
  <c r="AU36" i="1"/>
  <c r="AU42" i="1"/>
  <c r="AU44" i="1"/>
  <c r="AU47" i="1"/>
  <c r="AU49" i="1"/>
  <c r="AU51" i="1"/>
  <c r="AU53" i="1"/>
  <c r="AU55" i="1"/>
  <c r="AU58" i="1"/>
  <c r="AU60" i="1"/>
  <c r="AU63" i="1"/>
  <c r="AU65" i="1"/>
  <c r="AU68" i="1"/>
  <c r="AU70" i="1"/>
  <c r="AU73" i="1"/>
  <c r="AU75" i="1"/>
  <c r="AU77" i="1"/>
  <c r="AU79" i="1"/>
  <c r="AU81" i="1"/>
  <c r="AU84" i="1"/>
  <c r="AU87" i="1"/>
  <c r="AU100" i="1"/>
  <c r="AU103" i="1"/>
  <c r="AU107" i="1"/>
  <c r="AU109" i="1"/>
  <c r="AU112" i="1"/>
  <c r="AU114" i="1"/>
  <c r="AU116" i="1"/>
  <c r="AU118" i="1"/>
  <c r="AU121" i="1"/>
  <c r="AU125" i="1"/>
  <c r="AU129" i="1"/>
  <c r="AU133" i="1"/>
  <c r="AU135" i="1"/>
  <c r="AU137" i="1"/>
  <c r="AU142" i="1"/>
  <c r="AU146" i="1"/>
  <c r="AU149" i="1"/>
  <c r="AU157" i="1"/>
  <c r="AU160" i="1"/>
  <c r="AU164" i="1"/>
  <c r="AU166" i="1"/>
  <c r="AU169" i="1"/>
  <c r="AU172" i="1"/>
  <c r="AU174" i="1"/>
  <c r="AU179" i="1"/>
  <c r="AU183" i="1"/>
  <c r="AU185" i="1"/>
  <c r="AU187" i="1"/>
  <c r="AU189" i="1"/>
  <c r="AU191" i="1"/>
  <c r="AU199" i="1"/>
  <c r="AU202" i="1"/>
  <c r="AU208" i="1"/>
  <c r="AU205" i="1"/>
  <c r="AT279" i="1"/>
  <c r="AT212" i="1"/>
  <c r="AT214" i="1"/>
  <c r="AT282" i="1"/>
  <c r="AT285" i="1"/>
  <c r="AT287" i="1"/>
  <c r="AT289" i="1"/>
  <c r="AT291" i="1"/>
  <c r="AT293" i="1"/>
  <c r="AT295" i="1"/>
  <c r="AT297" i="1"/>
  <c r="AT11" i="1"/>
  <c r="AT13" i="1"/>
  <c r="AT17" i="1"/>
  <c r="AT34" i="1"/>
  <c r="AT36" i="1"/>
  <c r="AT42" i="1"/>
  <c r="AT44" i="1"/>
  <c r="AT47" i="1"/>
  <c r="AT49" i="1"/>
  <c r="AT51" i="1"/>
  <c r="AT53" i="1"/>
  <c r="AT55" i="1"/>
  <c r="AT58" i="1"/>
  <c r="AT60" i="1"/>
  <c r="AT63" i="1"/>
  <c r="AT65" i="1"/>
  <c r="AT68" i="1"/>
  <c r="AT70" i="1"/>
  <c r="AT73" i="1"/>
  <c r="AT75" i="1"/>
  <c r="AT77" i="1"/>
  <c r="AT79" i="1"/>
  <c r="AT81" i="1"/>
  <c r="AT84" i="1"/>
  <c r="AT87" i="1"/>
  <c r="AT100" i="1"/>
  <c r="AT103" i="1"/>
  <c r="AT107" i="1"/>
  <c r="AT109" i="1"/>
  <c r="AT112" i="1"/>
  <c r="AT114" i="1"/>
  <c r="AT116" i="1"/>
  <c r="AT118" i="1"/>
  <c r="AT121" i="1"/>
  <c r="AT125" i="1"/>
  <c r="AT129" i="1"/>
  <c r="AT133" i="1"/>
  <c r="AT135" i="1"/>
  <c r="AT137" i="1"/>
  <c r="AT142" i="1"/>
  <c r="AT146" i="1"/>
  <c r="AT149" i="1"/>
  <c r="AT157" i="1"/>
  <c r="AT160" i="1"/>
  <c r="AT164" i="1"/>
  <c r="AT166" i="1"/>
  <c r="AT169" i="1"/>
  <c r="AT172" i="1"/>
  <c r="AT174" i="1"/>
  <c r="AT179" i="1"/>
  <c r="AT183" i="1"/>
  <c r="AT185" i="1"/>
  <c r="AT187" i="1"/>
  <c r="AT189" i="1"/>
  <c r="AT191" i="1"/>
  <c r="AT199" i="1"/>
  <c r="AT202" i="1"/>
  <c r="AT208" i="1"/>
  <c r="AT205" i="1"/>
  <c r="AS279" i="1"/>
  <c r="AS212" i="1"/>
  <c r="AS214" i="1"/>
  <c r="AS282" i="1"/>
  <c r="AS285" i="1"/>
  <c r="AS287" i="1"/>
  <c r="AS289" i="1"/>
  <c r="AS291" i="1"/>
  <c r="AS293" i="1"/>
  <c r="AS295" i="1"/>
  <c r="AS297" i="1"/>
  <c r="AS11" i="1"/>
  <c r="AS13" i="1"/>
  <c r="AS17" i="1"/>
  <c r="AS34" i="1"/>
  <c r="AS36" i="1"/>
  <c r="AS42" i="1"/>
  <c r="AS45" i="1"/>
  <c r="AS47" i="1"/>
  <c r="AS49" i="1"/>
  <c r="AS51" i="1"/>
  <c r="AS53" i="1"/>
  <c r="AS55" i="1"/>
  <c r="AS58" i="1"/>
  <c r="AS60" i="1"/>
  <c r="AS63" i="1"/>
  <c r="AS65" i="1"/>
  <c r="AS68" i="1"/>
  <c r="AS70" i="1"/>
  <c r="AS73" i="1"/>
  <c r="AS75" i="1"/>
  <c r="AS77" i="1"/>
  <c r="AS79" i="1"/>
  <c r="AS81" i="1"/>
  <c r="AS84" i="1"/>
  <c r="AS87" i="1"/>
  <c r="AS100" i="1"/>
  <c r="AS103" i="1"/>
  <c r="AS107" i="1"/>
  <c r="AS109" i="1"/>
  <c r="AS112" i="1"/>
  <c r="AS114" i="1"/>
  <c r="AS116" i="1"/>
  <c r="AS118" i="1"/>
  <c r="AS121" i="1"/>
  <c r="AS125" i="1"/>
  <c r="AS129" i="1"/>
  <c r="AS133" i="1"/>
  <c r="AS135" i="1"/>
  <c r="AS137" i="1"/>
  <c r="AS142" i="1"/>
  <c r="AS146" i="1"/>
  <c r="AS149" i="1"/>
  <c r="AS157" i="1"/>
  <c r="AS160" i="1"/>
  <c r="AS164" i="1"/>
  <c r="AS166" i="1"/>
  <c r="AS169" i="1"/>
  <c r="AS172" i="1"/>
  <c r="AS174" i="1"/>
  <c r="AS179" i="1"/>
  <c r="AS183" i="1"/>
  <c r="AS185" i="1"/>
  <c r="AS187" i="1"/>
  <c r="AS189" i="1"/>
  <c r="AS191" i="1"/>
  <c r="AS199" i="1"/>
  <c r="AS202" i="1"/>
  <c r="AS208" i="1"/>
  <c r="AS205" i="1"/>
  <c r="AR279" i="1"/>
  <c r="AR212" i="1"/>
  <c r="AR214" i="1"/>
  <c r="AR282" i="1"/>
  <c r="AR285" i="1"/>
  <c r="AR287" i="1"/>
  <c r="AR289" i="1"/>
  <c r="AR291" i="1"/>
  <c r="AR293" i="1"/>
  <c r="AR295" i="1"/>
  <c r="AR297" i="1"/>
  <c r="AR11" i="1"/>
  <c r="AR13" i="1"/>
  <c r="AR17" i="1"/>
  <c r="AR34" i="1"/>
  <c r="AR36" i="1"/>
  <c r="AR42" i="1"/>
  <c r="AR44" i="1"/>
  <c r="AR47" i="1"/>
  <c r="AR49" i="1"/>
  <c r="AR51" i="1"/>
  <c r="AR53" i="1"/>
  <c r="AR55" i="1"/>
  <c r="AR58" i="1"/>
  <c r="AR60" i="1"/>
  <c r="AR63" i="1"/>
  <c r="AR65" i="1"/>
  <c r="AR68" i="1"/>
  <c r="AR70" i="1"/>
  <c r="AR73" i="1"/>
  <c r="AR75" i="1"/>
  <c r="AR77" i="1"/>
  <c r="AR79" i="1"/>
  <c r="AR81" i="1"/>
  <c r="AR84" i="1"/>
  <c r="AR87" i="1"/>
  <c r="AR100" i="1"/>
  <c r="AR103" i="1"/>
  <c r="AR107" i="1"/>
  <c r="AR109" i="1"/>
  <c r="AR112" i="1"/>
  <c r="AR114" i="1"/>
  <c r="AR116" i="1"/>
  <c r="AR118" i="1"/>
  <c r="AR121" i="1"/>
  <c r="AR125" i="1"/>
  <c r="AR129" i="1"/>
  <c r="AR133" i="1"/>
  <c r="AR135" i="1"/>
  <c r="AR137" i="1"/>
  <c r="AR142" i="1"/>
  <c r="AR146" i="1"/>
  <c r="AR149" i="1"/>
  <c r="AR157" i="1"/>
  <c r="AR160" i="1"/>
  <c r="AR164" i="1"/>
  <c r="AR166" i="1"/>
  <c r="AR169" i="1"/>
  <c r="AR172" i="1"/>
  <c r="AR174" i="1"/>
  <c r="AR179" i="1"/>
  <c r="AR183" i="1"/>
  <c r="AR185" i="1"/>
  <c r="AR187" i="1"/>
  <c r="AR189" i="1"/>
  <c r="AR191" i="1"/>
  <c r="AR199" i="1"/>
  <c r="AR202" i="1"/>
  <c r="AR208" i="1"/>
  <c r="AR205" i="1"/>
  <c r="AQ279" i="1"/>
  <c r="AQ212" i="1"/>
  <c r="AQ214" i="1"/>
  <c r="AQ282" i="1"/>
  <c r="AQ285" i="1"/>
  <c r="AQ287" i="1"/>
  <c r="AQ289" i="1"/>
  <c r="AQ291" i="1"/>
  <c r="AQ293" i="1"/>
  <c r="AQ295" i="1"/>
  <c r="AQ297" i="1"/>
  <c r="AQ11" i="1"/>
  <c r="AQ13" i="1"/>
  <c r="AQ17" i="1"/>
  <c r="AQ34" i="1"/>
  <c r="AQ36" i="1"/>
  <c r="AQ42" i="1"/>
  <c r="AQ44" i="1"/>
  <c r="AQ47" i="1"/>
  <c r="AQ49" i="1"/>
  <c r="AQ51" i="1"/>
  <c r="AQ53" i="1"/>
  <c r="AQ55" i="1"/>
  <c r="AQ58" i="1"/>
  <c r="AQ60" i="1"/>
  <c r="AQ63" i="1"/>
  <c r="AQ65" i="1"/>
  <c r="AQ68" i="1"/>
  <c r="AQ70" i="1"/>
  <c r="AQ73" i="1"/>
  <c r="AQ75" i="1"/>
  <c r="AQ77" i="1"/>
  <c r="AQ79" i="1"/>
  <c r="AQ81" i="1"/>
  <c r="AQ84" i="1"/>
  <c r="AQ87" i="1"/>
  <c r="AQ100" i="1"/>
  <c r="AQ103" i="1"/>
  <c r="AQ107" i="1"/>
  <c r="AQ109" i="1"/>
  <c r="AQ112" i="1"/>
  <c r="AQ114" i="1"/>
  <c r="AQ116" i="1"/>
  <c r="AQ118" i="1"/>
  <c r="AQ121" i="1"/>
  <c r="AQ125" i="1"/>
  <c r="AQ129" i="1"/>
  <c r="AQ133" i="1"/>
  <c r="AQ135" i="1"/>
  <c r="AQ137" i="1"/>
  <c r="AQ142" i="1"/>
  <c r="AQ146" i="1"/>
  <c r="AQ149" i="1"/>
  <c r="AQ157" i="1"/>
  <c r="AQ160" i="1"/>
  <c r="AQ164" i="1"/>
  <c r="AQ166" i="1"/>
  <c r="AQ169" i="1"/>
  <c r="AQ172" i="1"/>
  <c r="AQ174" i="1"/>
  <c r="AQ179" i="1"/>
  <c r="AQ183" i="1"/>
  <c r="AQ185" i="1"/>
  <c r="AQ187" i="1"/>
  <c r="AQ189" i="1"/>
  <c r="AQ191" i="1"/>
  <c r="AQ199" i="1"/>
  <c r="AQ202" i="1"/>
  <c r="AQ208" i="1"/>
  <c r="AQ205" i="1"/>
  <c r="AP279" i="1"/>
  <c r="AP212" i="1"/>
  <c r="AP214" i="1"/>
  <c r="AP282" i="1"/>
  <c r="AP285" i="1"/>
  <c r="AP287" i="1"/>
  <c r="AP289" i="1"/>
  <c r="AP291" i="1"/>
  <c r="AP293" i="1"/>
  <c r="AP295" i="1"/>
  <c r="AP297" i="1"/>
  <c r="AP11" i="1"/>
  <c r="AP17" i="1"/>
  <c r="AP34" i="1"/>
  <c r="AP36" i="1"/>
  <c r="AP42" i="1"/>
  <c r="AP44" i="1"/>
  <c r="AP47" i="1"/>
  <c r="AP49" i="1"/>
  <c r="AP51" i="1"/>
  <c r="AP53" i="1"/>
  <c r="AP55" i="1"/>
  <c r="AP58" i="1"/>
  <c r="AP60" i="1"/>
  <c r="AP63" i="1"/>
  <c r="AP65" i="1"/>
  <c r="AP68" i="1"/>
  <c r="AP70" i="1"/>
  <c r="AP73" i="1"/>
  <c r="AP75" i="1"/>
  <c r="AP77" i="1"/>
  <c r="AP79" i="1"/>
  <c r="AP81" i="1"/>
  <c r="AP84" i="1"/>
  <c r="AP87" i="1"/>
  <c r="AP100" i="1"/>
  <c r="AP103" i="1"/>
  <c r="AP107" i="1"/>
  <c r="AP109" i="1"/>
  <c r="AP112" i="1"/>
  <c r="AP114" i="1"/>
  <c r="AP116" i="1"/>
  <c r="AP118" i="1"/>
  <c r="AP121" i="1"/>
  <c r="AP125" i="1"/>
  <c r="AP129" i="1"/>
  <c r="AP133" i="1"/>
  <c r="AP135" i="1"/>
  <c r="AP137" i="1"/>
  <c r="AP142" i="1"/>
  <c r="AP146" i="1"/>
  <c r="AP149" i="1"/>
  <c r="AP157" i="1"/>
  <c r="AP160" i="1"/>
  <c r="AP164" i="1"/>
  <c r="AP166" i="1"/>
  <c r="AP169" i="1"/>
  <c r="AP172" i="1"/>
  <c r="AP174" i="1"/>
  <c r="AP179" i="1"/>
  <c r="AP183" i="1"/>
  <c r="AP185" i="1"/>
  <c r="AP187" i="1"/>
  <c r="AP189" i="1"/>
  <c r="AP191" i="1"/>
  <c r="AP199" i="1"/>
  <c r="AP202" i="1"/>
  <c r="AP208" i="1"/>
  <c r="AP205" i="1"/>
  <c r="AO279" i="1"/>
  <c r="AO212" i="1"/>
  <c r="AO214" i="1"/>
  <c r="AO282" i="1"/>
  <c r="AO285" i="1"/>
  <c r="AO287" i="1"/>
  <c r="AO289" i="1"/>
  <c r="AO291" i="1"/>
  <c r="AO293" i="1"/>
  <c r="AO295" i="1"/>
  <c r="AO297" i="1"/>
  <c r="AO11" i="1"/>
  <c r="AO13" i="1"/>
  <c r="AO17" i="1"/>
  <c r="AO34" i="1"/>
  <c r="AO36" i="1"/>
  <c r="AO42" i="1"/>
  <c r="AO44" i="1"/>
  <c r="AO47" i="1"/>
  <c r="AO49" i="1"/>
  <c r="AO51" i="1"/>
  <c r="AO53" i="1"/>
  <c r="AO55" i="1"/>
  <c r="AO58" i="1"/>
  <c r="AO60" i="1"/>
  <c r="AO63" i="1"/>
  <c r="AO65" i="1"/>
  <c r="AO68" i="1"/>
  <c r="AO70" i="1"/>
  <c r="AO73" i="1"/>
  <c r="AO75" i="1"/>
  <c r="AO77" i="1"/>
  <c r="AO79" i="1"/>
  <c r="AO81" i="1"/>
  <c r="AO84" i="1"/>
  <c r="AO87" i="1"/>
  <c r="AO100" i="1"/>
  <c r="AO103" i="1"/>
  <c r="AO107" i="1"/>
  <c r="AO109" i="1"/>
  <c r="AO112" i="1"/>
  <c r="AO114" i="1"/>
  <c r="AO116" i="1"/>
  <c r="AO118" i="1"/>
  <c r="AO121" i="1"/>
  <c r="AO125" i="1"/>
  <c r="AO129" i="1"/>
  <c r="AO133" i="1"/>
  <c r="AO135" i="1"/>
  <c r="AO137" i="1"/>
  <c r="AO142" i="1"/>
  <c r="AO146" i="1"/>
  <c r="AO149" i="1"/>
  <c r="AO157" i="1"/>
  <c r="AO160" i="1"/>
  <c r="AO164" i="1"/>
  <c r="AO166" i="1"/>
  <c r="AO169" i="1"/>
  <c r="AO172" i="1"/>
  <c r="AO174" i="1"/>
  <c r="AO179" i="1"/>
  <c r="AO183" i="1"/>
  <c r="AO185" i="1"/>
  <c r="AO187" i="1"/>
  <c r="AO189" i="1"/>
  <c r="AO191" i="1"/>
  <c r="AO199" i="1"/>
  <c r="AO202" i="1"/>
  <c r="AO208" i="1"/>
  <c r="AO205" i="1"/>
  <c r="AN279" i="1"/>
  <c r="AN212" i="1"/>
  <c r="AN214" i="1"/>
  <c r="AN282" i="1"/>
  <c r="AN285" i="1"/>
  <c r="AN287" i="1"/>
  <c r="AN289" i="1"/>
  <c r="AN291" i="1"/>
  <c r="AN293" i="1"/>
  <c r="AN295" i="1"/>
  <c r="AN297" i="1"/>
  <c r="AN11" i="1"/>
  <c r="AN13" i="1"/>
  <c r="AN17" i="1"/>
  <c r="AN34" i="1"/>
  <c r="AN36" i="1"/>
  <c r="AN42" i="1"/>
  <c r="AN45" i="1"/>
  <c r="AN47" i="1"/>
  <c r="AN49" i="1"/>
  <c r="AN51" i="1"/>
  <c r="AN53" i="1"/>
  <c r="AN55" i="1"/>
  <c r="AN58" i="1"/>
  <c r="AN60" i="1"/>
  <c r="AN63" i="1"/>
  <c r="AN65" i="1"/>
  <c r="AN68" i="1"/>
  <c r="AN70" i="1"/>
  <c r="AN73" i="1"/>
  <c r="AN75" i="1"/>
  <c r="AN77" i="1"/>
  <c r="AN79" i="1"/>
  <c r="AN81" i="1"/>
  <c r="AN84" i="1"/>
  <c r="AN87" i="1"/>
  <c r="AN100" i="1"/>
  <c r="AN103" i="1"/>
  <c r="AN107" i="1"/>
  <c r="AN109" i="1"/>
  <c r="AN112" i="1"/>
  <c r="AN114" i="1"/>
  <c r="AN116" i="1"/>
  <c r="AN118" i="1"/>
  <c r="AN121" i="1"/>
  <c r="AN125" i="1"/>
  <c r="AN129" i="1"/>
  <c r="AN133" i="1"/>
  <c r="AN135" i="1"/>
  <c r="AN137" i="1"/>
  <c r="AN142" i="1"/>
  <c r="AN146" i="1"/>
  <c r="AN149" i="1"/>
  <c r="AN157" i="1"/>
  <c r="AN160" i="1"/>
  <c r="AN164" i="1"/>
  <c r="AN166" i="1"/>
  <c r="AN169" i="1"/>
  <c r="AN172" i="1"/>
  <c r="AN174" i="1"/>
  <c r="AN179" i="1"/>
  <c r="AN183" i="1"/>
  <c r="AN185" i="1"/>
  <c r="AN187" i="1"/>
  <c r="AN189" i="1"/>
  <c r="AN191" i="1"/>
  <c r="AN199" i="1"/>
  <c r="AN202" i="1"/>
  <c r="AN208" i="1"/>
  <c r="AN205" i="1"/>
  <c r="AM279" i="1"/>
  <c r="AM212" i="1"/>
  <c r="AM214" i="1"/>
  <c r="AM282" i="1"/>
  <c r="AM285" i="1"/>
  <c r="AM287" i="1"/>
  <c r="AM289" i="1"/>
  <c r="AM291" i="1"/>
  <c r="AM293" i="1"/>
  <c r="AM295" i="1"/>
  <c r="AM297" i="1"/>
  <c r="AM11" i="1"/>
  <c r="AM13" i="1"/>
  <c r="AM17" i="1"/>
  <c r="AM35" i="1"/>
  <c r="AM40" i="1"/>
  <c r="AM42" i="1"/>
  <c r="AM44" i="1"/>
  <c r="AM47" i="1"/>
  <c r="AM49" i="1"/>
  <c r="AM51" i="1"/>
  <c r="AM53" i="1"/>
  <c r="AM55" i="1"/>
  <c r="AM58" i="1"/>
  <c r="AM60" i="1"/>
  <c r="AM63" i="1"/>
  <c r="AM65" i="1"/>
  <c r="AM68" i="1"/>
  <c r="AM70" i="1"/>
  <c r="AM73" i="1"/>
  <c r="AM75" i="1"/>
  <c r="AM77" i="1"/>
  <c r="AM79" i="1"/>
  <c r="AM81" i="1"/>
  <c r="AM84" i="1"/>
  <c r="AM87" i="1"/>
  <c r="AM100" i="1"/>
  <c r="AM103" i="1"/>
  <c r="AM107" i="1"/>
  <c r="AM109" i="1"/>
  <c r="AM112" i="1"/>
  <c r="AM114" i="1"/>
  <c r="AM116" i="1"/>
  <c r="AM118" i="1"/>
  <c r="AM121" i="1"/>
  <c r="AM125" i="1"/>
  <c r="AM129" i="1"/>
  <c r="AM133" i="1"/>
  <c r="AM135" i="1"/>
  <c r="AM137" i="1"/>
  <c r="AM142" i="1"/>
  <c r="AM146" i="1"/>
  <c r="AM149" i="1"/>
  <c r="AM157" i="1"/>
  <c r="AM160" i="1"/>
  <c r="AM164" i="1"/>
  <c r="AM166" i="1"/>
  <c r="AM169" i="1"/>
  <c r="AM172" i="1"/>
  <c r="AM174" i="1"/>
  <c r="AM179" i="1"/>
  <c r="AM183" i="1"/>
  <c r="AM185" i="1"/>
  <c r="AM187" i="1"/>
  <c r="AM189" i="1"/>
  <c r="AM191" i="1"/>
  <c r="AM199" i="1"/>
  <c r="AM202" i="1"/>
  <c r="AM208" i="1"/>
  <c r="AM205" i="1"/>
  <c r="AL279" i="1"/>
  <c r="AL212" i="1"/>
  <c r="AL214" i="1"/>
  <c r="AL282" i="1"/>
  <c r="AL285" i="1"/>
  <c r="AL287" i="1"/>
  <c r="AL289" i="1"/>
  <c r="AL291" i="1"/>
  <c r="AL293" i="1"/>
  <c r="AL295" i="1"/>
  <c r="AL297" i="1"/>
  <c r="AL11" i="1"/>
  <c r="AL13" i="1"/>
  <c r="AL17" i="1"/>
  <c r="AL34" i="1"/>
  <c r="AL36" i="1"/>
  <c r="AL42" i="1"/>
  <c r="AL44" i="1"/>
  <c r="AL47" i="1"/>
  <c r="AL49" i="1"/>
  <c r="AL51" i="1"/>
  <c r="AL53" i="1"/>
  <c r="AL55" i="1"/>
  <c r="AL58" i="1"/>
  <c r="AL60" i="1"/>
  <c r="AL63" i="1"/>
  <c r="AL65" i="1"/>
  <c r="AL68" i="1"/>
  <c r="AL70" i="1"/>
  <c r="AL73" i="1"/>
  <c r="AL75" i="1"/>
  <c r="AL77" i="1"/>
  <c r="AL79" i="1"/>
  <c r="AL81" i="1"/>
  <c r="AL84" i="1"/>
  <c r="AL87" i="1"/>
  <c r="AL100" i="1"/>
  <c r="AL103" i="1"/>
  <c r="AL107" i="1"/>
  <c r="AL109" i="1"/>
  <c r="AL112" i="1"/>
  <c r="AL114" i="1"/>
  <c r="AL116" i="1"/>
  <c r="AL118" i="1"/>
  <c r="AL121" i="1"/>
  <c r="AL125" i="1"/>
  <c r="AL129" i="1"/>
  <c r="AL133" i="1"/>
  <c r="AL135" i="1"/>
  <c r="AL137" i="1"/>
  <c r="AL142" i="1"/>
  <c r="AL146" i="1"/>
  <c r="AL149" i="1"/>
  <c r="AL157" i="1"/>
  <c r="AL160" i="1"/>
  <c r="AL164" i="1"/>
  <c r="AL166" i="1"/>
  <c r="AL169" i="1"/>
  <c r="AL172" i="1"/>
  <c r="AL174" i="1"/>
  <c r="AL179" i="1"/>
  <c r="AL183" i="1"/>
  <c r="AL185" i="1"/>
  <c r="AL187" i="1"/>
  <c r="AL189" i="1"/>
  <c r="AL191" i="1"/>
  <c r="AL199" i="1"/>
  <c r="AL202" i="1"/>
  <c r="AL208" i="1"/>
  <c r="AL205" i="1"/>
  <c r="AK279" i="1"/>
  <c r="AK212" i="1"/>
  <c r="AK214" i="1"/>
  <c r="AK282" i="1"/>
  <c r="AK285" i="1"/>
  <c r="AK287" i="1"/>
  <c r="AK289" i="1"/>
  <c r="AK291" i="1"/>
  <c r="AK293" i="1"/>
  <c r="AK295" i="1"/>
  <c r="AK297" i="1"/>
  <c r="AK11" i="1"/>
  <c r="AK13" i="1"/>
  <c r="AK17" i="1"/>
  <c r="AK34" i="1"/>
  <c r="AK36" i="1"/>
  <c r="AK42" i="1"/>
  <c r="AK44" i="1"/>
  <c r="AK47" i="1"/>
  <c r="AK49" i="1"/>
  <c r="AK51" i="1"/>
  <c r="AK53" i="1"/>
  <c r="AK55" i="1"/>
  <c r="AK58" i="1"/>
  <c r="AK60" i="1"/>
  <c r="AK63" i="1"/>
  <c r="AK65" i="1"/>
  <c r="AK68" i="1"/>
  <c r="AK70" i="1"/>
  <c r="AK73" i="1"/>
  <c r="AK75" i="1"/>
  <c r="AK77" i="1"/>
  <c r="AK79" i="1"/>
  <c r="AK81" i="1"/>
  <c r="AK84" i="1"/>
  <c r="AK87" i="1"/>
  <c r="AK100" i="1"/>
  <c r="AK103" i="1"/>
  <c r="AK107" i="1"/>
  <c r="AK109" i="1"/>
  <c r="AK112" i="1"/>
  <c r="AK114" i="1"/>
  <c r="AK116" i="1"/>
  <c r="AK118" i="1"/>
  <c r="AK121" i="1"/>
  <c r="AK125" i="1"/>
  <c r="AK129" i="1"/>
  <c r="AK133" i="1"/>
  <c r="AK135" i="1"/>
  <c r="AK137" i="1"/>
  <c r="AK142" i="1"/>
  <c r="AK146" i="1"/>
  <c r="AK149" i="1"/>
  <c r="AK157" i="1"/>
  <c r="AK160" i="1"/>
  <c r="AK164" i="1"/>
  <c r="AK166" i="1"/>
  <c r="AK169" i="1"/>
  <c r="AK172" i="1"/>
  <c r="AK174" i="1"/>
  <c r="AK179" i="1"/>
  <c r="AK183" i="1"/>
  <c r="AK185" i="1"/>
  <c r="AK187" i="1"/>
  <c r="AK189" i="1"/>
  <c r="AK191" i="1"/>
  <c r="AK199" i="1"/>
  <c r="AK202" i="1"/>
  <c r="AK208" i="1"/>
  <c r="AK205" i="1"/>
  <c r="AJ279" i="1"/>
  <c r="AJ212" i="1"/>
  <c r="AJ214" i="1"/>
  <c r="AJ282" i="1"/>
  <c r="AJ285" i="1"/>
  <c r="AJ287" i="1"/>
  <c r="AJ289" i="1"/>
  <c r="AJ291" i="1"/>
  <c r="AJ293" i="1"/>
  <c r="AJ295" i="1"/>
  <c r="AJ297" i="1"/>
  <c r="AJ11" i="1"/>
  <c r="AJ13" i="1"/>
  <c r="AJ17" i="1"/>
  <c r="AJ34" i="1"/>
  <c r="AJ40" i="1"/>
  <c r="AJ42" i="1"/>
  <c r="AJ44" i="1"/>
  <c r="AJ47" i="1"/>
  <c r="AJ49" i="1"/>
  <c r="AJ51" i="1"/>
  <c r="AJ53" i="1"/>
  <c r="AJ55" i="1"/>
  <c r="AJ58" i="1"/>
  <c r="AJ60" i="1"/>
  <c r="AJ63" i="1"/>
  <c r="AJ65" i="1"/>
  <c r="AJ68" i="1"/>
  <c r="AJ70" i="1"/>
  <c r="AJ73" i="1"/>
  <c r="AJ75" i="1"/>
  <c r="AJ77" i="1"/>
  <c r="AJ79" i="1"/>
  <c r="AJ81" i="1"/>
  <c r="AJ84" i="1"/>
  <c r="AJ87" i="1"/>
  <c r="AJ100" i="1"/>
  <c r="AJ103" i="1"/>
  <c r="AJ107" i="1"/>
  <c r="AJ109" i="1"/>
  <c r="AJ112" i="1"/>
  <c r="AJ114" i="1"/>
  <c r="AJ116" i="1"/>
  <c r="AJ118" i="1"/>
  <c r="AJ121" i="1"/>
  <c r="AJ125" i="1"/>
  <c r="AJ129" i="1"/>
  <c r="AJ133" i="1"/>
  <c r="AJ135" i="1"/>
  <c r="AJ137" i="1"/>
  <c r="AJ142" i="1"/>
  <c r="AJ146" i="1"/>
  <c r="AJ149" i="1"/>
  <c r="AJ157" i="1"/>
  <c r="AJ160" i="1"/>
  <c r="AJ164" i="1"/>
  <c r="AJ166" i="1"/>
  <c r="AJ169" i="1"/>
  <c r="AJ172" i="1"/>
  <c r="AJ174" i="1"/>
  <c r="AJ179" i="1"/>
  <c r="AJ183" i="1"/>
  <c r="AJ185" i="1"/>
  <c r="AJ187" i="1"/>
  <c r="AJ189" i="1"/>
  <c r="AJ191" i="1"/>
  <c r="AJ199" i="1"/>
  <c r="AJ202" i="1"/>
  <c r="AJ208" i="1"/>
  <c r="AJ205" i="1"/>
  <c r="AI279" i="1"/>
  <c r="AI212" i="1"/>
  <c r="AI214" i="1"/>
  <c r="AI282" i="1"/>
  <c r="AI285" i="1"/>
  <c r="AI287" i="1"/>
  <c r="AI289" i="1"/>
  <c r="AI291" i="1"/>
  <c r="AI293" i="1"/>
  <c r="AI295" i="1"/>
  <c r="AI297" i="1"/>
  <c r="AI11" i="1"/>
  <c r="AI13" i="1"/>
  <c r="AI17" i="1"/>
  <c r="AI34" i="1"/>
  <c r="AI36" i="1"/>
  <c r="AI42" i="1"/>
  <c r="AI44" i="1"/>
  <c r="AI47" i="1"/>
  <c r="AI49" i="1"/>
  <c r="AI51" i="1"/>
  <c r="AI53" i="1"/>
  <c r="AI55" i="1"/>
  <c r="AI58" i="1"/>
  <c r="AI60" i="1"/>
  <c r="AI63" i="1"/>
  <c r="AI65" i="1"/>
  <c r="AI68" i="1"/>
  <c r="AI70" i="1"/>
  <c r="AI73" i="1"/>
  <c r="AI75" i="1"/>
  <c r="AI77" i="1"/>
  <c r="AI79" i="1"/>
  <c r="AI81" i="1"/>
  <c r="AI84" i="1"/>
  <c r="AI87" i="1"/>
  <c r="AI100" i="1"/>
  <c r="AI103" i="1"/>
  <c r="AI107" i="1"/>
  <c r="AI109" i="1"/>
  <c r="AI112" i="1"/>
  <c r="AI114" i="1"/>
  <c r="AI116" i="1"/>
  <c r="AI118" i="1"/>
  <c r="AI121" i="1"/>
  <c r="AI127" i="1"/>
  <c r="AI129" i="1"/>
  <c r="AI133" i="1"/>
  <c r="AI135" i="1"/>
  <c r="AI137" i="1"/>
  <c r="AI142" i="1"/>
  <c r="AI146" i="1"/>
  <c r="AI149" i="1"/>
  <c r="AI157" i="1"/>
  <c r="AI160" i="1"/>
  <c r="AI164" i="1"/>
  <c r="AI166" i="1"/>
  <c r="AI169" i="1"/>
  <c r="AI172" i="1"/>
  <c r="AI174" i="1"/>
  <c r="AI179" i="1"/>
  <c r="AI183" i="1"/>
  <c r="AI185" i="1"/>
  <c r="AI187" i="1"/>
  <c r="AI189" i="1"/>
  <c r="AI191" i="1"/>
  <c r="AI199" i="1"/>
  <c r="AI202" i="1"/>
  <c r="AI208" i="1"/>
  <c r="AI205" i="1"/>
  <c r="AH279" i="1"/>
  <c r="AH212" i="1"/>
  <c r="AH214" i="1"/>
  <c r="AH282" i="1"/>
  <c r="AH285" i="1"/>
  <c r="AH287" i="1"/>
  <c r="AH289" i="1"/>
  <c r="AH291" i="1"/>
  <c r="AH293" i="1"/>
  <c r="AH295" i="1"/>
  <c r="AH297" i="1"/>
  <c r="AH11" i="1"/>
  <c r="AH13" i="1"/>
  <c r="AH17" i="1"/>
  <c r="AH34" i="1"/>
  <c r="AH40" i="1"/>
  <c r="AH42" i="1"/>
  <c r="AH44" i="1"/>
  <c r="AH47" i="1"/>
  <c r="AH49" i="1"/>
  <c r="AH51" i="1"/>
  <c r="AH53" i="1"/>
  <c r="AH55" i="1"/>
  <c r="AH58" i="1"/>
  <c r="AH60" i="1"/>
  <c r="AH63" i="1"/>
  <c r="AH65" i="1"/>
  <c r="AH68" i="1"/>
  <c r="AH70" i="1"/>
  <c r="AH73" i="1"/>
  <c r="AH75" i="1"/>
  <c r="AH77" i="1"/>
  <c r="AH79" i="1"/>
  <c r="AH81" i="1"/>
  <c r="AH84" i="1"/>
  <c r="AH87" i="1"/>
  <c r="AH100" i="1"/>
  <c r="AH103" i="1"/>
  <c r="AH107" i="1"/>
  <c r="AH109" i="1"/>
  <c r="AH112" i="1"/>
  <c r="AH114" i="1"/>
  <c r="AH116" i="1"/>
  <c r="AH118" i="1"/>
  <c r="AH121" i="1"/>
  <c r="AH125" i="1"/>
  <c r="AH129" i="1"/>
  <c r="AH133" i="1"/>
  <c r="AH135" i="1"/>
  <c r="AH137" i="1"/>
  <c r="AH142" i="1"/>
  <c r="AH146" i="1"/>
  <c r="AH149" i="1"/>
  <c r="AH157" i="1"/>
  <c r="AH160" i="1"/>
  <c r="AH164" i="1"/>
  <c r="AH166" i="1"/>
  <c r="AH169" i="1"/>
  <c r="AH172" i="1"/>
  <c r="AH174" i="1"/>
  <c r="AH179" i="1"/>
  <c r="AH183" i="1"/>
  <c r="AH185" i="1"/>
  <c r="AH187" i="1"/>
  <c r="AH189" i="1"/>
  <c r="AH191" i="1"/>
  <c r="AH199" i="1"/>
  <c r="AH202" i="1"/>
  <c r="AH208" i="1"/>
  <c r="AH205" i="1"/>
  <c r="AG279" i="1"/>
  <c r="AG212" i="1"/>
  <c r="AG214" i="1"/>
  <c r="AG282" i="1"/>
  <c r="AG285" i="1"/>
  <c r="AG289" i="1"/>
  <c r="AG291" i="1"/>
  <c r="AG293" i="1"/>
  <c r="AG295" i="1"/>
  <c r="AG297" i="1"/>
  <c r="AG11" i="1"/>
  <c r="AG13" i="1"/>
  <c r="AG17" i="1"/>
  <c r="AG34" i="1"/>
  <c r="AG40" i="1"/>
  <c r="AG42" i="1"/>
  <c r="AG45" i="1"/>
  <c r="AG47" i="1"/>
  <c r="AG49" i="1"/>
  <c r="AG51" i="1"/>
  <c r="AG53" i="1"/>
  <c r="AG55" i="1"/>
  <c r="AG58" i="1"/>
  <c r="AG60" i="1"/>
  <c r="AG63" i="1"/>
  <c r="AG65" i="1"/>
  <c r="AG68" i="1"/>
  <c r="AG70" i="1"/>
  <c r="AG73" i="1"/>
  <c r="AG75" i="1"/>
  <c r="AG77" i="1"/>
  <c r="AG79" i="1"/>
  <c r="AG81" i="1"/>
  <c r="AG84" i="1"/>
  <c r="AG87" i="1"/>
  <c r="AG100" i="1"/>
  <c r="AG103" i="1"/>
  <c r="AG107" i="1"/>
  <c r="AG109" i="1"/>
  <c r="AG112" i="1"/>
  <c r="AG114" i="1"/>
  <c r="AG116" i="1"/>
  <c r="AG118" i="1"/>
  <c r="AG121" i="1"/>
  <c r="AG125" i="1"/>
  <c r="AG129" i="1"/>
  <c r="AG133" i="1"/>
  <c r="AG135" i="1"/>
  <c r="AG137" i="1"/>
  <c r="AG142" i="1"/>
  <c r="AG146" i="1"/>
  <c r="AG149" i="1"/>
  <c r="AG157" i="1"/>
  <c r="AG160" i="1"/>
  <c r="AG164" i="1"/>
  <c r="AG166" i="1"/>
  <c r="AG169" i="1"/>
  <c r="AG172" i="1"/>
  <c r="AG174" i="1"/>
  <c r="AG179" i="1"/>
  <c r="AG183" i="1"/>
  <c r="AG185" i="1"/>
  <c r="AG187" i="1"/>
  <c r="AG189" i="1"/>
  <c r="AG191" i="1"/>
  <c r="AG199" i="1"/>
  <c r="AG202" i="1"/>
  <c r="AG208" i="1"/>
  <c r="AG205" i="1"/>
  <c r="AF279" i="1"/>
  <c r="AF212" i="1"/>
  <c r="AF214" i="1"/>
  <c r="AF282" i="1"/>
  <c r="AF285" i="1"/>
  <c r="AF287" i="1"/>
  <c r="AF289" i="1"/>
  <c r="AF291" i="1"/>
  <c r="AF293" i="1"/>
  <c r="AF295" i="1"/>
  <c r="AF297" i="1"/>
  <c r="AF11" i="1"/>
  <c r="AF13" i="1"/>
  <c r="AF17" i="1"/>
  <c r="AF34" i="1"/>
  <c r="AF36" i="1"/>
  <c r="AF42" i="1"/>
  <c r="AF44" i="1"/>
  <c r="AF47" i="1"/>
  <c r="AF49" i="1"/>
  <c r="AF51" i="1"/>
  <c r="AF53" i="1"/>
  <c r="AF55" i="1"/>
  <c r="AF58" i="1"/>
  <c r="AF60" i="1"/>
  <c r="AF63" i="1"/>
  <c r="AF65" i="1"/>
  <c r="AF68" i="1"/>
  <c r="AF70" i="1"/>
  <c r="AF73" i="1"/>
  <c r="AF75" i="1"/>
  <c r="AF77" i="1"/>
  <c r="AF79" i="1"/>
  <c r="AF81" i="1"/>
  <c r="AF84" i="1"/>
  <c r="AF87" i="1"/>
  <c r="AF100" i="1"/>
  <c r="AF103" i="1"/>
  <c r="AF107" i="1"/>
  <c r="AF109" i="1"/>
  <c r="AF112" i="1"/>
  <c r="AF114" i="1"/>
  <c r="AF116" i="1"/>
  <c r="AF118" i="1"/>
  <c r="AF121" i="1"/>
  <c r="AF125" i="1"/>
  <c r="AF129" i="1"/>
  <c r="AF133" i="1"/>
  <c r="AF135" i="1"/>
  <c r="AF137" i="1"/>
  <c r="AF142" i="1"/>
  <c r="AF146" i="1"/>
  <c r="AF149" i="1"/>
  <c r="AF157" i="1"/>
  <c r="AF160" i="1"/>
  <c r="AF164" i="1"/>
  <c r="AF166" i="1"/>
  <c r="AF169" i="1"/>
  <c r="AF172" i="1"/>
  <c r="AF174" i="1"/>
  <c r="AF179" i="1"/>
  <c r="AF183" i="1"/>
  <c r="AF185" i="1"/>
  <c r="AF187" i="1"/>
  <c r="AF189" i="1"/>
  <c r="AF191" i="1"/>
  <c r="AF199" i="1"/>
  <c r="AF202" i="1"/>
  <c r="AF208" i="1"/>
  <c r="AF205" i="1"/>
  <c r="AE218" i="1"/>
  <c r="AE280" i="1"/>
  <c r="AE213" i="1"/>
  <c r="AE215" i="1"/>
  <c r="AE216" i="1"/>
  <c r="AE283" i="1"/>
  <c r="AE286" i="1"/>
  <c r="AE290" i="1"/>
  <c r="AE296" i="1"/>
  <c r="AE298" i="1"/>
  <c r="AE12" i="1"/>
  <c r="AE14" i="1"/>
  <c r="AE15" i="1"/>
  <c r="AE16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7" i="1"/>
  <c r="AE39" i="1"/>
  <c r="AE41" i="1"/>
  <c r="AE43" i="1"/>
  <c r="AE48" i="1"/>
  <c r="AE50" i="1"/>
  <c r="AE52" i="1"/>
  <c r="AE54" i="1"/>
  <c r="AE56" i="1"/>
  <c r="AE59" i="1"/>
  <c r="AE61" i="1"/>
  <c r="AE64" i="1"/>
  <c r="AE66" i="1"/>
  <c r="AE69" i="1"/>
  <c r="AE71" i="1"/>
  <c r="AE72" i="1"/>
  <c r="AE74" i="1"/>
  <c r="AE76" i="1"/>
  <c r="AE78" i="1"/>
  <c r="AE80" i="1"/>
  <c r="AE82" i="1"/>
  <c r="AE85" i="1"/>
  <c r="AE86" i="1"/>
  <c r="AE88" i="1"/>
  <c r="AE89" i="1"/>
  <c r="AE90" i="1"/>
  <c r="AE93" i="1"/>
  <c r="AE94" i="1"/>
  <c r="AE95" i="1"/>
  <c r="AE96" i="1"/>
  <c r="AE97" i="1"/>
  <c r="AE98" i="1"/>
  <c r="AE101" i="1"/>
  <c r="AE104" i="1"/>
  <c r="AE105" i="1"/>
  <c r="AE108" i="1"/>
  <c r="AE110" i="1"/>
  <c r="AE113" i="1"/>
  <c r="AE115" i="1"/>
  <c r="AE119" i="1"/>
  <c r="AE122" i="1"/>
  <c r="AE123" i="1"/>
  <c r="AE124" i="1"/>
  <c r="AE126" i="1"/>
  <c r="AE128" i="1"/>
  <c r="AE130" i="1"/>
  <c r="AE131" i="1"/>
  <c r="AE132" i="1"/>
  <c r="AE134" i="1"/>
  <c r="AE136" i="1"/>
  <c r="AE138" i="1"/>
  <c r="AE139" i="1"/>
  <c r="AE140" i="1"/>
  <c r="AE143" i="1"/>
  <c r="AE144" i="1"/>
  <c r="AE145" i="1"/>
  <c r="AE147" i="1"/>
  <c r="AE148" i="1"/>
  <c r="AE150" i="1"/>
  <c r="AE151" i="1"/>
  <c r="AE152" i="1"/>
  <c r="AE153" i="1"/>
  <c r="AE154" i="1"/>
  <c r="AE158" i="1"/>
  <c r="AE161" i="1"/>
  <c r="AE162" i="1"/>
  <c r="AE165" i="1"/>
  <c r="AE167" i="1"/>
  <c r="AE168" i="1"/>
  <c r="AE170" i="1"/>
  <c r="AE171" i="1"/>
  <c r="AE173" i="1"/>
  <c r="AE175" i="1"/>
  <c r="AE177" i="1"/>
  <c r="AE178" i="1"/>
  <c r="AE180" i="1"/>
  <c r="AE181" i="1"/>
  <c r="AE182" i="1"/>
  <c r="AE184" i="1"/>
  <c r="AE186" i="1"/>
  <c r="AE188" i="1"/>
  <c r="AE190" i="1"/>
  <c r="AE192" i="1"/>
  <c r="AE193" i="1"/>
  <c r="AE194" i="1"/>
  <c r="AE195" i="1"/>
  <c r="AE196" i="1"/>
  <c r="AE197" i="1"/>
  <c r="AE198" i="1"/>
  <c r="AE200" i="1"/>
  <c r="AE203" i="1"/>
  <c r="AE209" i="1"/>
  <c r="AE210" i="1"/>
  <c r="AE206" i="1"/>
  <c r="AC279" i="1"/>
  <c r="AC212" i="1"/>
  <c r="AC214" i="1"/>
  <c r="AC282" i="1"/>
  <c r="AC285" i="1"/>
  <c r="AC287" i="1"/>
  <c r="AC289" i="1"/>
  <c r="AC291" i="1"/>
  <c r="AC293" i="1"/>
  <c r="AC295" i="1"/>
  <c r="AC297" i="1"/>
  <c r="AC11" i="1"/>
  <c r="AC13" i="1"/>
  <c r="AC17" i="1"/>
  <c r="AC34" i="1"/>
  <c r="AC36" i="1"/>
  <c r="AC42" i="1"/>
  <c r="AC44" i="1"/>
  <c r="AC47" i="1"/>
  <c r="AC49" i="1"/>
  <c r="AC51" i="1"/>
  <c r="AC53" i="1"/>
  <c r="AC55" i="1"/>
  <c r="AC58" i="1"/>
  <c r="AC60" i="1"/>
  <c r="AC63" i="1"/>
  <c r="AC65" i="1"/>
  <c r="AC68" i="1"/>
  <c r="AC70" i="1"/>
  <c r="AC73" i="1"/>
  <c r="AC75" i="1"/>
  <c r="AC77" i="1"/>
  <c r="AC79" i="1"/>
  <c r="AC81" i="1"/>
  <c r="AC84" i="1"/>
  <c r="AC87" i="1"/>
  <c r="AC100" i="1"/>
  <c r="AC103" i="1"/>
  <c r="AC107" i="1"/>
  <c r="AC109" i="1"/>
  <c r="AC112" i="1"/>
  <c r="AC114" i="1"/>
  <c r="AC116" i="1"/>
  <c r="AC118" i="1"/>
  <c r="AC121" i="1"/>
  <c r="AC125" i="1"/>
  <c r="AC129" i="1"/>
  <c r="AC133" i="1"/>
  <c r="AC135" i="1"/>
  <c r="AC137" i="1"/>
  <c r="AC142" i="1"/>
  <c r="AC146" i="1"/>
  <c r="AC149" i="1"/>
  <c r="AC157" i="1"/>
  <c r="AC160" i="1"/>
  <c r="AC164" i="1"/>
  <c r="AC166" i="1"/>
  <c r="AC169" i="1"/>
  <c r="AC172" i="1"/>
  <c r="AC174" i="1"/>
  <c r="AC179" i="1"/>
  <c r="AC183" i="1"/>
  <c r="AC185" i="1"/>
  <c r="AC187" i="1"/>
  <c r="AC189" i="1"/>
  <c r="AC191" i="1"/>
  <c r="AC199" i="1"/>
  <c r="AC202" i="1"/>
  <c r="AC208" i="1"/>
  <c r="AC205" i="1"/>
  <c r="AB279" i="1"/>
  <c r="AB212" i="1"/>
  <c r="AB214" i="1"/>
  <c r="AB282" i="1"/>
  <c r="AB285" i="1"/>
  <c r="AB287" i="1"/>
  <c r="AB289" i="1"/>
  <c r="AB291" i="1"/>
  <c r="AB293" i="1"/>
  <c r="AB295" i="1"/>
  <c r="AB297" i="1"/>
  <c r="AB11" i="1"/>
  <c r="AB13" i="1"/>
  <c r="AB17" i="1"/>
  <c r="AB34" i="1"/>
  <c r="AB40" i="1"/>
  <c r="AB42" i="1"/>
  <c r="AB44" i="1"/>
  <c r="AB47" i="1"/>
  <c r="AB49" i="1"/>
  <c r="AB51" i="1"/>
  <c r="AB53" i="1"/>
  <c r="AB55" i="1"/>
  <c r="AB58" i="1"/>
  <c r="AB60" i="1"/>
  <c r="AB63" i="1"/>
  <c r="AB65" i="1"/>
  <c r="AB68" i="1"/>
  <c r="AB70" i="1"/>
  <c r="AB73" i="1"/>
  <c r="AB75" i="1"/>
  <c r="AB77" i="1"/>
  <c r="AB79" i="1"/>
  <c r="AB81" i="1"/>
  <c r="AB84" i="1"/>
  <c r="AB87" i="1"/>
  <c r="AB100" i="1"/>
  <c r="AB103" i="1"/>
  <c r="AB107" i="1"/>
  <c r="AB109" i="1"/>
  <c r="AB112" i="1"/>
  <c r="AB114" i="1"/>
  <c r="AB116" i="1"/>
  <c r="AB118" i="1"/>
  <c r="AB121" i="1"/>
  <c r="AB125" i="1"/>
  <c r="AB129" i="1"/>
  <c r="AB133" i="1"/>
  <c r="AB135" i="1"/>
  <c r="AB137" i="1"/>
  <c r="AB142" i="1"/>
  <c r="AB146" i="1"/>
  <c r="AB149" i="1"/>
  <c r="AB157" i="1"/>
  <c r="AB160" i="1"/>
  <c r="AB164" i="1"/>
  <c r="AB166" i="1"/>
  <c r="AB169" i="1"/>
  <c r="AB172" i="1"/>
  <c r="AB174" i="1"/>
  <c r="AB179" i="1"/>
  <c r="AB183" i="1"/>
  <c r="AB185" i="1"/>
  <c r="AB187" i="1"/>
  <c r="AB189" i="1"/>
  <c r="AB191" i="1"/>
  <c r="AB199" i="1"/>
  <c r="AB202" i="1"/>
  <c r="AB208" i="1"/>
  <c r="AB205" i="1"/>
  <c r="AA279" i="1"/>
  <c r="AA212" i="1"/>
  <c r="AA214" i="1"/>
  <c r="AA282" i="1"/>
  <c r="AA285" i="1"/>
  <c r="AA287" i="1"/>
  <c r="AA289" i="1"/>
  <c r="AA291" i="1"/>
  <c r="AA293" i="1"/>
  <c r="AA295" i="1"/>
  <c r="AA297" i="1"/>
  <c r="AA11" i="1"/>
  <c r="AA13" i="1"/>
  <c r="AA30" i="1"/>
  <c r="AA34" i="1"/>
  <c r="AA40" i="1"/>
  <c r="AA42" i="1"/>
  <c r="AA44" i="1"/>
  <c r="AA47" i="1"/>
  <c r="AA49" i="1"/>
  <c r="AA51" i="1"/>
  <c r="AA53" i="1"/>
  <c r="AA55" i="1"/>
  <c r="AA58" i="1"/>
  <c r="AA60" i="1"/>
  <c r="AA63" i="1"/>
  <c r="AA65" i="1"/>
  <c r="AA68" i="1"/>
  <c r="AA70" i="1"/>
  <c r="AA73" i="1"/>
  <c r="AA75" i="1"/>
  <c r="AA77" i="1"/>
  <c r="AA79" i="1"/>
  <c r="AA81" i="1"/>
  <c r="AA84" i="1"/>
  <c r="AA87" i="1"/>
  <c r="AA100" i="1"/>
  <c r="AA103" i="1"/>
  <c r="AA107" i="1"/>
  <c r="AA109" i="1"/>
  <c r="AA112" i="1"/>
  <c r="AA114" i="1"/>
  <c r="AA116" i="1"/>
  <c r="AA118" i="1"/>
  <c r="AA121" i="1"/>
  <c r="AA125" i="1"/>
  <c r="AA129" i="1"/>
  <c r="AA133" i="1"/>
  <c r="AA135" i="1"/>
  <c r="AA137" i="1"/>
  <c r="AA142" i="1"/>
  <c r="AA146" i="1"/>
  <c r="AA149" i="1"/>
  <c r="AA157" i="1"/>
  <c r="AA160" i="1"/>
  <c r="AA164" i="1"/>
  <c r="AA168" i="1"/>
  <c r="AA169" i="1"/>
  <c r="AA172" i="1"/>
  <c r="AA174" i="1"/>
  <c r="AA179" i="1"/>
  <c r="AA183" i="1"/>
  <c r="AA185" i="1"/>
  <c r="AA187" i="1"/>
  <c r="AA189" i="1"/>
  <c r="AA191" i="1"/>
  <c r="AA199" i="1"/>
  <c r="AA202" i="1"/>
  <c r="AA208" i="1"/>
  <c r="AA205" i="1"/>
  <c r="Z279" i="1"/>
  <c r="Z212" i="1"/>
  <c r="Z214" i="1"/>
  <c r="Z282" i="1"/>
  <c r="Z285" i="1"/>
  <c r="Z289" i="1"/>
  <c r="Z291" i="1"/>
  <c r="Z293" i="1"/>
  <c r="Z295" i="1"/>
  <c r="Z297" i="1"/>
  <c r="Z11" i="1"/>
  <c r="Z13" i="1"/>
  <c r="Z17" i="1"/>
  <c r="Z34" i="1"/>
  <c r="Z36" i="1"/>
  <c r="Z42" i="1"/>
  <c r="Z44" i="1"/>
  <c r="Z47" i="1"/>
  <c r="Z49" i="1"/>
  <c r="Z51" i="1"/>
  <c r="Z53" i="1"/>
  <c r="Z55" i="1"/>
  <c r="Z58" i="1"/>
  <c r="Z60" i="1"/>
  <c r="Z63" i="1"/>
  <c r="Z65" i="1"/>
  <c r="Z69" i="1"/>
  <c r="Z70" i="1"/>
  <c r="Z73" i="1"/>
  <c r="Z75" i="1"/>
  <c r="Z77" i="1"/>
  <c r="Z79" i="1"/>
  <c r="Z81" i="1"/>
  <c r="Z84" i="1"/>
  <c r="Z87" i="1"/>
  <c r="Z100" i="1"/>
  <c r="Z103" i="1"/>
  <c r="Z107" i="1"/>
  <c r="Z109" i="1"/>
  <c r="Z112" i="1"/>
  <c r="Z114" i="1"/>
  <c r="Z116" i="1"/>
  <c r="Z118" i="1"/>
  <c r="Z121" i="1"/>
  <c r="Z125" i="1"/>
  <c r="Z129" i="1"/>
  <c r="Z133" i="1"/>
  <c r="Z135" i="1"/>
  <c r="Z137" i="1"/>
  <c r="Z142" i="1"/>
  <c r="Z146" i="1"/>
  <c r="Z149" i="1"/>
  <c r="Z157" i="1"/>
  <c r="Z160" i="1"/>
  <c r="Z164" i="1"/>
  <c r="Z166" i="1"/>
  <c r="Z169" i="1"/>
  <c r="Z172" i="1"/>
  <c r="Z174" i="1"/>
  <c r="Z179" i="1"/>
  <c r="Z183" i="1"/>
  <c r="Z185" i="1"/>
  <c r="Z187" i="1"/>
  <c r="Z189" i="1"/>
  <c r="Z191" i="1"/>
  <c r="Z199" i="1"/>
  <c r="Z202" i="1"/>
  <c r="Z208" i="1"/>
  <c r="Z205" i="1"/>
  <c r="Y279" i="1"/>
  <c r="Y212" i="1"/>
  <c r="Y282" i="1"/>
  <c r="Y285" i="1"/>
  <c r="Y287" i="1"/>
  <c r="Y289" i="1"/>
  <c r="Y291" i="1"/>
  <c r="Y293" i="1"/>
  <c r="Y295" i="1"/>
  <c r="Y297" i="1"/>
  <c r="Y11" i="1"/>
  <c r="Y17" i="1"/>
  <c r="Y34" i="1"/>
  <c r="Y36" i="1"/>
  <c r="Y42" i="1"/>
  <c r="Y44" i="1"/>
  <c r="Y47" i="1"/>
  <c r="Y49" i="1"/>
  <c r="Y51" i="1"/>
  <c r="Y55" i="1"/>
  <c r="Y58" i="1"/>
  <c r="Y60" i="1"/>
  <c r="Y63" i="1"/>
  <c r="Y65" i="1"/>
  <c r="Y69" i="1"/>
  <c r="Y70" i="1"/>
  <c r="Y73" i="1"/>
  <c r="Y75" i="1"/>
  <c r="Y77" i="1"/>
  <c r="Y79" i="1"/>
  <c r="Y81" i="1"/>
  <c r="Y84" i="1"/>
  <c r="Y87" i="1"/>
  <c r="Y100" i="1"/>
  <c r="Y103" i="1"/>
  <c r="Y107" i="1"/>
  <c r="Y109" i="1"/>
  <c r="Y112" i="1"/>
  <c r="Y114" i="1"/>
  <c r="Y116" i="1"/>
  <c r="Y118" i="1"/>
  <c r="Y121" i="1"/>
  <c r="Y125" i="1"/>
  <c r="Y129" i="1"/>
  <c r="Y133" i="1"/>
  <c r="Y135" i="1"/>
  <c r="Y137" i="1"/>
  <c r="Y142" i="1"/>
  <c r="Y146" i="1"/>
  <c r="Y149" i="1"/>
  <c r="Y157" i="1"/>
  <c r="Y160" i="1"/>
  <c r="Y164" i="1"/>
  <c r="Y166" i="1"/>
  <c r="Y169" i="1"/>
  <c r="Y172" i="1"/>
  <c r="Y174" i="1"/>
  <c r="Y179" i="1"/>
  <c r="Y183" i="1"/>
  <c r="Y185" i="1"/>
  <c r="Y187" i="1"/>
  <c r="Y189" i="1"/>
  <c r="Y191" i="1"/>
  <c r="Y199" i="1"/>
  <c r="Y202" i="1"/>
  <c r="Y208" i="1"/>
  <c r="Y205" i="1"/>
  <c r="X279" i="1"/>
  <c r="X212" i="1"/>
  <c r="X214" i="1"/>
  <c r="X282" i="1"/>
  <c r="X285" i="1"/>
  <c r="X289" i="1"/>
  <c r="X291" i="1"/>
  <c r="X293" i="1"/>
  <c r="X295" i="1"/>
  <c r="X297" i="1"/>
  <c r="X11" i="1"/>
  <c r="X13" i="1"/>
  <c r="X17" i="1"/>
  <c r="X34" i="1"/>
  <c r="X36" i="1"/>
  <c r="X42" i="1"/>
  <c r="X44" i="1"/>
  <c r="X47" i="1"/>
  <c r="X49" i="1"/>
  <c r="X51" i="1"/>
  <c r="X53" i="1"/>
  <c r="X55" i="1"/>
  <c r="X58" i="1"/>
  <c r="X60" i="1"/>
  <c r="X63" i="1"/>
  <c r="X65" i="1"/>
  <c r="X69" i="1"/>
  <c r="X70" i="1"/>
  <c r="X73" i="1"/>
  <c r="X75" i="1"/>
  <c r="X77" i="1"/>
  <c r="X79" i="1"/>
  <c r="X81" i="1"/>
  <c r="X84" i="1"/>
  <c r="X87" i="1"/>
  <c r="X100" i="1"/>
  <c r="X103" i="1"/>
  <c r="X107" i="1"/>
  <c r="X109" i="1"/>
  <c r="X112" i="1"/>
  <c r="X114" i="1"/>
  <c r="X116" i="1"/>
  <c r="X118" i="1"/>
  <c r="X121" i="1"/>
  <c r="X125" i="1"/>
  <c r="X132" i="1"/>
  <c r="X133" i="1"/>
  <c r="X135" i="1"/>
  <c r="X137" i="1"/>
  <c r="X143" i="1"/>
  <c r="X146" i="1"/>
  <c r="X150" i="1"/>
  <c r="X157" i="1"/>
  <c r="X160" i="1"/>
  <c r="X164" i="1"/>
  <c r="X166" i="1"/>
  <c r="X169" i="1"/>
  <c r="X172" i="1"/>
  <c r="X174" i="1"/>
  <c r="X179" i="1"/>
  <c r="X183" i="1"/>
  <c r="X185" i="1"/>
  <c r="X187" i="1"/>
  <c r="X189" i="1"/>
  <c r="X191" i="1"/>
  <c r="X199" i="1"/>
  <c r="X202" i="1"/>
  <c r="X208" i="1"/>
  <c r="X205" i="1"/>
  <c r="W279" i="1"/>
  <c r="W212" i="1"/>
  <c r="W214" i="1"/>
  <c r="W282" i="1"/>
  <c r="W285" i="1"/>
  <c r="W287" i="1"/>
  <c r="W289" i="1"/>
  <c r="W291" i="1"/>
  <c r="W293" i="1"/>
  <c r="W295" i="1"/>
  <c r="W297" i="1"/>
  <c r="W11" i="1"/>
  <c r="W15" i="1"/>
  <c r="W17" i="1"/>
  <c r="W34" i="1"/>
  <c r="W40" i="1"/>
  <c r="W42" i="1"/>
  <c r="W45" i="1"/>
  <c r="W47" i="1"/>
  <c r="W49" i="1"/>
  <c r="W51" i="1"/>
  <c r="W53" i="1"/>
  <c r="W55" i="1"/>
  <c r="W58" i="1"/>
  <c r="W60" i="1"/>
  <c r="W63" i="1"/>
  <c r="W65" i="1"/>
  <c r="W68" i="1"/>
  <c r="W70" i="1"/>
  <c r="W73" i="1"/>
  <c r="W75" i="1"/>
  <c r="W77" i="1"/>
  <c r="W79" i="1"/>
  <c r="W81" i="1"/>
  <c r="W84" i="1"/>
  <c r="W87" i="1"/>
  <c r="W100" i="1"/>
  <c r="W103" i="1"/>
  <c r="W107" i="1"/>
  <c r="W109" i="1"/>
  <c r="W112" i="1"/>
  <c r="W114" i="1"/>
  <c r="W116" i="1"/>
  <c r="W118" i="1"/>
  <c r="W121" i="1"/>
  <c r="W125" i="1"/>
  <c r="W129" i="1"/>
  <c r="W133" i="1"/>
  <c r="W135" i="1"/>
  <c r="W137" i="1"/>
  <c r="W142" i="1"/>
  <c r="W146" i="1"/>
  <c r="W149" i="1"/>
  <c r="W157" i="1"/>
  <c r="W160" i="1"/>
  <c r="W164" i="1"/>
  <c r="W166" i="1"/>
  <c r="W169" i="1"/>
  <c r="W172" i="1"/>
  <c r="W174" i="1"/>
  <c r="W179" i="1"/>
  <c r="W183" i="1"/>
  <c r="W185" i="1"/>
  <c r="W187" i="1"/>
  <c r="W189" i="1"/>
  <c r="W191" i="1"/>
  <c r="W199" i="1"/>
  <c r="W202" i="1"/>
  <c r="W208" i="1"/>
  <c r="W205" i="1"/>
  <c r="V218" i="1"/>
  <c r="V280" i="1"/>
  <c r="V215" i="1"/>
  <c r="V213" i="1"/>
  <c r="V283" i="1"/>
  <c r="V286" i="1"/>
  <c r="V290" i="1"/>
  <c r="V292" i="1"/>
  <c r="V294" i="1"/>
  <c r="V296" i="1"/>
  <c r="V298" i="1"/>
  <c r="V12" i="1"/>
  <c r="V14" i="1"/>
  <c r="V16" i="1"/>
  <c r="V18" i="1"/>
  <c r="V19" i="1"/>
  <c r="V20" i="1"/>
  <c r="V21" i="1"/>
  <c r="V22" i="1"/>
  <c r="V23" i="1"/>
  <c r="V24" i="1"/>
  <c r="V25" i="1"/>
  <c r="V26" i="1"/>
  <c r="V27" i="1"/>
  <c r="V28" i="1"/>
  <c r="V29" i="1"/>
  <c r="V31" i="1"/>
  <c r="V32" i="1"/>
  <c r="V33" i="1"/>
  <c r="V35" i="1"/>
  <c r="V37" i="1"/>
  <c r="V38" i="1"/>
  <c r="V39" i="1"/>
  <c r="V43" i="1"/>
  <c r="V48" i="1"/>
  <c r="V50" i="1"/>
  <c r="V52" i="1"/>
  <c r="V56" i="1"/>
  <c r="V59" i="1"/>
  <c r="V61" i="1"/>
  <c r="V64" i="1"/>
  <c r="V66" i="1"/>
  <c r="V71" i="1"/>
  <c r="V72" i="1"/>
  <c r="V74" i="1"/>
  <c r="V76" i="1"/>
  <c r="V78" i="1"/>
  <c r="V80" i="1"/>
  <c r="V82" i="1"/>
  <c r="V85" i="1"/>
  <c r="V86" i="1"/>
  <c r="V88" i="1"/>
  <c r="V89" i="1"/>
  <c r="V90" i="1"/>
  <c r="V93" i="1"/>
  <c r="V94" i="1"/>
  <c r="V95" i="1"/>
  <c r="V96" i="1"/>
  <c r="V97" i="1"/>
  <c r="V98" i="1"/>
  <c r="V101" i="1"/>
  <c r="V104" i="1"/>
  <c r="V105" i="1"/>
  <c r="V108" i="1"/>
  <c r="V110" i="1"/>
  <c r="V113" i="1"/>
  <c r="V115" i="1"/>
  <c r="V117" i="1"/>
  <c r="V119" i="1"/>
  <c r="V122" i="1"/>
  <c r="V123" i="1"/>
  <c r="V124" i="1"/>
  <c r="V126" i="1"/>
  <c r="V127" i="1"/>
  <c r="V128" i="1"/>
  <c r="V130" i="1"/>
  <c r="V131" i="1"/>
  <c r="V134" i="1"/>
  <c r="V136" i="1"/>
  <c r="V138" i="1"/>
  <c r="V139" i="1"/>
  <c r="V140" i="1"/>
  <c r="V144" i="1"/>
  <c r="V145" i="1"/>
  <c r="V147" i="1"/>
  <c r="V148" i="1"/>
  <c r="V151" i="1"/>
  <c r="V152" i="1"/>
  <c r="V153" i="1"/>
  <c r="V154" i="1"/>
  <c r="V158" i="1"/>
  <c r="V159" i="1"/>
  <c r="V161" i="1"/>
  <c r="V162" i="1"/>
  <c r="V165" i="1"/>
  <c r="V167" i="1"/>
  <c r="V170" i="1"/>
  <c r="V171" i="1"/>
  <c r="V173" i="1"/>
  <c r="V175" i="1"/>
  <c r="V177" i="1"/>
  <c r="V178" i="1"/>
  <c r="V180" i="1"/>
  <c r="V181" i="1"/>
  <c r="V182" i="1"/>
  <c r="V184" i="1"/>
  <c r="V186" i="1"/>
  <c r="V188" i="1"/>
  <c r="V190" i="1"/>
  <c r="V192" i="1"/>
  <c r="V193" i="1"/>
  <c r="V194" i="1"/>
  <c r="V195" i="1"/>
  <c r="V196" i="1"/>
  <c r="V197" i="1"/>
  <c r="V198" i="1"/>
  <c r="V200" i="1"/>
  <c r="V203" i="1"/>
  <c r="V209" i="1"/>
  <c r="V210" i="1"/>
  <c r="V206" i="1"/>
  <c r="U279" i="1"/>
  <c r="U212" i="1"/>
  <c r="U214" i="1"/>
  <c r="U282" i="1"/>
  <c r="U285" i="1"/>
  <c r="U287" i="1"/>
  <c r="U289" i="1"/>
  <c r="U291" i="1"/>
  <c r="U293" i="1"/>
  <c r="U295" i="1"/>
  <c r="U297" i="1"/>
  <c r="U11" i="1"/>
  <c r="U13" i="1"/>
  <c r="U17" i="1"/>
  <c r="U34" i="1"/>
  <c r="U36" i="1"/>
  <c r="U43" i="1"/>
  <c r="U44" i="1"/>
  <c r="U47" i="1"/>
  <c r="U49" i="1"/>
  <c r="U51" i="1"/>
  <c r="U53" i="1"/>
  <c r="U55" i="1"/>
  <c r="U58" i="1"/>
  <c r="U60" i="1"/>
  <c r="U63" i="1"/>
  <c r="U65" i="1"/>
  <c r="U68" i="1"/>
  <c r="U70" i="1"/>
  <c r="U73" i="1"/>
  <c r="U75" i="1"/>
  <c r="U77" i="1"/>
  <c r="U79" i="1"/>
  <c r="U81" i="1"/>
  <c r="U84" i="1"/>
  <c r="U87" i="1"/>
  <c r="U100" i="1"/>
  <c r="U103" i="1"/>
  <c r="U107" i="1"/>
  <c r="U109" i="1"/>
  <c r="U112" i="1"/>
  <c r="U114" i="1"/>
  <c r="U116" i="1"/>
  <c r="U118" i="1"/>
  <c r="U121" i="1"/>
  <c r="U125" i="1"/>
  <c r="U129" i="1"/>
  <c r="U133" i="1"/>
  <c r="U135" i="1"/>
  <c r="U137" i="1"/>
  <c r="U142" i="1"/>
  <c r="U146" i="1"/>
  <c r="U149" i="1"/>
  <c r="U157" i="1"/>
  <c r="U160" i="1"/>
  <c r="U164" i="1"/>
  <c r="U166" i="1"/>
  <c r="U169" i="1"/>
  <c r="U172" i="1"/>
  <c r="U174" i="1"/>
  <c r="U179" i="1"/>
  <c r="U183" i="1"/>
  <c r="U185" i="1"/>
  <c r="U187" i="1"/>
  <c r="U189" i="1"/>
  <c r="U191" i="1"/>
  <c r="U199" i="1"/>
  <c r="U202" i="1"/>
  <c r="U208" i="1"/>
  <c r="U205" i="1"/>
  <c r="T279" i="1"/>
  <c r="T212" i="1"/>
  <c r="T214" i="1"/>
  <c r="T282" i="1"/>
  <c r="T285" i="1"/>
  <c r="T287" i="1"/>
  <c r="T289" i="1"/>
  <c r="T291" i="1"/>
  <c r="T293" i="1"/>
  <c r="T295" i="1"/>
  <c r="T297" i="1"/>
  <c r="T11" i="1"/>
  <c r="T13" i="1"/>
  <c r="T17" i="1"/>
  <c r="T34" i="1"/>
  <c r="T36" i="1"/>
  <c r="T42" i="1"/>
  <c r="T44" i="1"/>
  <c r="T47" i="1"/>
  <c r="T49" i="1"/>
  <c r="T51" i="1"/>
  <c r="T53" i="1"/>
  <c r="T55" i="1"/>
  <c r="T58" i="1"/>
  <c r="T60" i="1"/>
  <c r="T63" i="1"/>
  <c r="T65" i="1"/>
  <c r="T68" i="1"/>
  <c r="T70" i="1"/>
  <c r="T73" i="1"/>
  <c r="T75" i="1"/>
  <c r="T77" i="1"/>
  <c r="T79" i="1"/>
  <c r="T81" i="1"/>
  <c r="T84" i="1"/>
  <c r="T87" i="1"/>
  <c r="T100" i="1"/>
  <c r="T103" i="1"/>
  <c r="T107" i="1"/>
  <c r="T109" i="1"/>
  <c r="T112" i="1"/>
  <c r="T114" i="1"/>
  <c r="T116" i="1"/>
  <c r="T118" i="1"/>
  <c r="T121" i="1"/>
  <c r="T125" i="1"/>
  <c r="T129" i="1"/>
  <c r="T133" i="1"/>
  <c r="T135" i="1"/>
  <c r="T137" i="1"/>
  <c r="T142" i="1"/>
  <c r="T146" i="1"/>
  <c r="T149" i="1"/>
  <c r="T157" i="1"/>
  <c r="T160" i="1"/>
  <c r="T164" i="1"/>
  <c r="T166" i="1"/>
  <c r="T169" i="1"/>
  <c r="T172" i="1"/>
  <c r="T174" i="1"/>
  <c r="T179" i="1"/>
  <c r="T183" i="1"/>
  <c r="T185" i="1"/>
  <c r="T187" i="1"/>
  <c r="T189" i="1"/>
  <c r="T191" i="1"/>
  <c r="T199" i="1"/>
  <c r="T202" i="1"/>
  <c r="T208" i="1"/>
  <c r="T205" i="1"/>
  <c r="S279" i="1"/>
  <c r="S212" i="1"/>
  <c r="S214" i="1"/>
  <c r="S282" i="1"/>
  <c r="S285" i="1"/>
  <c r="S287" i="1"/>
  <c r="S289" i="1"/>
  <c r="S291" i="1"/>
  <c r="S293" i="1"/>
  <c r="S295" i="1"/>
  <c r="S297" i="1"/>
  <c r="S11" i="1"/>
  <c r="S16" i="1"/>
  <c r="S17" i="1"/>
  <c r="S34" i="1"/>
  <c r="S36" i="1"/>
  <c r="S42" i="1"/>
  <c r="S44" i="1"/>
  <c r="S47" i="1"/>
  <c r="S49" i="1"/>
  <c r="S51" i="1"/>
  <c r="S53" i="1"/>
  <c r="S55" i="1"/>
  <c r="S58" i="1"/>
  <c r="S60" i="1"/>
  <c r="S63" i="1"/>
  <c r="S65" i="1"/>
  <c r="S68" i="1"/>
  <c r="S70" i="1"/>
  <c r="S73" i="1"/>
  <c r="S75" i="1"/>
  <c r="S77" i="1"/>
  <c r="S79" i="1"/>
  <c r="S81" i="1"/>
  <c r="S84" i="1"/>
  <c r="S87" i="1"/>
  <c r="S100" i="1"/>
  <c r="S103" i="1"/>
  <c r="S107" i="1"/>
  <c r="S109" i="1"/>
  <c r="S112" i="1"/>
  <c r="S114" i="1"/>
  <c r="S116" i="1"/>
  <c r="S118" i="1"/>
  <c r="S121" i="1"/>
  <c r="S125" i="1"/>
  <c r="S129" i="1"/>
  <c r="S133" i="1"/>
  <c r="S135" i="1"/>
  <c r="S137" i="1"/>
  <c r="S142" i="1"/>
  <c r="S146" i="1"/>
  <c r="S149" i="1"/>
  <c r="S157" i="1"/>
  <c r="S160" i="1"/>
  <c r="S164" i="1"/>
  <c r="S166" i="1"/>
  <c r="S169" i="1"/>
  <c r="S172" i="1"/>
  <c r="S174" i="1"/>
  <c r="S179" i="1"/>
  <c r="S183" i="1"/>
  <c r="S185" i="1"/>
  <c r="S187" i="1"/>
  <c r="S189" i="1"/>
  <c r="S191" i="1"/>
  <c r="S199" i="1"/>
  <c r="S202" i="1"/>
  <c r="S208" i="1"/>
  <c r="S205" i="1"/>
  <c r="R279" i="1"/>
  <c r="R212" i="1"/>
  <c r="R214" i="1"/>
  <c r="R282" i="1"/>
  <c r="R285" i="1"/>
  <c r="R287" i="1"/>
  <c r="R289" i="1"/>
  <c r="R291" i="1"/>
  <c r="R293" i="1"/>
  <c r="R295" i="1"/>
  <c r="R297" i="1"/>
  <c r="R11" i="1"/>
  <c r="R13" i="1"/>
  <c r="R17" i="1"/>
  <c r="R34" i="1"/>
  <c r="R36" i="1"/>
  <c r="R42" i="1"/>
  <c r="R44" i="1"/>
  <c r="R47" i="1"/>
  <c r="R49" i="1"/>
  <c r="R51" i="1"/>
  <c r="R53" i="1"/>
  <c r="R55" i="1"/>
  <c r="R58" i="1"/>
  <c r="R60" i="1"/>
  <c r="R63" i="1"/>
  <c r="R65" i="1"/>
  <c r="R68" i="1"/>
  <c r="R70" i="1"/>
  <c r="R73" i="1"/>
  <c r="R75" i="1"/>
  <c r="R77" i="1"/>
  <c r="R79" i="1"/>
  <c r="R81" i="1"/>
  <c r="R84" i="1"/>
  <c r="R87" i="1"/>
  <c r="R100" i="1"/>
  <c r="R103" i="1"/>
  <c r="R107" i="1"/>
  <c r="R109" i="1"/>
  <c r="R112" i="1"/>
  <c r="R114" i="1"/>
  <c r="R116" i="1"/>
  <c r="R118" i="1"/>
  <c r="R121" i="1"/>
  <c r="R125" i="1"/>
  <c r="R131" i="1"/>
  <c r="R133" i="1"/>
  <c r="R135" i="1"/>
  <c r="R137" i="1"/>
  <c r="R142" i="1"/>
  <c r="R146" i="1"/>
  <c r="R149" i="1"/>
  <c r="R157" i="1"/>
  <c r="R160" i="1"/>
  <c r="R164" i="1"/>
  <c r="R166" i="1"/>
  <c r="R169" i="1"/>
  <c r="R172" i="1"/>
  <c r="R174" i="1"/>
  <c r="R179" i="1"/>
  <c r="R183" i="1"/>
  <c r="R185" i="1"/>
  <c r="R187" i="1"/>
  <c r="R189" i="1"/>
  <c r="R191" i="1"/>
  <c r="R199" i="1"/>
  <c r="R202" i="1"/>
  <c r="R208" i="1"/>
  <c r="R205" i="1"/>
  <c r="Q218" i="1"/>
  <c r="Q280" i="1"/>
  <c r="Q215" i="1"/>
  <c r="Q216" i="1"/>
  <c r="Q213" i="1"/>
  <c r="Q283" i="1"/>
  <c r="Q286" i="1"/>
  <c r="Q288" i="1"/>
  <c r="Q290" i="1"/>
  <c r="Q292" i="1"/>
  <c r="Q294" i="1"/>
  <c r="Q296" i="1"/>
  <c r="Q298" i="1"/>
  <c r="Q12" i="1"/>
  <c r="Q14" i="1"/>
  <c r="Q15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5" i="1"/>
  <c r="Q37" i="1"/>
  <c r="Q38" i="1"/>
  <c r="Q39" i="1"/>
  <c r="Q40" i="1"/>
  <c r="Q41" i="1"/>
  <c r="Q43" i="1"/>
  <c r="Q45" i="1"/>
  <c r="Q48" i="1"/>
  <c r="Q50" i="1"/>
  <c r="Q52" i="1"/>
  <c r="Q54" i="1"/>
  <c r="Q56" i="1"/>
  <c r="Q59" i="1"/>
  <c r="Q61" i="1"/>
  <c r="Q64" i="1"/>
  <c r="Q66" i="1"/>
  <c r="Q69" i="1"/>
  <c r="Q71" i="1"/>
  <c r="Q72" i="1"/>
  <c r="Q74" i="1"/>
  <c r="Q76" i="1"/>
  <c r="Q78" i="1"/>
  <c r="Q80" i="1"/>
  <c r="Q82" i="1"/>
  <c r="Q85" i="1"/>
  <c r="Q86" i="1"/>
  <c r="Q88" i="1"/>
  <c r="Q89" i="1"/>
  <c r="Q90" i="1"/>
  <c r="Q93" i="1"/>
  <c r="Q94" i="1"/>
  <c r="Q95" i="1"/>
  <c r="Q96" i="1"/>
  <c r="Q97" i="1"/>
  <c r="Q98" i="1"/>
  <c r="Q101" i="1"/>
  <c r="Q104" i="1"/>
  <c r="Q105" i="1"/>
  <c r="Q108" i="1"/>
  <c r="Q110" i="1"/>
  <c r="Q113" i="1"/>
  <c r="Q115" i="1"/>
  <c r="Q117" i="1"/>
  <c r="Q119" i="1"/>
  <c r="Q122" i="1"/>
  <c r="Q123" i="1"/>
  <c r="Q124" i="1"/>
  <c r="Q126" i="1"/>
  <c r="Q127" i="1"/>
  <c r="Q128" i="1"/>
  <c r="Q130" i="1"/>
  <c r="Q132" i="1"/>
  <c r="Q134" i="1"/>
  <c r="Q136" i="1"/>
  <c r="Q138" i="1"/>
  <c r="Q139" i="1"/>
  <c r="Q140" i="1"/>
  <c r="Q143" i="1"/>
  <c r="Q144" i="1"/>
  <c r="Q145" i="1"/>
  <c r="Q147" i="1"/>
  <c r="Q148" i="1"/>
  <c r="Q150" i="1"/>
  <c r="Q151" i="1"/>
  <c r="Q152" i="1"/>
  <c r="Q153" i="1"/>
  <c r="Q154" i="1"/>
  <c r="Q158" i="1"/>
  <c r="Q159" i="1"/>
  <c r="Q161" i="1"/>
  <c r="Q162" i="1"/>
  <c r="Q165" i="1"/>
  <c r="Q167" i="1"/>
  <c r="Q168" i="1"/>
  <c r="Q170" i="1"/>
  <c r="Q171" i="1"/>
  <c r="Q173" i="1"/>
  <c r="Q175" i="1"/>
  <c r="Q177" i="1"/>
  <c r="Q178" i="1"/>
  <c r="Q180" i="1"/>
  <c r="Q181" i="1"/>
  <c r="Q182" i="1"/>
  <c r="Q184" i="1"/>
  <c r="Q186" i="1"/>
  <c r="Q188" i="1"/>
  <c r="Q190" i="1"/>
  <c r="Q192" i="1"/>
  <c r="Q193" i="1"/>
  <c r="Q194" i="1"/>
  <c r="Q195" i="1"/>
  <c r="Q196" i="1"/>
  <c r="Q197" i="1"/>
  <c r="Q198" i="1"/>
  <c r="Q200" i="1"/>
  <c r="Q203" i="1"/>
  <c r="Q209" i="1"/>
  <c r="Q210" i="1"/>
  <c r="Q206" i="1"/>
  <c r="P279" i="1"/>
  <c r="P212" i="1"/>
  <c r="P214" i="1"/>
  <c r="P282" i="1"/>
  <c r="P285" i="1"/>
  <c r="P287" i="1"/>
  <c r="P289" i="1"/>
  <c r="P291" i="1"/>
  <c r="P293" i="1"/>
  <c r="P295" i="1"/>
  <c r="P297" i="1"/>
  <c r="P11" i="1"/>
  <c r="P13" i="1"/>
  <c r="P18" i="1"/>
  <c r="P19" i="1"/>
  <c r="P30" i="1"/>
  <c r="P34" i="1"/>
  <c r="P40" i="1"/>
  <c r="P42" i="1"/>
  <c r="P44" i="1"/>
  <c r="P47" i="1"/>
  <c r="P49" i="1"/>
  <c r="P51" i="1"/>
  <c r="P53" i="1"/>
  <c r="P55" i="1"/>
  <c r="P58" i="1"/>
  <c r="P60" i="1"/>
  <c r="P63" i="1"/>
  <c r="P65" i="1"/>
  <c r="P68" i="1"/>
  <c r="P70" i="1"/>
  <c r="P73" i="1"/>
  <c r="P75" i="1"/>
  <c r="P77" i="1"/>
  <c r="P79" i="1"/>
  <c r="P81" i="1"/>
  <c r="P84" i="1"/>
  <c r="P87" i="1"/>
  <c r="P100" i="1"/>
  <c r="P103" i="1"/>
  <c r="P107" i="1"/>
  <c r="P109" i="1"/>
  <c r="P112" i="1"/>
  <c r="P114" i="1"/>
  <c r="P116" i="1"/>
  <c r="P118" i="1"/>
  <c r="P121" i="1"/>
  <c r="P127" i="1"/>
  <c r="P132" i="1"/>
  <c r="P133" i="1"/>
  <c r="P135" i="1"/>
  <c r="P137" i="1"/>
  <c r="P142" i="1"/>
  <c r="P146" i="1"/>
  <c r="P149" i="1"/>
  <c r="P157" i="1"/>
  <c r="P160" i="1"/>
  <c r="P164" i="1"/>
  <c r="P166" i="1"/>
  <c r="P169" i="1"/>
  <c r="P172" i="1"/>
  <c r="P174" i="1"/>
  <c r="P179" i="1"/>
  <c r="P183" i="1"/>
  <c r="P185" i="1"/>
  <c r="P187" i="1"/>
  <c r="P189" i="1"/>
  <c r="P191" i="1"/>
  <c r="P199" i="1"/>
  <c r="P202" i="1"/>
  <c r="P208" i="1"/>
  <c r="P205" i="1"/>
  <c r="O279" i="1"/>
  <c r="O212" i="1"/>
  <c r="O214" i="1"/>
  <c r="O282" i="1"/>
  <c r="O285" i="1"/>
  <c r="O287" i="1"/>
  <c r="O289" i="1"/>
  <c r="O293" i="1"/>
  <c r="O295" i="1"/>
  <c r="O297" i="1"/>
  <c r="O11" i="1"/>
  <c r="O13" i="1"/>
  <c r="O17" i="1"/>
  <c r="O34" i="1"/>
  <c r="O38" i="1"/>
  <c r="O40" i="1"/>
  <c r="O42" i="1"/>
  <c r="O44" i="1"/>
  <c r="O47" i="1"/>
  <c r="O49" i="1"/>
  <c r="O51" i="1"/>
  <c r="O53" i="1"/>
  <c r="O55" i="1"/>
  <c r="O58" i="1"/>
  <c r="O60" i="1"/>
  <c r="O63" i="1"/>
  <c r="O65" i="1"/>
  <c r="O68" i="1"/>
  <c r="O70" i="1"/>
  <c r="O73" i="1"/>
  <c r="O75" i="1"/>
  <c r="O77" i="1"/>
  <c r="O79" i="1"/>
  <c r="O81" i="1"/>
  <c r="O84" i="1"/>
  <c r="O87" i="1"/>
  <c r="O100" i="1"/>
  <c r="O103" i="1"/>
  <c r="O107" i="1"/>
  <c r="O109" i="1"/>
  <c r="O112" i="1"/>
  <c r="O114" i="1"/>
  <c r="O116" i="1"/>
  <c r="O118" i="1"/>
  <c r="O121" i="1"/>
  <c r="O125" i="1"/>
  <c r="O132" i="1"/>
  <c r="O133" i="1"/>
  <c r="O135" i="1"/>
  <c r="O137" i="1"/>
  <c r="O142" i="1"/>
  <c r="O146" i="1"/>
  <c r="O150" i="1"/>
  <c r="O157" i="1"/>
  <c r="O160" i="1"/>
  <c r="O164" i="1"/>
  <c r="O166" i="1"/>
  <c r="O169" i="1"/>
  <c r="O172" i="1"/>
  <c r="O174" i="1"/>
  <c r="O179" i="1"/>
  <c r="O183" i="1"/>
  <c r="O185" i="1"/>
  <c r="O187" i="1"/>
  <c r="O189" i="1"/>
  <c r="O191" i="1"/>
  <c r="O199" i="1"/>
  <c r="O202" i="1"/>
  <c r="O208" i="1"/>
  <c r="O205" i="1"/>
  <c r="N279" i="1"/>
  <c r="N212" i="1"/>
  <c r="N214" i="1"/>
  <c r="N282" i="1"/>
  <c r="N285" i="1"/>
  <c r="N287" i="1"/>
  <c r="N289" i="1"/>
  <c r="N291" i="1"/>
  <c r="N293" i="1"/>
  <c r="N295" i="1"/>
  <c r="N297" i="1"/>
  <c r="N11" i="1"/>
  <c r="N13" i="1"/>
  <c r="N17" i="1"/>
  <c r="N34" i="1"/>
  <c r="N36" i="1"/>
  <c r="N42" i="1"/>
  <c r="N44" i="1"/>
  <c r="N47" i="1"/>
  <c r="N49" i="1"/>
  <c r="N51" i="1"/>
  <c r="N53" i="1"/>
  <c r="N55" i="1"/>
  <c r="N58" i="1"/>
  <c r="N60" i="1"/>
  <c r="N63" i="1"/>
  <c r="N65" i="1"/>
  <c r="N68" i="1"/>
  <c r="N70" i="1"/>
  <c r="N73" i="1"/>
  <c r="N75" i="1"/>
  <c r="N77" i="1"/>
  <c r="N79" i="1"/>
  <c r="N81" i="1"/>
  <c r="N84" i="1"/>
  <c r="N87" i="1"/>
  <c r="N100" i="1"/>
  <c r="N103" i="1"/>
  <c r="N107" i="1"/>
  <c r="N109" i="1"/>
  <c r="N112" i="1"/>
  <c r="N114" i="1"/>
  <c r="N116" i="1"/>
  <c r="N118" i="1"/>
  <c r="N121" i="1"/>
  <c r="N125" i="1"/>
  <c r="N129" i="1"/>
  <c r="N133" i="1"/>
  <c r="N135" i="1"/>
  <c r="N137" i="1"/>
  <c r="N142" i="1"/>
  <c r="N146" i="1"/>
  <c r="N149" i="1"/>
  <c r="N157" i="1"/>
  <c r="N160" i="1"/>
  <c r="N164" i="1"/>
  <c r="N166" i="1"/>
  <c r="N169" i="1"/>
  <c r="N172" i="1"/>
  <c r="N174" i="1"/>
  <c r="N179" i="1"/>
  <c r="N183" i="1"/>
  <c r="N185" i="1"/>
  <c r="N187" i="1"/>
  <c r="N189" i="1"/>
  <c r="N191" i="1"/>
  <c r="N199" i="1"/>
  <c r="N202" i="1"/>
  <c r="N208" i="1"/>
  <c r="N205" i="1"/>
  <c r="M279" i="1"/>
  <c r="M212" i="1"/>
  <c r="M214" i="1"/>
  <c r="M282" i="1"/>
  <c r="M285" i="1"/>
  <c r="M287" i="1"/>
  <c r="M289" i="1"/>
  <c r="M291" i="1"/>
  <c r="M293" i="1"/>
  <c r="M295" i="1"/>
  <c r="M297" i="1"/>
  <c r="M11" i="1"/>
  <c r="M13" i="1"/>
  <c r="M17" i="1"/>
  <c r="M34" i="1"/>
  <c r="M36" i="1"/>
  <c r="M42" i="1"/>
  <c r="M44" i="1"/>
  <c r="M47" i="1"/>
  <c r="M49" i="1"/>
  <c r="M51" i="1"/>
  <c r="M53" i="1"/>
  <c r="M55" i="1"/>
  <c r="M58" i="1"/>
  <c r="M60" i="1"/>
  <c r="M63" i="1"/>
  <c r="M65" i="1"/>
  <c r="M68" i="1"/>
  <c r="M70" i="1"/>
  <c r="M73" i="1"/>
  <c r="M75" i="1"/>
  <c r="M77" i="1"/>
  <c r="M79" i="1"/>
  <c r="M81" i="1"/>
  <c r="M84" i="1"/>
  <c r="M87" i="1"/>
  <c r="M100" i="1"/>
  <c r="M103" i="1"/>
  <c r="M107" i="1"/>
  <c r="M109" i="1"/>
  <c r="M112" i="1"/>
  <c r="M114" i="1"/>
  <c r="M116" i="1"/>
  <c r="M118" i="1"/>
  <c r="M121" i="1"/>
  <c r="M125" i="1"/>
  <c r="M131" i="1"/>
  <c r="M133" i="1"/>
  <c r="M135" i="1"/>
  <c r="M137" i="1"/>
  <c r="M142" i="1"/>
  <c r="M146" i="1"/>
  <c r="M149" i="1"/>
  <c r="M157" i="1"/>
  <c r="M160" i="1"/>
  <c r="M164" i="1"/>
  <c r="M166" i="1"/>
  <c r="M169" i="1"/>
  <c r="M172" i="1"/>
  <c r="M174" i="1"/>
  <c r="M179" i="1"/>
  <c r="M183" i="1"/>
  <c r="M185" i="1"/>
  <c r="M187" i="1"/>
  <c r="M189" i="1"/>
  <c r="M191" i="1"/>
  <c r="M199" i="1"/>
  <c r="M202" i="1"/>
  <c r="M208" i="1"/>
  <c r="M205" i="1"/>
  <c r="L279" i="1"/>
  <c r="L212" i="1"/>
  <c r="L214" i="1"/>
  <c r="L282" i="1"/>
  <c r="L285" i="1"/>
  <c r="L287" i="1"/>
  <c r="L289" i="1"/>
  <c r="L291" i="1"/>
  <c r="L293" i="1"/>
  <c r="L295" i="1"/>
  <c r="L297" i="1"/>
  <c r="L11" i="1"/>
  <c r="L13" i="1"/>
  <c r="L17" i="1"/>
  <c r="L34" i="1"/>
  <c r="L36" i="1"/>
  <c r="L42" i="1"/>
  <c r="L44" i="1"/>
  <c r="L47" i="1"/>
  <c r="L49" i="1"/>
  <c r="L51" i="1"/>
  <c r="L53" i="1"/>
  <c r="L55" i="1"/>
  <c r="L58" i="1"/>
  <c r="L60" i="1"/>
  <c r="L64" i="1"/>
  <c r="L65" i="1"/>
  <c r="L68" i="1"/>
  <c r="L70" i="1"/>
  <c r="L73" i="1"/>
  <c r="L75" i="1"/>
  <c r="L77" i="1"/>
  <c r="L79" i="1"/>
  <c r="L81" i="1"/>
  <c r="L84" i="1"/>
  <c r="L87" i="1"/>
  <c r="L100" i="1"/>
  <c r="L103" i="1"/>
  <c r="L107" i="1"/>
  <c r="L109" i="1"/>
  <c r="L112" i="1"/>
  <c r="L114" i="1"/>
  <c r="L116" i="1"/>
  <c r="L118" i="1"/>
  <c r="L121" i="1"/>
  <c r="L125" i="1"/>
  <c r="L129" i="1"/>
  <c r="L133" i="1"/>
  <c r="L135" i="1"/>
  <c r="L137" i="1"/>
  <c r="L142" i="1"/>
  <c r="L146" i="1"/>
  <c r="L149" i="1"/>
  <c r="L157" i="1"/>
  <c r="L160" i="1"/>
  <c r="L164" i="1"/>
  <c r="L166" i="1"/>
  <c r="L169" i="1"/>
  <c r="L172" i="1"/>
  <c r="L174" i="1"/>
  <c r="L179" i="1"/>
  <c r="L183" i="1"/>
  <c r="L185" i="1"/>
  <c r="L187" i="1"/>
  <c r="L189" i="1"/>
  <c r="L191" i="1"/>
  <c r="L199" i="1"/>
  <c r="L202" i="1"/>
  <c r="L208" i="1"/>
  <c r="L205" i="1"/>
  <c r="K279" i="1"/>
  <c r="K212" i="1"/>
  <c r="K214" i="1"/>
  <c r="K282" i="1"/>
  <c r="K285" i="1"/>
  <c r="K287" i="1"/>
  <c r="K289" i="1"/>
  <c r="K291" i="1"/>
  <c r="K293" i="1"/>
  <c r="K295" i="1"/>
  <c r="K297" i="1"/>
  <c r="K11" i="1"/>
  <c r="K13" i="1"/>
  <c r="K17" i="1"/>
  <c r="K34" i="1"/>
  <c r="K36" i="1"/>
  <c r="K42" i="1"/>
  <c r="K44" i="1"/>
  <c r="K47" i="1"/>
  <c r="K49" i="1"/>
  <c r="K51" i="1"/>
  <c r="K53" i="1"/>
  <c r="K55" i="1"/>
  <c r="K58" i="1"/>
  <c r="K60" i="1"/>
  <c r="K63" i="1"/>
  <c r="K65" i="1"/>
  <c r="K68" i="1"/>
  <c r="K70" i="1"/>
  <c r="K73" i="1"/>
  <c r="K75" i="1"/>
  <c r="K77" i="1"/>
  <c r="K79" i="1"/>
  <c r="K81" i="1"/>
  <c r="K84" i="1"/>
  <c r="K87" i="1"/>
  <c r="K100" i="1"/>
  <c r="K103" i="1"/>
  <c r="K107" i="1"/>
  <c r="K109" i="1"/>
  <c r="K112" i="1"/>
  <c r="K114" i="1"/>
  <c r="K116" i="1"/>
  <c r="K118" i="1"/>
  <c r="K121" i="1"/>
  <c r="K125" i="1"/>
  <c r="K129" i="1"/>
  <c r="K133" i="1"/>
  <c r="K135" i="1"/>
  <c r="K137" i="1"/>
  <c r="K142" i="1"/>
  <c r="K146" i="1"/>
  <c r="K149" i="1"/>
  <c r="K157" i="1"/>
  <c r="K160" i="1"/>
  <c r="K164" i="1"/>
  <c r="K166" i="1"/>
  <c r="K169" i="1"/>
  <c r="K172" i="1"/>
  <c r="K174" i="1"/>
  <c r="K179" i="1"/>
  <c r="K183" i="1"/>
  <c r="K185" i="1"/>
  <c r="K187" i="1"/>
  <c r="K189" i="1"/>
  <c r="K191" i="1"/>
  <c r="K199" i="1"/>
  <c r="K202" i="1"/>
  <c r="K208" i="1"/>
  <c r="K205" i="1"/>
  <c r="J218" i="1"/>
  <c r="J280" i="1"/>
  <c r="J215" i="1"/>
  <c r="J216" i="1"/>
  <c r="J213" i="1"/>
  <c r="J283" i="1"/>
  <c r="J286" i="1"/>
  <c r="J288" i="1"/>
  <c r="J290" i="1"/>
  <c r="J292" i="1"/>
  <c r="J294" i="1"/>
  <c r="J296" i="1"/>
  <c r="J298" i="1"/>
  <c r="J12" i="1"/>
  <c r="J14" i="1"/>
  <c r="J15" i="1"/>
  <c r="J16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5" i="1"/>
  <c r="J37" i="1"/>
  <c r="J39" i="1"/>
  <c r="J41" i="1"/>
  <c r="J43" i="1"/>
  <c r="J45" i="1"/>
  <c r="J48" i="1"/>
  <c r="J50" i="1"/>
  <c r="J52" i="1"/>
  <c r="J54" i="1"/>
  <c r="J56" i="1"/>
  <c r="J59" i="1"/>
  <c r="J61" i="1"/>
  <c r="J66" i="1"/>
  <c r="J69" i="1"/>
  <c r="J71" i="1"/>
  <c r="J72" i="1"/>
  <c r="J74" i="1"/>
  <c r="J76" i="1"/>
  <c r="J78" i="1"/>
  <c r="J80" i="1"/>
  <c r="J82" i="1"/>
  <c r="J85" i="1"/>
  <c r="J86" i="1"/>
  <c r="J88" i="1"/>
  <c r="J89" i="1"/>
  <c r="J90" i="1"/>
  <c r="J93" i="1"/>
  <c r="J94" i="1"/>
  <c r="J95" i="1"/>
  <c r="J96" i="1"/>
  <c r="J97" i="1"/>
  <c r="J98" i="1"/>
  <c r="J101" i="1"/>
  <c r="J104" i="1"/>
  <c r="J105" i="1"/>
  <c r="J108" i="1"/>
  <c r="J110" i="1"/>
  <c r="J113" i="1"/>
  <c r="J115" i="1"/>
  <c r="J117" i="1"/>
  <c r="J119" i="1"/>
  <c r="J122" i="1"/>
  <c r="J123" i="1"/>
  <c r="J124" i="1"/>
  <c r="J126" i="1"/>
  <c r="J128" i="1"/>
  <c r="J130" i="1"/>
  <c r="J131" i="1"/>
  <c r="J134" i="1"/>
  <c r="J136" i="1"/>
  <c r="J138" i="1"/>
  <c r="J139" i="1"/>
  <c r="J140" i="1"/>
  <c r="J143" i="1"/>
  <c r="J144" i="1"/>
  <c r="J145" i="1"/>
  <c r="J147" i="1"/>
  <c r="J148" i="1"/>
  <c r="J151" i="1"/>
  <c r="J152" i="1"/>
  <c r="J153" i="1"/>
  <c r="J154" i="1"/>
  <c r="J158" i="1"/>
  <c r="J159" i="1"/>
  <c r="J161" i="1"/>
  <c r="J162" i="1"/>
  <c r="J165" i="1"/>
  <c r="J167" i="1"/>
  <c r="J168" i="1"/>
  <c r="J170" i="1"/>
  <c r="J171" i="1"/>
  <c r="J173" i="1"/>
  <c r="J175" i="1"/>
  <c r="J177" i="1"/>
  <c r="J178" i="1"/>
  <c r="J180" i="1"/>
  <c r="J181" i="1"/>
  <c r="J182" i="1"/>
  <c r="J184" i="1"/>
  <c r="J186" i="1"/>
  <c r="J188" i="1"/>
  <c r="J190" i="1"/>
  <c r="J192" i="1"/>
  <c r="J193" i="1"/>
  <c r="J194" i="1"/>
  <c r="J195" i="1"/>
  <c r="J196" i="1"/>
  <c r="J197" i="1"/>
  <c r="J198" i="1"/>
  <c r="J200" i="1"/>
  <c r="J203" i="1"/>
  <c r="J209" i="1"/>
  <c r="J210" i="1"/>
  <c r="J206" i="1"/>
  <c r="I279" i="1"/>
  <c r="I212" i="1"/>
  <c r="I214" i="1"/>
  <c r="I282" i="1"/>
  <c r="I285" i="1"/>
  <c r="I287" i="1"/>
  <c r="I289" i="1"/>
  <c r="I291" i="1"/>
  <c r="I293" i="1"/>
  <c r="I295" i="1"/>
  <c r="I297" i="1"/>
  <c r="I11" i="1"/>
  <c r="I13" i="1"/>
  <c r="I18" i="1"/>
  <c r="I21" i="1"/>
  <c r="I34" i="1"/>
  <c r="I38" i="1"/>
  <c r="I41" i="1"/>
  <c r="I42" i="1"/>
  <c r="I45" i="1"/>
  <c r="I47" i="1"/>
  <c r="I49" i="1"/>
  <c r="I51" i="1"/>
  <c r="I53" i="1"/>
  <c r="I55" i="1"/>
  <c r="I58" i="1"/>
  <c r="I60" i="1"/>
  <c r="I63" i="1"/>
  <c r="I65" i="1"/>
  <c r="I68" i="1"/>
  <c r="I70" i="1"/>
  <c r="I73" i="1"/>
  <c r="I75" i="1"/>
  <c r="I77" i="1"/>
  <c r="I79" i="1"/>
  <c r="I81" i="1"/>
  <c r="I85" i="1"/>
  <c r="I87" i="1"/>
  <c r="I100" i="1"/>
  <c r="I103" i="1"/>
  <c r="I107" i="1"/>
  <c r="I109" i="1"/>
  <c r="I112" i="1"/>
  <c r="I114" i="1"/>
  <c r="I116" i="1"/>
  <c r="I118" i="1"/>
  <c r="I121" i="1"/>
  <c r="I127" i="1"/>
  <c r="I131" i="1"/>
  <c r="I132" i="1"/>
  <c r="I133" i="1"/>
  <c r="I135" i="1"/>
  <c r="I137" i="1"/>
  <c r="I142" i="1"/>
  <c r="I146" i="1"/>
  <c r="I149" i="1"/>
  <c r="I157" i="1"/>
  <c r="I161" i="1"/>
  <c r="I164" i="1"/>
  <c r="I166" i="1"/>
  <c r="I169" i="1"/>
  <c r="I172" i="1"/>
  <c r="I174" i="1"/>
  <c r="I179" i="1"/>
  <c r="I183" i="1"/>
  <c r="I185" i="1"/>
  <c r="I187" i="1"/>
  <c r="I189" i="1"/>
  <c r="I191" i="1"/>
  <c r="I199" i="1"/>
  <c r="I202" i="1"/>
  <c r="I208" i="1"/>
  <c r="I205" i="1"/>
  <c r="H279" i="1"/>
  <c r="H212" i="1"/>
  <c r="H214" i="1"/>
  <c r="H282" i="1"/>
  <c r="H285" i="1"/>
  <c r="H287" i="1"/>
  <c r="H289" i="1"/>
  <c r="H291" i="1"/>
  <c r="H293" i="1"/>
  <c r="H295" i="1"/>
  <c r="H297" i="1"/>
  <c r="H11" i="1"/>
  <c r="H13" i="1"/>
  <c r="H18" i="1"/>
  <c r="H21" i="1"/>
  <c r="H34" i="1"/>
  <c r="H38" i="1"/>
  <c r="H41" i="1"/>
  <c r="H42" i="1"/>
  <c r="H45" i="1"/>
  <c r="H47" i="1"/>
  <c r="H49" i="1"/>
  <c r="H51" i="1"/>
  <c r="H53" i="1"/>
  <c r="H55" i="1"/>
  <c r="H58" i="1"/>
  <c r="H60" i="1"/>
  <c r="H63" i="1"/>
  <c r="H65" i="1"/>
  <c r="H68" i="1"/>
  <c r="H70" i="1"/>
  <c r="H73" i="1"/>
  <c r="H75" i="1"/>
  <c r="H78" i="1"/>
  <c r="H79" i="1"/>
  <c r="H81" i="1"/>
  <c r="H85" i="1"/>
  <c r="H87" i="1"/>
  <c r="H100" i="1"/>
  <c r="H103" i="1"/>
  <c r="H107" i="1"/>
  <c r="H109" i="1"/>
  <c r="H112" i="1"/>
  <c r="H114" i="1"/>
  <c r="H116" i="1"/>
  <c r="H118" i="1"/>
  <c r="H121" i="1"/>
  <c r="H127" i="1"/>
  <c r="H131" i="1"/>
  <c r="H132" i="1"/>
  <c r="H133" i="1"/>
  <c r="H135" i="1"/>
  <c r="H137" i="1"/>
  <c r="H142" i="1"/>
  <c r="H146" i="1"/>
  <c r="H149" i="1"/>
  <c r="H157" i="1"/>
  <c r="H161" i="1"/>
  <c r="H164" i="1"/>
  <c r="H166" i="1"/>
  <c r="H169" i="1"/>
  <c r="H172" i="1"/>
  <c r="H174" i="1"/>
  <c r="H179" i="1"/>
  <c r="H183" i="1"/>
  <c r="H185" i="1"/>
  <c r="H187" i="1"/>
  <c r="H189" i="1"/>
  <c r="H191" i="1"/>
  <c r="H199" i="1"/>
  <c r="H202" i="1"/>
  <c r="H208" i="1"/>
  <c r="H205" i="1"/>
  <c r="CQ14" i="1"/>
  <c r="O291" i="1"/>
  <c r="BF265" i="1"/>
  <c r="AE127" i="1"/>
  <c r="AV291" i="1"/>
  <c r="CW217" i="1"/>
  <c r="AO217" i="1"/>
  <c r="CT117" i="1"/>
  <c r="AF217" i="1"/>
  <c r="AU217" i="1"/>
  <c r="BD217" i="1"/>
  <c r="BL217" i="1"/>
  <c r="BO217" i="1"/>
  <c r="BW217" i="1"/>
  <c r="BZ290" i="1"/>
  <c r="AE292" i="1"/>
  <c r="E223" i="1"/>
  <c r="CA292" i="1"/>
  <c r="CT37" i="1"/>
  <c r="I44" i="1"/>
  <c r="J40" i="1"/>
  <c r="P129" i="1"/>
  <c r="S13" i="1"/>
  <c r="W36" i="1"/>
  <c r="X68" i="1"/>
  <c r="Y13" i="1"/>
  <c r="Y214" i="1"/>
  <c r="AA17" i="1"/>
  <c r="AM36" i="1"/>
  <c r="AY44" i="1"/>
  <c r="AE18" i="1"/>
  <c r="CB291" i="1"/>
  <c r="CC125" i="1"/>
  <c r="CA30" i="1"/>
  <c r="CA18" i="1"/>
  <c r="CH291" i="1"/>
  <c r="CS291" i="1"/>
  <c r="CS212" i="1"/>
  <c r="AE238" i="1"/>
  <c r="L237" i="1"/>
  <c r="Q244" i="1"/>
  <c r="J245" i="1"/>
  <c r="AQ237" i="1"/>
  <c r="CA246" i="1"/>
  <c r="T237" i="1"/>
  <c r="CA247" i="1"/>
  <c r="AE248" i="1"/>
  <c r="CA250" i="1"/>
  <c r="AE251" i="1"/>
  <c r="AI237" i="1"/>
  <c r="AP237" i="1"/>
  <c r="CK253" i="1"/>
  <c r="J255" i="1"/>
  <c r="J256" i="1"/>
  <c r="CA256" i="1"/>
  <c r="J257" i="1"/>
  <c r="CA257" i="1"/>
  <c r="AE258" i="1"/>
  <c r="Q263" i="1"/>
  <c r="CW282" i="1"/>
  <c r="AE294" i="1"/>
  <c r="CO291" i="1"/>
  <c r="CG291" i="1"/>
  <c r="I160" i="1"/>
  <c r="I125" i="1"/>
  <c r="J19" i="1"/>
  <c r="R129" i="1"/>
  <c r="U42" i="1"/>
  <c r="W44" i="1"/>
  <c r="AA36" i="1"/>
  <c r="AB36" i="1"/>
  <c r="AH36" i="1"/>
  <c r="AI125" i="1"/>
  <c r="AJ36" i="1"/>
  <c r="AN44" i="1"/>
  <c r="H160" i="1"/>
  <c r="H125" i="1"/>
  <c r="H77" i="1"/>
  <c r="I84" i="1"/>
  <c r="L63" i="1"/>
  <c r="M129" i="1"/>
  <c r="O149" i="1"/>
  <c r="O129" i="1"/>
  <c r="J38" i="1"/>
  <c r="P125" i="1"/>
  <c r="P36" i="1"/>
  <c r="J30" i="1"/>
  <c r="W13" i="1"/>
  <c r="X149" i="1"/>
  <c r="X142" i="1"/>
  <c r="X129" i="1"/>
  <c r="Y68" i="1"/>
  <c r="Y53" i="1"/>
  <c r="Z68" i="1"/>
  <c r="AA166" i="1"/>
  <c r="AG44" i="1"/>
  <c r="AG36" i="1"/>
  <c r="AS44" i="1"/>
  <c r="AZ157" i="1"/>
  <c r="AZ44" i="1"/>
  <c r="AZ36" i="1"/>
  <c r="AE19" i="1"/>
  <c r="BI208" i="1"/>
  <c r="CA19" i="1"/>
  <c r="CR205" i="1"/>
  <c r="CA225" i="1"/>
  <c r="AE239" i="1"/>
  <c r="M237" i="1"/>
  <c r="CA241" i="1"/>
  <c r="CA243" i="1"/>
  <c r="AB237" i="1"/>
  <c r="CA249" i="1"/>
  <c r="AE250" i="1"/>
  <c r="CA251" i="1"/>
  <c r="S237" i="1"/>
  <c r="AE252" i="1"/>
  <c r="CA253" i="1"/>
  <c r="AE254" i="1"/>
  <c r="AE255" i="1"/>
  <c r="AE259" i="1"/>
  <c r="AE260" i="1"/>
  <c r="CA264" i="1"/>
  <c r="CS279" i="1"/>
  <c r="BH285" i="1"/>
  <c r="Z287" i="1"/>
  <c r="AG287" i="1"/>
  <c r="AZ287" i="1"/>
  <c r="CJ299" i="1"/>
  <c r="H207" i="1"/>
  <c r="H102" i="1"/>
  <c r="I204" i="1"/>
  <c r="I201" i="1"/>
  <c r="J202" i="1"/>
  <c r="J187" i="1"/>
  <c r="J183" i="1"/>
  <c r="J133" i="1"/>
  <c r="J118" i="1"/>
  <c r="J114" i="1"/>
  <c r="J81" i="1"/>
  <c r="J77" i="1"/>
  <c r="J65" i="1"/>
  <c r="J53" i="1"/>
  <c r="J44" i="1"/>
  <c r="J11" i="1"/>
  <c r="H204" i="1"/>
  <c r="H201" i="1"/>
  <c r="H99" i="1"/>
  <c r="I207" i="1"/>
  <c r="I102" i="1"/>
  <c r="I281" i="1"/>
  <c r="J205" i="1"/>
  <c r="G209" i="1"/>
  <c r="J199" i="1"/>
  <c r="G197" i="1"/>
  <c r="G195" i="1"/>
  <c r="G193" i="1"/>
  <c r="J189" i="1"/>
  <c r="J185" i="1"/>
  <c r="G182" i="1"/>
  <c r="G180" i="1"/>
  <c r="G177" i="1"/>
  <c r="J172" i="1"/>
  <c r="G170" i="1"/>
  <c r="G167" i="1"/>
  <c r="G162" i="1"/>
  <c r="G154" i="1"/>
  <c r="G152" i="1"/>
  <c r="J135" i="1"/>
  <c r="J116" i="1"/>
  <c r="J112" i="1"/>
  <c r="J107" i="1"/>
  <c r="G98" i="1"/>
  <c r="G96" i="1"/>
  <c r="G94" i="1"/>
  <c r="G90" i="1"/>
  <c r="J79" i="1"/>
  <c r="J75" i="1"/>
  <c r="G72" i="1"/>
  <c r="J55" i="1"/>
  <c r="J51" i="1"/>
  <c r="J47" i="1"/>
  <c r="K207" i="1"/>
  <c r="K99" i="1"/>
  <c r="L207" i="1"/>
  <c r="L99" i="1"/>
  <c r="M204" i="1"/>
  <c r="M201" i="1"/>
  <c r="M102" i="1"/>
  <c r="M281" i="1"/>
  <c r="N204" i="1"/>
  <c r="N201" i="1"/>
  <c r="N102" i="1"/>
  <c r="N281" i="1"/>
  <c r="O204" i="1"/>
  <c r="O201" i="1"/>
  <c r="O102" i="1"/>
  <c r="P207" i="1"/>
  <c r="P99" i="1"/>
  <c r="Q202" i="1"/>
  <c r="Q187" i="1"/>
  <c r="Q183" i="1"/>
  <c r="Q174" i="1"/>
  <c r="Q164" i="1"/>
  <c r="Q135" i="1"/>
  <c r="Q118" i="1"/>
  <c r="Q114" i="1"/>
  <c r="Q109" i="1"/>
  <c r="Q100" i="1"/>
  <c r="Q81" i="1"/>
  <c r="Q77" i="1"/>
  <c r="Q73" i="1"/>
  <c r="Q65" i="1"/>
  <c r="Q60" i="1"/>
  <c r="Q55" i="1"/>
  <c r="Q51" i="1"/>
  <c r="Q47" i="1"/>
  <c r="Q42" i="1"/>
  <c r="Q34" i="1"/>
  <c r="Q297" i="1"/>
  <c r="Q293" i="1"/>
  <c r="Q289" i="1"/>
  <c r="Q285" i="1"/>
  <c r="Q212" i="1"/>
  <c r="R207" i="1"/>
  <c r="R99" i="1"/>
  <c r="S207" i="1"/>
  <c r="S99" i="1"/>
  <c r="T207" i="1"/>
  <c r="T99" i="1"/>
  <c r="U207" i="1"/>
  <c r="U99" i="1"/>
  <c r="V202" i="1"/>
  <c r="V187" i="1"/>
  <c r="V183" i="1"/>
  <c r="V174" i="1"/>
  <c r="V133" i="1"/>
  <c r="V116" i="1"/>
  <c r="V112" i="1"/>
  <c r="V107" i="1"/>
  <c r="V79" i="1"/>
  <c r="V75" i="1"/>
  <c r="V65" i="1"/>
  <c r="V60" i="1"/>
  <c r="V55" i="1"/>
  <c r="V49" i="1"/>
  <c r="V42" i="1"/>
  <c r="V34" i="1"/>
  <c r="V11" i="1"/>
  <c r="V295" i="1"/>
  <c r="V291" i="1"/>
  <c r="V285" i="1"/>
  <c r="V212" i="1"/>
  <c r="V279" i="1"/>
  <c r="W204" i="1"/>
  <c r="W201" i="1"/>
  <c r="W102" i="1"/>
  <c r="W281" i="1"/>
  <c r="X204" i="1"/>
  <c r="X201" i="1"/>
  <c r="X102" i="1"/>
  <c r="Y207" i="1"/>
  <c r="Y99" i="1"/>
  <c r="Z207" i="1"/>
  <c r="Z99" i="1"/>
  <c r="Z281" i="1"/>
  <c r="AA204" i="1"/>
  <c r="AA201" i="1"/>
  <c r="AA102" i="1"/>
  <c r="AA281" i="1"/>
  <c r="AB204" i="1"/>
  <c r="AB201" i="1"/>
  <c r="AB102" i="1"/>
  <c r="AB281" i="1"/>
  <c r="AC204" i="1"/>
  <c r="AC201" i="1"/>
  <c r="AC102" i="1"/>
  <c r="AC281" i="1"/>
  <c r="AE205" i="1"/>
  <c r="AE199" i="1"/>
  <c r="AE189" i="1"/>
  <c r="AE185" i="1"/>
  <c r="AE172" i="1"/>
  <c r="AE135" i="1"/>
  <c r="AE114" i="1"/>
  <c r="AE109" i="1"/>
  <c r="AE100" i="1"/>
  <c r="AE81" i="1"/>
  <c r="AE77" i="1"/>
  <c r="AE73" i="1"/>
  <c r="AE65" i="1"/>
  <c r="AE60" i="1"/>
  <c r="AE55" i="1"/>
  <c r="AE51" i="1"/>
  <c r="AE47" i="1"/>
  <c r="AE11" i="1"/>
  <c r="AE295" i="1"/>
  <c r="AE289" i="1"/>
  <c r="AE282" i="1"/>
  <c r="AE279" i="1"/>
  <c r="AF204" i="1"/>
  <c r="AF201" i="1"/>
  <c r="AF102" i="1"/>
  <c r="AF281" i="1"/>
  <c r="AG207" i="1"/>
  <c r="AG99" i="1"/>
  <c r="AG281" i="1"/>
  <c r="AH204" i="1"/>
  <c r="AH201" i="1"/>
  <c r="AH102" i="1"/>
  <c r="AH281" i="1"/>
  <c r="AI204" i="1"/>
  <c r="AI201" i="1"/>
  <c r="AI102" i="1"/>
  <c r="AI281" i="1"/>
  <c r="AJ204" i="1"/>
  <c r="AJ201" i="1"/>
  <c r="AJ102" i="1"/>
  <c r="AJ281" i="1"/>
  <c r="AK204" i="1"/>
  <c r="AK201" i="1"/>
  <c r="AK102" i="1"/>
  <c r="AK281" i="1"/>
  <c r="AL204" i="1"/>
  <c r="AL201" i="1"/>
  <c r="AL102" i="1"/>
  <c r="AL281" i="1"/>
  <c r="AM204" i="1"/>
  <c r="AM201" i="1"/>
  <c r="AM102" i="1"/>
  <c r="AM281" i="1"/>
  <c r="AN204" i="1"/>
  <c r="AN201" i="1"/>
  <c r="AN102" i="1"/>
  <c r="AN281" i="1"/>
  <c r="AO204" i="1"/>
  <c r="AO201" i="1"/>
  <c r="AO102" i="1"/>
  <c r="AO281" i="1"/>
  <c r="AP207" i="1"/>
  <c r="AP99" i="1"/>
  <c r="AP281" i="1"/>
  <c r="AQ207" i="1"/>
  <c r="AQ99" i="1"/>
  <c r="AR207" i="1"/>
  <c r="AR99" i="1"/>
  <c r="AS207" i="1"/>
  <c r="AS99" i="1"/>
  <c r="AT207" i="1"/>
  <c r="AT99" i="1"/>
  <c r="AU207" i="1"/>
  <c r="AU99" i="1"/>
  <c r="AV204" i="1"/>
  <c r="AV201" i="1"/>
  <c r="AV102" i="1"/>
  <c r="AV281" i="1"/>
  <c r="AW204" i="1"/>
  <c r="AW201" i="1"/>
  <c r="AW102" i="1"/>
  <c r="AW281" i="1"/>
  <c r="AX204" i="1"/>
  <c r="AX201" i="1"/>
  <c r="AX102" i="1"/>
  <c r="AX281" i="1"/>
  <c r="AY204" i="1"/>
  <c r="AY201" i="1"/>
  <c r="AY102" i="1"/>
  <c r="AZ207" i="1"/>
  <c r="AZ99" i="1"/>
  <c r="BB202" i="1"/>
  <c r="BB187" i="1"/>
  <c r="BB183" i="1"/>
  <c r="BB174" i="1"/>
  <c r="BB164" i="1"/>
  <c r="BB135" i="1"/>
  <c r="BB116" i="1"/>
  <c r="BB112" i="1"/>
  <c r="BB107" i="1"/>
  <c r="BB79" i="1"/>
  <c r="BB75" i="1"/>
  <c r="BB68" i="1"/>
  <c r="BB63" i="1"/>
  <c r="BB58" i="1"/>
  <c r="BB53" i="1"/>
  <c r="BB49" i="1"/>
  <c r="BB44" i="1"/>
  <c r="BB297" i="1"/>
  <c r="BB293" i="1"/>
  <c r="BB289" i="1"/>
  <c r="BB285" i="1"/>
  <c r="BB212" i="1"/>
  <c r="BC207" i="1"/>
  <c r="BC99" i="1"/>
  <c r="BD207" i="1"/>
  <c r="BD99" i="1"/>
  <c r="BE204" i="1"/>
  <c r="BE201" i="1"/>
  <c r="BE102" i="1"/>
  <c r="BE281" i="1"/>
  <c r="BF205" i="1"/>
  <c r="BF199" i="1"/>
  <c r="BF189" i="1"/>
  <c r="BF185" i="1"/>
  <c r="BF172" i="1"/>
  <c r="BF133" i="1"/>
  <c r="BF118" i="1"/>
  <c r="BF114" i="1"/>
  <c r="BF109" i="1"/>
  <c r="BF100" i="1"/>
  <c r="BF81" i="1"/>
  <c r="BF77" i="1"/>
  <c r="BF73" i="1"/>
  <c r="BF65" i="1"/>
  <c r="BF60" i="1"/>
  <c r="BF55" i="1"/>
  <c r="BF51" i="1"/>
  <c r="BF47" i="1"/>
  <c r="BF42" i="1"/>
  <c r="BF34" i="1"/>
  <c r="BF11" i="1"/>
  <c r="BF295" i="1"/>
  <c r="BF291" i="1"/>
  <c r="BF287" i="1"/>
  <c r="BF212" i="1"/>
  <c r="BG207" i="1"/>
  <c r="BG99" i="1"/>
  <c r="BH207" i="1"/>
  <c r="BH99" i="1"/>
  <c r="BH281" i="1"/>
  <c r="BI204" i="1"/>
  <c r="BI201" i="1"/>
  <c r="BI102" i="1"/>
  <c r="BI281" i="1"/>
  <c r="BJ204" i="1"/>
  <c r="BJ201" i="1"/>
  <c r="BJ102" i="1"/>
  <c r="BJ281" i="1"/>
  <c r="BK205" i="1"/>
  <c r="BK199" i="1"/>
  <c r="BK189" i="1"/>
  <c r="BK185" i="1"/>
  <c r="BK172" i="1"/>
  <c r="BK133" i="1"/>
  <c r="BK118" i="1"/>
  <c r="BK114" i="1"/>
  <c r="BK109" i="1"/>
  <c r="BK100" i="1"/>
  <c r="BK81" i="1"/>
  <c r="BK77" i="1"/>
  <c r="BK73" i="1"/>
  <c r="BK65" i="1"/>
  <c r="BK60" i="1"/>
  <c r="BK55" i="1"/>
  <c r="BK51" i="1"/>
  <c r="BK47" i="1"/>
  <c r="BK42" i="1"/>
  <c r="BK34" i="1"/>
  <c r="BK11" i="1"/>
  <c r="BK295" i="1"/>
  <c r="BK291" i="1"/>
  <c r="BK287" i="1"/>
  <c r="BK282" i="1"/>
  <c r="BK279" i="1"/>
  <c r="BL204" i="1"/>
  <c r="BL201" i="1"/>
  <c r="BL102" i="1"/>
  <c r="BL281" i="1"/>
  <c r="BM202" i="1"/>
  <c r="BM187" i="1"/>
  <c r="BM183" i="1"/>
  <c r="BM174" i="1"/>
  <c r="BM164" i="1"/>
  <c r="BM135" i="1"/>
  <c r="BM118" i="1"/>
  <c r="BM114" i="1"/>
  <c r="BM109" i="1"/>
  <c r="BM100" i="1"/>
  <c r="BM81" i="1"/>
  <c r="BM77" i="1"/>
  <c r="BM73" i="1"/>
  <c r="BM65" i="1"/>
  <c r="BM60" i="1"/>
  <c r="BM55" i="1"/>
  <c r="BM51" i="1"/>
  <c r="BM47" i="1"/>
  <c r="BM42" i="1"/>
  <c r="BM34" i="1"/>
  <c r="BM11" i="1"/>
  <c r="BM295" i="1"/>
  <c r="BM291" i="1"/>
  <c r="BM287" i="1"/>
  <c r="BM282" i="1"/>
  <c r="BM279" i="1"/>
  <c r="BN204" i="1"/>
  <c r="BN201" i="1"/>
  <c r="BN102" i="1"/>
  <c r="BN281" i="1"/>
  <c r="BO204" i="1"/>
  <c r="BO201" i="1"/>
  <c r="BO102" i="1"/>
  <c r="BO281" i="1"/>
  <c r="BP207" i="1"/>
  <c r="BP99" i="1"/>
  <c r="BQ207" i="1"/>
  <c r="BQ99" i="1"/>
  <c r="BR207" i="1"/>
  <c r="BR99" i="1"/>
  <c r="BS207" i="1"/>
  <c r="BS99" i="1"/>
  <c r="BT207" i="1"/>
  <c r="BT99" i="1"/>
  <c r="BU207" i="1"/>
  <c r="BU99" i="1"/>
  <c r="BV207" i="1"/>
  <c r="BV99" i="1"/>
  <c r="BW207" i="1"/>
  <c r="BW99" i="1"/>
  <c r="BX204" i="1"/>
  <c r="BX201" i="1"/>
  <c r="BX102" i="1"/>
  <c r="BX281" i="1"/>
  <c r="BZ192" i="1"/>
  <c r="CA183" i="1"/>
  <c r="BZ178" i="1"/>
  <c r="BZ151" i="1"/>
  <c r="BZ139" i="1"/>
  <c r="CA118" i="1"/>
  <c r="CA114" i="1"/>
  <c r="CA81" i="1"/>
  <c r="CA73" i="1"/>
  <c r="CA65" i="1"/>
  <c r="CA60" i="1"/>
  <c r="CA55" i="1"/>
  <c r="CA51" i="1"/>
  <c r="CA47" i="1"/>
  <c r="CA42" i="1"/>
  <c r="BZ37" i="1"/>
  <c r="BZ33" i="1"/>
  <c r="BZ31" i="1"/>
  <c r="CA282" i="1"/>
  <c r="CA279" i="1"/>
  <c r="CB204" i="1"/>
  <c r="CB201" i="1"/>
  <c r="CB102" i="1"/>
  <c r="CB281" i="1"/>
  <c r="CC204" i="1"/>
  <c r="CC201" i="1"/>
  <c r="CC102" i="1"/>
  <c r="CC281" i="1"/>
  <c r="CD205" i="1"/>
  <c r="CD199" i="1"/>
  <c r="CD189" i="1"/>
  <c r="CD185" i="1"/>
  <c r="CD172" i="1"/>
  <c r="CD133" i="1"/>
  <c r="CD118" i="1"/>
  <c r="CD114" i="1"/>
  <c r="CD109" i="1"/>
  <c r="CD100" i="1"/>
  <c r="CD81" i="1"/>
  <c r="CD77" i="1"/>
  <c r="CD73" i="1"/>
  <c r="CD65" i="1"/>
  <c r="CD55" i="1"/>
  <c r="CD51" i="1"/>
  <c r="CD47" i="1"/>
  <c r="CD42" i="1"/>
  <c r="CD34" i="1"/>
  <c r="CD11" i="1"/>
  <c r="CD295" i="1"/>
  <c r="CD289" i="1"/>
  <c r="CD285" i="1"/>
  <c r="CD212" i="1"/>
  <c r="CE207" i="1"/>
  <c r="CE99" i="1"/>
  <c r="CF207" i="1"/>
  <c r="CF99" i="1"/>
  <c r="CG207" i="1"/>
  <c r="CG99" i="1"/>
  <c r="CG281" i="1"/>
  <c r="CH204" i="1"/>
  <c r="CH201" i="1"/>
  <c r="CH102" i="1"/>
  <c r="CH281" i="1"/>
  <c r="CI204" i="1"/>
  <c r="CI201" i="1"/>
  <c r="CI102" i="1"/>
  <c r="CI281" i="1"/>
  <c r="CK205" i="1"/>
  <c r="CK199" i="1"/>
  <c r="CK189" i="1"/>
  <c r="CK185" i="1"/>
  <c r="CK172" i="1"/>
  <c r="CK133" i="1"/>
  <c r="CK118" i="1"/>
  <c r="CK114" i="1"/>
  <c r="CK109" i="1"/>
  <c r="CK100" i="1"/>
  <c r="CK81" i="1"/>
  <c r="CK77" i="1"/>
  <c r="CK73" i="1"/>
  <c r="CK65" i="1"/>
  <c r="CK60" i="1"/>
  <c r="CK55" i="1"/>
  <c r="CK51" i="1"/>
  <c r="CK47" i="1"/>
  <c r="CK297" i="1"/>
  <c r="CK293" i="1"/>
  <c r="CK287" i="1"/>
  <c r="CK282" i="1"/>
  <c r="CK279" i="1"/>
  <c r="CL204" i="1"/>
  <c r="CL201" i="1"/>
  <c r="CL102" i="1"/>
  <c r="CL281" i="1"/>
  <c r="CM204" i="1"/>
  <c r="CM201" i="1"/>
  <c r="CM102" i="1"/>
  <c r="CM281" i="1"/>
  <c r="CN204" i="1"/>
  <c r="CN201" i="1"/>
  <c r="CN102" i="1"/>
  <c r="CO207" i="1"/>
  <c r="CO99" i="1"/>
  <c r="CO281" i="1"/>
  <c r="CP204" i="1"/>
  <c r="CP201" i="1"/>
  <c r="CP102" i="1"/>
  <c r="CP281" i="1"/>
  <c r="CQ207" i="1"/>
  <c r="CQ99" i="1"/>
  <c r="CR207" i="1"/>
  <c r="CR99" i="1"/>
  <c r="CR281" i="1"/>
  <c r="CS204" i="1"/>
  <c r="CS201" i="1"/>
  <c r="CS102" i="1"/>
  <c r="CS281" i="1"/>
  <c r="CU205" i="1"/>
  <c r="CT209" i="1"/>
  <c r="CT197" i="1"/>
  <c r="CT195" i="1"/>
  <c r="CT193" i="1"/>
  <c r="CU189" i="1"/>
  <c r="CU185" i="1"/>
  <c r="CT182" i="1"/>
  <c r="CT180" i="1"/>
  <c r="CT177" i="1"/>
  <c r="CU172" i="1"/>
  <c r="CT170" i="1"/>
  <c r="CT167" i="1"/>
  <c r="CT162" i="1"/>
  <c r="CT159" i="1"/>
  <c r="CT154" i="1"/>
  <c r="CT152" i="1"/>
  <c r="CT150" i="1"/>
  <c r="CT147" i="1"/>
  <c r="CT144" i="1"/>
  <c r="CT140" i="1"/>
  <c r="CT138" i="1"/>
  <c r="CU133" i="1"/>
  <c r="CT131" i="1"/>
  <c r="CT128" i="1"/>
  <c r="CT126" i="1"/>
  <c r="CT123" i="1"/>
  <c r="CU109" i="1"/>
  <c r="CT97" i="1"/>
  <c r="CT95" i="1"/>
  <c r="CT93" i="1"/>
  <c r="CT89" i="1"/>
  <c r="CT86" i="1"/>
  <c r="CT71" i="1"/>
  <c r="CU51" i="1"/>
  <c r="CT40" i="1"/>
  <c r="CT38" i="1"/>
  <c r="CT32" i="1"/>
  <c r="CT30" i="1"/>
  <c r="CT28" i="1"/>
  <c r="CT26" i="1"/>
  <c r="CT24" i="1"/>
  <c r="CT22" i="1"/>
  <c r="CT20" i="1"/>
  <c r="CT18" i="1"/>
  <c r="CT15" i="1"/>
  <c r="CU212" i="1"/>
  <c r="CT215" i="1"/>
  <c r="CV207" i="1"/>
  <c r="CV99" i="1"/>
  <c r="CW207" i="1"/>
  <c r="CW99" i="1"/>
  <c r="CT219" i="1"/>
  <c r="CT221" i="1"/>
  <c r="CT222" i="1"/>
  <c r="CT224" i="1"/>
  <c r="CT236" i="1"/>
  <c r="AC217" i="1"/>
  <c r="AK217" i="1"/>
  <c r="AT217" i="1"/>
  <c r="AV217" i="1"/>
  <c r="AX217" i="1"/>
  <c r="BC217" i="1"/>
  <c r="BE217" i="1"/>
  <c r="BH217" i="1"/>
  <c r="BN217" i="1"/>
  <c r="BP217" i="1"/>
  <c r="BR217" i="1"/>
  <c r="BT217" i="1"/>
  <c r="BV217" i="1"/>
  <c r="BX217" i="1"/>
  <c r="CE217" i="1"/>
  <c r="CG217" i="1"/>
  <c r="CI217" i="1"/>
  <c r="CM217" i="1"/>
  <c r="CQ217" i="1"/>
  <c r="CS217" i="1"/>
  <c r="CT239" i="1"/>
  <c r="CT245" i="1"/>
  <c r="CT266" i="1"/>
  <c r="CT272" i="1"/>
  <c r="CT270" i="1"/>
  <c r="CT273" i="1"/>
  <c r="CT274" i="1"/>
  <c r="CT277" i="1"/>
  <c r="CT247" i="1"/>
  <c r="CT248" i="1"/>
  <c r="CT249" i="1"/>
  <c r="CT250" i="1"/>
  <c r="CT252" i="1"/>
  <c r="CT253" i="1"/>
  <c r="CT254" i="1"/>
  <c r="CT261" i="1"/>
  <c r="CT262" i="1"/>
  <c r="E230" i="1"/>
  <c r="H281" i="1"/>
  <c r="I99" i="1"/>
  <c r="J174" i="1"/>
  <c r="J164" i="1"/>
  <c r="J109" i="1"/>
  <c r="J100" i="1"/>
  <c r="J73" i="1"/>
  <c r="J49" i="1"/>
  <c r="G33" i="1"/>
  <c r="G31" i="1"/>
  <c r="J282" i="1"/>
  <c r="J279" i="1"/>
  <c r="K204" i="1"/>
  <c r="K201" i="1"/>
  <c r="K102" i="1"/>
  <c r="K281" i="1"/>
  <c r="L204" i="1"/>
  <c r="L201" i="1"/>
  <c r="L102" i="1"/>
  <c r="L281" i="1"/>
  <c r="M207" i="1"/>
  <c r="M99" i="1"/>
  <c r="N207" i="1"/>
  <c r="N99" i="1"/>
  <c r="O207" i="1"/>
  <c r="O99" i="1"/>
  <c r="O281" i="1"/>
  <c r="P204" i="1"/>
  <c r="P201" i="1"/>
  <c r="P102" i="1"/>
  <c r="P281" i="1"/>
  <c r="Q205" i="1"/>
  <c r="Q199" i="1"/>
  <c r="Q189" i="1"/>
  <c r="Q185" i="1"/>
  <c r="Q172" i="1"/>
  <c r="Q133" i="1"/>
  <c r="Q116" i="1"/>
  <c r="Q112" i="1"/>
  <c r="Q107" i="1"/>
  <c r="Q79" i="1"/>
  <c r="Q75" i="1"/>
  <c r="Q68" i="1"/>
  <c r="Q63" i="1"/>
  <c r="Q58" i="1"/>
  <c r="Q53" i="1"/>
  <c r="Q49" i="1"/>
  <c r="Q44" i="1"/>
  <c r="Q11" i="1"/>
  <c r="Q295" i="1"/>
  <c r="Q291" i="1"/>
  <c r="Q287" i="1"/>
  <c r="Q282" i="1"/>
  <c r="Q279" i="1"/>
  <c r="R204" i="1"/>
  <c r="R201" i="1"/>
  <c r="R102" i="1"/>
  <c r="R281" i="1"/>
  <c r="S204" i="1"/>
  <c r="S201" i="1"/>
  <c r="S102" i="1"/>
  <c r="S281" i="1"/>
  <c r="T204" i="1"/>
  <c r="T201" i="1"/>
  <c r="T102" i="1"/>
  <c r="T281" i="1"/>
  <c r="U204" i="1"/>
  <c r="U201" i="1"/>
  <c r="U102" i="1"/>
  <c r="U281" i="1"/>
  <c r="V205" i="1"/>
  <c r="V199" i="1"/>
  <c r="V189" i="1"/>
  <c r="V185" i="1"/>
  <c r="V172" i="1"/>
  <c r="V164" i="1"/>
  <c r="V135" i="1"/>
  <c r="V118" i="1"/>
  <c r="V114" i="1"/>
  <c r="V109" i="1"/>
  <c r="V100" i="1"/>
  <c r="V81" i="1"/>
  <c r="V77" i="1"/>
  <c r="V73" i="1"/>
  <c r="V63" i="1"/>
  <c r="V58" i="1"/>
  <c r="V51" i="1"/>
  <c r="V47" i="1"/>
  <c r="V297" i="1"/>
  <c r="V293" i="1"/>
  <c r="V289" i="1"/>
  <c r="V282" i="1"/>
  <c r="W207" i="1"/>
  <c r="W99" i="1"/>
  <c r="X207" i="1"/>
  <c r="X99" i="1"/>
  <c r="X281" i="1"/>
  <c r="Y204" i="1"/>
  <c r="Y201" i="1"/>
  <c r="Y102" i="1"/>
  <c r="Y281" i="1"/>
  <c r="Z204" i="1"/>
  <c r="Z201" i="1"/>
  <c r="Z102" i="1"/>
  <c r="AA207" i="1"/>
  <c r="AA99" i="1"/>
  <c r="AB207" i="1"/>
  <c r="AB99" i="1"/>
  <c r="AC207" i="1"/>
  <c r="AC99" i="1"/>
  <c r="AE202" i="1"/>
  <c r="AE187" i="1"/>
  <c r="AE183" i="1"/>
  <c r="AE174" i="1"/>
  <c r="AE164" i="1"/>
  <c r="AE133" i="1"/>
  <c r="AE118" i="1"/>
  <c r="AE112" i="1"/>
  <c r="AE107" i="1"/>
  <c r="AE79" i="1"/>
  <c r="AE75" i="1"/>
  <c r="AE68" i="1"/>
  <c r="AE63" i="1"/>
  <c r="AE58" i="1"/>
  <c r="AE53" i="1"/>
  <c r="AE49" i="1"/>
  <c r="AE42" i="1"/>
  <c r="AE297" i="1"/>
  <c r="AE285" i="1"/>
  <c r="AE212" i="1"/>
  <c r="AF207" i="1"/>
  <c r="AF99" i="1"/>
  <c r="AG204" i="1"/>
  <c r="AG201" i="1"/>
  <c r="AG102" i="1"/>
  <c r="AH207" i="1"/>
  <c r="AH99" i="1"/>
  <c r="AI207" i="1"/>
  <c r="AI99" i="1"/>
  <c r="AJ207" i="1"/>
  <c r="AJ99" i="1"/>
  <c r="AK207" i="1"/>
  <c r="AK99" i="1"/>
  <c r="AL207" i="1"/>
  <c r="AL99" i="1"/>
  <c r="AM207" i="1"/>
  <c r="AM99" i="1"/>
  <c r="AN207" i="1"/>
  <c r="AN99" i="1"/>
  <c r="AO207" i="1"/>
  <c r="AO99" i="1"/>
  <c r="AP204" i="1"/>
  <c r="AP201" i="1"/>
  <c r="AP102" i="1"/>
  <c r="AQ204" i="1"/>
  <c r="AQ201" i="1"/>
  <c r="AQ102" i="1"/>
  <c r="AQ281" i="1"/>
  <c r="AR204" i="1"/>
  <c r="AR201" i="1"/>
  <c r="AR102" i="1"/>
  <c r="AR281" i="1"/>
  <c r="AS204" i="1"/>
  <c r="AS201" i="1"/>
  <c r="AS102" i="1"/>
  <c r="AS281" i="1"/>
  <c r="AT204" i="1"/>
  <c r="AT201" i="1"/>
  <c r="AT102" i="1"/>
  <c r="AT281" i="1"/>
  <c r="AU204" i="1"/>
  <c r="AU201" i="1"/>
  <c r="AU102" i="1"/>
  <c r="AU281" i="1"/>
  <c r="AV207" i="1"/>
  <c r="AV99" i="1"/>
  <c r="AW207" i="1"/>
  <c r="AW99" i="1"/>
  <c r="AX207" i="1"/>
  <c r="AX99" i="1"/>
  <c r="AY207" i="1"/>
  <c r="AY99" i="1"/>
  <c r="AY281" i="1"/>
  <c r="AZ204" i="1"/>
  <c r="AZ201" i="1"/>
  <c r="AZ102" i="1"/>
  <c r="AZ281" i="1"/>
  <c r="BB205" i="1"/>
  <c r="BB199" i="1"/>
  <c r="BB189" i="1"/>
  <c r="BB185" i="1"/>
  <c r="BB172" i="1"/>
  <c r="BB133" i="1"/>
  <c r="BB118" i="1"/>
  <c r="BB114" i="1"/>
  <c r="BB81" i="1"/>
  <c r="BB77" i="1"/>
  <c r="BB65" i="1"/>
  <c r="BB60" i="1"/>
  <c r="BB55" i="1"/>
  <c r="BB51" i="1"/>
  <c r="BB47" i="1"/>
  <c r="BB42" i="1"/>
  <c r="BB34" i="1"/>
  <c r="BB295" i="1"/>
  <c r="BB287" i="1"/>
  <c r="BB282" i="1"/>
  <c r="BB279" i="1"/>
  <c r="BC204" i="1"/>
  <c r="BC201" i="1"/>
  <c r="BC102" i="1"/>
  <c r="BC281" i="1"/>
  <c r="BD204" i="1"/>
  <c r="BD201" i="1"/>
  <c r="BD102" i="1"/>
  <c r="BD281" i="1"/>
  <c r="BE207" i="1"/>
  <c r="BE99" i="1"/>
  <c r="BF202" i="1"/>
  <c r="BF187" i="1"/>
  <c r="BF183" i="1"/>
  <c r="BF164" i="1"/>
  <c r="BF135" i="1"/>
  <c r="BF116" i="1"/>
  <c r="BF112" i="1"/>
  <c r="BF107" i="1"/>
  <c r="BF79" i="1"/>
  <c r="BF75" i="1"/>
  <c r="BF68" i="1"/>
  <c r="BF58" i="1"/>
  <c r="BF49" i="1"/>
  <c r="BF44" i="1"/>
  <c r="BF282" i="1"/>
  <c r="BF279" i="1"/>
  <c r="BG204" i="1"/>
  <c r="BG201" i="1"/>
  <c r="BG102" i="1"/>
  <c r="BG281" i="1"/>
  <c r="BH204" i="1"/>
  <c r="BH201" i="1"/>
  <c r="BH102" i="1"/>
  <c r="BI99" i="1"/>
  <c r="BJ207" i="1"/>
  <c r="BJ99" i="1"/>
  <c r="BK202" i="1"/>
  <c r="BK187" i="1"/>
  <c r="BK183" i="1"/>
  <c r="BK174" i="1"/>
  <c r="BK164" i="1"/>
  <c r="BK135" i="1"/>
  <c r="BK116" i="1"/>
  <c r="BK112" i="1"/>
  <c r="BK107" i="1"/>
  <c r="BK79" i="1"/>
  <c r="BK75" i="1"/>
  <c r="BK68" i="1"/>
  <c r="BK63" i="1"/>
  <c r="BK58" i="1"/>
  <c r="BK53" i="1"/>
  <c r="BK49" i="1"/>
  <c r="BK44" i="1"/>
  <c r="BK297" i="1"/>
  <c r="BK293" i="1"/>
  <c r="BK289" i="1"/>
  <c r="BK285" i="1"/>
  <c r="BK212" i="1"/>
  <c r="BL207" i="1"/>
  <c r="BL99" i="1"/>
  <c r="BM205" i="1"/>
  <c r="BM199" i="1"/>
  <c r="BM189" i="1"/>
  <c r="BM185" i="1"/>
  <c r="BM172" i="1"/>
  <c r="BM133" i="1"/>
  <c r="BM116" i="1"/>
  <c r="BM112" i="1"/>
  <c r="BM107" i="1"/>
  <c r="BM79" i="1"/>
  <c r="BM75" i="1"/>
  <c r="BM68" i="1"/>
  <c r="BM63" i="1"/>
  <c r="BM58" i="1"/>
  <c r="BM53" i="1"/>
  <c r="BM49" i="1"/>
  <c r="BM44" i="1"/>
  <c r="BM297" i="1"/>
  <c r="BM293" i="1"/>
  <c r="BM289" i="1"/>
  <c r="BM285" i="1"/>
  <c r="BM212" i="1"/>
  <c r="BN207" i="1"/>
  <c r="BN99" i="1"/>
  <c r="BO207" i="1"/>
  <c r="BO99" i="1"/>
  <c r="BP204" i="1"/>
  <c r="BP201" i="1"/>
  <c r="BP102" i="1"/>
  <c r="BP281" i="1"/>
  <c r="BQ204" i="1"/>
  <c r="BQ201" i="1"/>
  <c r="BQ102" i="1"/>
  <c r="BQ281" i="1"/>
  <c r="BR204" i="1"/>
  <c r="BR201" i="1"/>
  <c r="BR102" i="1"/>
  <c r="BR281" i="1"/>
  <c r="BS204" i="1"/>
  <c r="BS201" i="1"/>
  <c r="BS102" i="1"/>
  <c r="BS281" i="1"/>
  <c r="BT204" i="1"/>
  <c r="BT201" i="1"/>
  <c r="BT102" i="1"/>
  <c r="BT281" i="1"/>
  <c r="BU204" i="1"/>
  <c r="BU201" i="1"/>
  <c r="BU102" i="1"/>
  <c r="BU281" i="1"/>
  <c r="BV204" i="1"/>
  <c r="BV201" i="1"/>
  <c r="BV102" i="1"/>
  <c r="BV281" i="1"/>
  <c r="BW204" i="1"/>
  <c r="BW201" i="1"/>
  <c r="BW102" i="1"/>
  <c r="BW281" i="1"/>
  <c r="BX207" i="1"/>
  <c r="BX99" i="1"/>
  <c r="CA199" i="1"/>
  <c r="CA189" i="1"/>
  <c r="CA185" i="1"/>
  <c r="CA172" i="1"/>
  <c r="CA112" i="1"/>
  <c r="CA68" i="1"/>
  <c r="CA53" i="1"/>
  <c r="CA44" i="1"/>
  <c r="CA34" i="1"/>
  <c r="CA297" i="1"/>
  <c r="CA289" i="1"/>
  <c r="CB207" i="1"/>
  <c r="CB99" i="1"/>
  <c r="CC207" i="1"/>
  <c r="CC99" i="1"/>
  <c r="CD202" i="1"/>
  <c r="CD187" i="1"/>
  <c r="CD183" i="1"/>
  <c r="CD174" i="1"/>
  <c r="CD164" i="1"/>
  <c r="CD135" i="1"/>
  <c r="CD116" i="1"/>
  <c r="CD112" i="1"/>
  <c r="CD107" i="1"/>
  <c r="CD79" i="1"/>
  <c r="CD75" i="1"/>
  <c r="CD68" i="1"/>
  <c r="CD63" i="1"/>
  <c r="CD58" i="1"/>
  <c r="CD53" i="1"/>
  <c r="CD49" i="1"/>
  <c r="CD44" i="1"/>
  <c r="CD297" i="1"/>
  <c r="CD293" i="1"/>
  <c r="CD287" i="1"/>
  <c r="CD282" i="1"/>
  <c r="CE204" i="1"/>
  <c r="CE201" i="1"/>
  <c r="CE102" i="1"/>
  <c r="CE281" i="1"/>
  <c r="CF204" i="1"/>
  <c r="CF201" i="1"/>
  <c r="CF102" i="1"/>
  <c r="CF281" i="1"/>
  <c r="CG204" i="1"/>
  <c r="CG201" i="1"/>
  <c r="CG102" i="1"/>
  <c r="CH207" i="1"/>
  <c r="CH99" i="1"/>
  <c r="CI207" i="1"/>
  <c r="CI99" i="1"/>
  <c r="CK202" i="1"/>
  <c r="CK187" i="1"/>
  <c r="CK183" i="1"/>
  <c r="CK174" i="1"/>
  <c r="CK164" i="1"/>
  <c r="CK135" i="1"/>
  <c r="CK116" i="1"/>
  <c r="CK112" i="1"/>
  <c r="CK107" i="1"/>
  <c r="CK79" i="1"/>
  <c r="CK75" i="1"/>
  <c r="CK68" i="1"/>
  <c r="CK63" i="1"/>
  <c r="CK58" i="1"/>
  <c r="CK53" i="1"/>
  <c r="CK49" i="1"/>
  <c r="CK42" i="1"/>
  <c r="CK34" i="1"/>
  <c r="CK11" i="1"/>
  <c r="CK295" i="1"/>
  <c r="CK289" i="1"/>
  <c r="CK285" i="1"/>
  <c r="CK212" i="1"/>
  <c r="CL207" i="1"/>
  <c r="CL99" i="1"/>
  <c r="CM207" i="1"/>
  <c r="CM99" i="1"/>
  <c r="CN207" i="1"/>
  <c r="CN99" i="1"/>
  <c r="CN281" i="1"/>
  <c r="CO204" i="1"/>
  <c r="CO201" i="1"/>
  <c r="CO102" i="1"/>
  <c r="CP207" i="1"/>
  <c r="CP99" i="1"/>
  <c r="CQ201" i="1"/>
  <c r="CQ102" i="1"/>
  <c r="CQ11" i="1"/>
  <c r="CQ281" i="1"/>
  <c r="CR201" i="1"/>
  <c r="CR102" i="1"/>
  <c r="CS207" i="1"/>
  <c r="CS99" i="1"/>
  <c r="CT210" i="1"/>
  <c r="CT198" i="1"/>
  <c r="CT196" i="1"/>
  <c r="CT194" i="1"/>
  <c r="CT192" i="1"/>
  <c r="CT181" i="1"/>
  <c r="CT178" i="1"/>
  <c r="CU174" i="1"/>
  <c r="CT168" i="1"/>
  <c r="CU164" i="1"/>
  <c r="CT161" i="1"/>
  <c r="CT158" i="1"/>
  <c r="CT153" i="1"/>
  <c r="CT151" i="1"/>
  <c r="CT145" i="1"/>
  <c r="CT139" i="1"/>
  <c r="CU135" i="1"/>
  <c r="CT132" i="1"/>
  <c r="CT130" i="1"/>
  <c r="CT127" i="1"/>
  <c r="CT124" i="1"/>
  <c r="CT122" i="1"/>
  <c r="CU116" i="1"/>
  <c r="CT104" i="1"/>
  <c r="CT98" i="1"/>
  <c r="CT96" i="1"/>
  <c r="CT94" i="1"/>
  <c r="CT90" i="1"/>
  <c r="CT88" i="1"/>
  <c r="CT85" i="1"/>
  <c r="CU79" i="1"/>
  <c r="CU75" i="1"/>
  <c r="CT72" i="1"/>
  <c r="CU68" i="1"/>
  <c r="CU63" i="1"/>
  <c r="CU58" i="1"/>
  <c r="CU53" i="1"/>
  <c r="CU49" i="1"/>
  <c r="CU44" i="1"/>
  <c r="CT41" i="1"/>
  <c r="CT39" i="1"/>
  <c r="CT33" i="1"/>
  <c r="CT31" i="1"/>
  <c r="CT29" i="1"/>
  <c r="CT27" i="1"/>
  <c r="CT25" i="1"/>
  <c r="CT23" i="1"/>
  <c r="CT21" i="1"/>
  <c r="CT16" i="1"/>
  <c r="CT14" i="1"/>
  <c r="CU297" i="1"/>
  <c r="CV204" i="1"/>
  <c r="CV201" i="1"/>
  <c r="CV102" i="1"/>
  <c r="CV281" i="1"/>
  <c r="CW204" i="1"/>
  <c r="CW201" i="1"/>
  <c r="CW102" i="1"/>
  <c r="CT225" i="1"/>
  <c r="CT226" i="1"/>
  <c r="CT227" i="1"/>
  <c r="CT228" i="1"/>
  <c r="CT229" i="1"/>
  <c r="CT231" i="1"/>
  <c r="CT232" i="1"/>
  <c r="CT233" i="1"/>
  <c r="CT235" i="1"/>
  <c r="N217" i="1"/>
  <c r="AN217" i="1"/>
  <c r="AR217" i="1"/>
  <c r="AW217" i="1"/>
  <c r="AY217" i="1"/>
  <c r="BG217" i="1"/>
  <c r="BQ217" i="1"/>
  <c r="BS217" i="1"/>
  <c r="BU217" i="1"/>
  <c r="CB217" i="1"/>
  <c r="CF217" i="1"/>
  <c r="CH217" i="1"/>
  <c r="CL217" i="1"/>
  <c r="CP217" i="1"/>
  <c r="CR217" i="1"/>
  <c r="CV217" i="1"/>
  <c r="CT238" i="1"/>
  <c r="CT246" i="1"/>
  <c r="CT240" i="1"/>
  <c r="CT241" i="1"/>
  <c r="CT242" i="1"/>
  <c r="CT243" i="1"/>
  <c r="CT244" i="1"/>
  <c r="CT251" i="1"/>
  <c r="CT255" i="1"/>
  <c r="CT256" i="1"/>
  <c r="CT257" i="1"/>
  <c r="CT258" i="1"/>
  <c r="CT259" i="1"/>
  <c r="CT260" i="1"/>
  <c r="CT263" i="1"/>
  <c r="CT264" i="1"/>
  <c r="E91" i="1"/>
  <c r="E220" i="1"/>
  <c r="E234" i="1"/>
  <c r="E92" i="1"/>
  <c r="BA195" i="1"/>
  <c r="BZ16" i="1"/>
  <c r="BZ14" i="1"/>
  <c r="CT52" i="1"/>
  <c r="G126" i="1"/>
  <c r="G89" i="1"/>
  <c r="G20" i="1"/>
  <c r="AF62" i="1"/>
  <c r="BA197" i="1"/>
  <c r="BA193" i="1"/>
  <c r="BA167" i="1"/>
  <c r="BA144" i="1"/>
  <c r="BA140" i="1"/>
  <c r="BA138" i="1"/>
  <c r="BA128" i="1"/>
  <c r="BA126" i="1"/>
  <c r="BA123" i="1"/>
  <c r="BA97" i="1"/>
  <c r="BA95" i="1"/>
  <c r="BA93" i="1"/>
  <c r="BA89" i="1"/>
  <c r="BA71" i="1"/>
  <c r="BA40" i="1"/>
  <c r="BA38" i="1"/>
  <c r="BA32" i="1"/>
  <c r="BA30" i="1"/>
  <c r="BZ113" i="1"/>
  <c r="BZ25" i="1"/>
  <c r="BA231" i="1"/>
  <c r="BA236" i="1"/>
  <c r="BZ238" i="1"/>
  <c r="BA240" i="1"/>
  <c r="BA242" i="1"/>
  <c r="G173" i="1"/>
  <c r="G138" i="1"/>
  <c r="AF106" i="1"/>
  <c r="AF67" i="1"/>
  <c r="BA59" i="1"/>
  <c r="CL57" i="1"/>
  <c r="AP62" i="1"/>
  <c r="AQ156" i="1"/>
  <c r="AR156" i="1"/>
  <c r="BB160" i="1"/>
  <c r="BB103" i="1"/>
  <c r="BB84" i="1"/>
  <c r="BK157" i="1"/>
  <c r="BM169" i="1"/>
  <c r="BM146" i="1"/>
  <c r="CT173" i="1"/>
  <c r="CT213" i="1"/>
  <c r="BA221" i="1"/>
  <c r="G222" i="1"/>
  <c r="G188" i="1"/>
  <c r="G101" i="1"/>
  <c r="H106" i="1"/>
  <c r="H36" i="1"/>
  <c r="I17" i="1"/>
  <c r="J208" i="1"/>
  <c r="J146" i="1"/>
  <c r="G145" i="1"/>
  <c r="G139" i="1"/>
  <c r="G128" i="1"/>
  <c r="G28" i="1"/>
  <c r="G26" i="1"/>
  <c r="G24" i="1"/>
  <c r="G22" i="1"/>
  <c r="K106" i="1"/>
  <c r="G130" i="1"/>
  <c r="R106" i="1"/>
  <c r="T111" i="1"/>
  <c r="G95" i="1"/>
  <c r="AF83" i="1"/>
  <c r="R237" i="1"/>
  <c r="I46" i="1"/>
  <c r="R163" i="1"/>
  <c r="CA164" i="1"/>
  <c r="BZ165" i="1"/>
  <c r="CA100" i="1"/>
  <c r="BZ101" i="1"/>
  <c r="G110" i="1"/>
  <c r="G76" i="1"/>
  <c r="H46" i="1"/>
  <c r="H17" i="1"/>
  <c r="I36" i="1"/>
  <c r="P57" i="1"/>
  <c r="Q208" i="1"/>
  <c r="G196" i="1"/>
  <c r="G192" i="1"/>
  <c r="G181" i="1"/>
  <c r="G178" i="1"/>
  <c r="G123" i="1"/>
  <c r="G105" i="1"/>
  <c r="G97" i="1"/>
  <c r="G93" i="1"/>
  <c r="G86" i="1"/>
  <c r="G32" i="1"/>
  <c r="R176" i="1"/>
  <c r="T156" i="1"/>
  <c r="T57" i="1"/>
  <c r="AM156" i="1"/>
  <c r="AZ62" i="1"/>
  <c r="BA148" i="1"/>
  <c r="BA296" i="1"/>
  <c r="BZ105" i="1"/>
  <c r="BZ89" i="1"/>
  <c r="BZ218" i="1"/>
  <c r="CO44" i="1"/>
  <c r="CK45" i="1"/>
  <c r="CU103" i="1"/>
  <c r="CT105" i="1"/>
  <c r="CU77" i="1"/>
  <c r="CT78" i="1"/>
  <c r="CU60" i="1"/>
  <c r="CT61" i="1"/>
  <c r="CU283" i="1"/>
  <c r="CN237" i="1"/>
  <c r="BA28" i="1"/>
  <c r="BA26" i="1"/>
  <c r="BA24" i="1"/>
  <c r="BA22" i="1"/>
  <c r="BA20" i="1"/>
  <c r="BA18" i="1"/>
  <c r="BA15" i="1"/>
  <c r="BB214" i="1"/>
  <c r="BA181" i="1"/>
  <c r="BA178" i="1"/>
  <c r="BA161" i="1"/>
  <c r="BA153" i="1"/>
  <c r="BA151" i="1"/>
  <c r="BI57" i="1"/>
  <c r="BK169" i="1"/>
  <c r="BM70" i="1"/>
  <c r="BA215" i="1"/>
  <c r="CC62" i="1"/>
  <c r="CE106" i="1"/>
  <c r="CE284" i="1"/>
  <c r="CG106" i="1"/>
  <c r="CI62" i="1"/>
  <c r="CV62" i="1"/>
  <c r="G219" i="1"/>
  <c r="BZ219" i="1"/>
  <c r="G221" i="1"/>
  <c r="BA226" i="1"/>
  <c r="G227" i="1"/>
  <c r="BZ227" i="1"/>
  <c r="G228" i="1"/>
  <c r="BA228" i="1"/>
  <c r="G229" i="1"/>
  <c r="BZ229" i="1"/>
  <c r="G231" i="1"/>
  <c r="G232" i="1"/>
  <c r="BZ232" i="1"/>
  <c r="G233" i="1"/>
  <c r="BA233" i="1"/>
  <c r="BI217" i="1"/>
  <c r="G235" i="1"/>
  <c r="BZ235" i="1"/>
  <c r="G236" i="1"/>
  <c r="BZ236" i="1"/>
  <c r="BJ217" i="1"/>
  <c r="AS237" i="1"/>
  <c r="I237" i="1"/>
  <c r="AA237" i="1"/>
  <c r="BZ259" i="1"/>
  <c r="AE247" i="1"/>
  <c r="V257" i="1"/>
  <c r="CS265" i="1"/>
  <c r="V288" i="1"/>
  <c r="BB291" i="1"/>
  <c r="BA292" i="1"/>
  <c r="R10" i="1"/>
  <c r="S141" i="1"/>
  <c r="T163" i="1"/>
  <c r="U163" i="1"/>
  <c r="U111" i="1"/>
  <c r="AQ176" i="1"/>
  <c r="AR163" i="1"/>
  <c r="AR111" i="1"/>
  <c r="AZ67" i="1"/>
  <c r="BB11" i="1"/>
  <c r="BA12" i="1"/>
  <c r="BA104" i="1"/>
  <c r="CC67" i="1"/>
  <c r="CD60" i="1"/>
  <c r="BZ61" i="1"/>
  <c r="CE46" i="1"/>
  <c r="CU202" i="1"/>
  <c r="CT203" i="1"/>
  <c r="CU187" i="1"/>
  <c r="CT188" i="1"/>
  <c r="CU183" i="1"/>
  <c r="CT184" i="1"/>
  <c r="CU112" i="1"/>
  <c r="CT113" i="1"/>
  <c r="CU107" i="1"/>
  <c r="CT108" i="1"/>
  <c r="CU36" i="1"/>
  <c r="CU17" i="1"/>
  <c r="CT19" i="1"/>
  <c r="CU293" i="1"/>
  <c r="CT294" i="1"/>
  <c r="CU289" i="1"/>
  <c r="CT290" i="1"/>
  <c r="CU285" i="1"/>
  <c r="CT286" i="1"/>
  <c r="G165" i="1"/>
  <c r="G280" i="1"/>
  <c r="H62" i="1"/>
  <c r="H57" i="1"/>
  <c r="I111" i="1"/>
  <c r="I62" i="1"/>
  <c r="I57" i="1"/>
  <c r="K57" i="1"/>
  <c r="N83" i="1"/>
  <c r="O156" i="1"/>
  <c r="O57" i="1"/>
  <c r="P83" i="1"/>
  <c r="R46" i="1"/>
  <c r="R284" i="1"/>
  <c r="S120" i="1"/>
  <c r="T176" i="1"/>
  <c r="U176" i="1"/>
  <c r="X287" i="1"/>
  <c r="AI46" i="1"/>
  <c r="AI284" i="1"/>
  <c r="AM34" i="1"/>
  <c r="AE35" i="1"/>
  <c r="AP67" i="1"/>
  <c r="AQ163" i="1"/>
  <c r="AQ111" i="1"/>
  <c r="AR176" i="1"/>
  <c r="AZ116" i="1"/>
  <c r="AE117" i="1"/>
  <c r="BA288" i="1"/>
  <c r="BP129" i="1"/>
  <c r="BM131" i="1"/>
  <c r="BZ200" i="1"/>
  <c r="BZ74" i="1"/>
  <c r="BZ209" i="1"/>
  <c r="BZ197" i="1"/>
  <c r="BZ195" i="1"/>
  <c r="BZ193" i="1"/>
  <c r="BZ182" i="1"/>
  <c r="BZ180" i="1"/>
  <c r="BZ177" i="1"/>
  <c r="BZ170" i="1"/>
  <c r="BZ167" i="1"/>
  <c r="BZ154" i="1"/>
  <c r="BZ152" i="1"/>
  <c r="BZ150" i="1"/>
  <c r="BZ147" i="1"/>
  <c r="BZ144" i="1"/>
  <c r="BZ140" i="1"/>
  <c r="BZ138" i="1"/>
  <c r="BZ131" i="1"/>
  <c r="BZ128" i="1"/>
  <c r="BZ32" i="1"/>
  <c r="BZ15" i="1"/>
  <c r="CE10" i="1"/>
  <c r="CF120" i="1"/>
  <c r="CG46" i="1"/>
  <c r="CH141" i="1"/>
  <c r="CT45" i="1"/>
  <c r="CT298" i="1"/>
  <c r="U284" i="1"/>
  <c r="G140" i="1"/>
  <c r="Z156" i="1"/>
  <c r="Z62" i="1"/>
  <c r="AE288" i="1"/>
  <c r="AI106" i="1"/>
  <c r="AI10" i="1"/>
  <c r="AN83" i="1"/>
  <c r="AP106" i="1"/>
  <c r="AP83" i="1"/>
  <c r="AQ57" i="1"/>
  <c r="AR57" i="1"/>
  <c r="AT156" i="1"/>
  <c r="AV156" i="1"/>
  <c r="AX156" i="1"/>
  <c r="AX62" i="1"/>
  <c r="AY106" i="1"/>
  <c r="AZ106" i="1"/>
  <c r="AZ83" i="1"/>
  <c r="AZ17" i="1"/>
  <c r="BJ83" i="1"/>
  <c r="BK208" i="1"/>
  <c r="BK160" i="1"/>
  <c r="BK146" i="1"/>
  <c r="BN83" i="1"/>
  <c r="BO156" i="1"/>
  <c r="BP106" i="1"/>
  <c r="BQ62" i="1"/>
  <c r="BR106" i="1"/>
  <c r="BS62" i="1"/>
  <c r="BT106" i="1"/>
  <c r="BU62" i="1"/>
  <c r="BV106" i="1"/>
  <c r="BW62" i="1"/>
  <c r="BX106" i="1"/>
  <c r="BZ126" i="1"/>
  <c r="BZ123" i="1"/>
  <c r="BZ97" i="1"/>
  <c r="BZ95" i="1"/>
  <c r="BZ93" i="1"/>
  <c r="BZ86" i="1"/>
  <c r="BZ71" i="1"/>
  <c r="BZ40" i="1"/>
  <c r="BZ28" i="1"/>
  <c r="BZ26" i="1"/>
  <c r="BZ24" i="1"/>
  <c r="BZ22" i="1"/>
  <c r="BZ20" i="1"/>
  <c r="BZ215" i="1"/>
  <c r="CC106" i="1"/>
  <c r="CC83" i="1"/>
  <c r="CD208" i="1"/>
  <c r="BZ196" i="1"/>
  <c r="BZ171" i="1"/>
  <c r="CD166" i="1"/>
  <c r="BZ158" i="1"/>
  <c r="BZ145" i="1"/>
  <c r="BZ132" i="1"/>
  <c r="BZ122" i="1"/>
  <c r="BZ39" i="1"/>
  <c r="BZ29" i="1"/>
  <c r="BZ21" i="1"/>
  <c r="CE62" i="1"/>
  <c r="CE57" i="1"/>
  <c r="CF141" i="1"/>
  <c r="CG10" i="1"/>
  <c r="CH120" i="1"/>
  <c r="CU118" i="1"/>
  <c r="CT119" i="1"/>
  <c r="CU114" i="1"/>
  <c r="CT115" i="1"/>
  <c r="CU100" i="1"/>
  <c r="CT101" i="1"/>
  <c r="CU81" i="1"/>
  <c r="CT82" i="1"/>
  <c r="CU73" i="1"/>
  <c r="CT74" i="1"/>
  <c r="CU65" i="1"/>
  <c r="CT66" i="1"/>
  <c r="CU55" i="1"/>
  <c r="CT56" i="1"/>
  <c r="CU47" i="1"/>
  <c r="CT48" i="1"/>
  <c r="CU42" i="1"/>
  <c r="CT43" i="1"/>
  <c r="CU34" i="1"/>
  <c r="CT35" i="1"/>
  <c r="CV67" i="1"/>
  <c r="BB237" i="1"/>
  <c r="BK237" i="1"/>
  <c r="BF237" i="1"/>
  <c r="CD237" i="1"/>
  <c r="CF156" i="1"/>
  <c r="CF62" i="1"/>
  <c r="CG62" i="1"/>
  <c r="CG57" i="1"/>
  <c r="CH156" i="1"/>
  <c r="CH62" i="1"/>
  <c r="CK208" i="1"/>
  <c r="CL83" i="1"/>
  <c r="CQ57" i="1"/>
  <c r="CR83" i="1"/>
  <c r="CS62" i="1"/>
  <c r="CU160" i="1"/>
  <c r="CU214" i="1"/>
  <c r="CV106" i="1"/>
  <c r="CV83" i="1"/>
  <c r="BA270" i="1"/>
  <c r="G274" i="1"/>
  <c r="BA277" i="1"/>
  <c r="BZ277" i="1"/>
  <c r="BA278" i="1"/>
  <c r="BZ252" i="1"/>
  <c r="BA253" i="1"/>
  <c r="BZ254" i="1"/>
  <c r="BA262" i="1"/>
  <c r="J87" i="1"/>
  <c r="N111" i="1"/>
  <c r="G124" i="1"/>
  <c r="G122" i="1"/>
  <c r="G104" i="1"/>
  <c r="AJ141" i="1"/>
  <c r="AS120" i="1"/>
  <c r="AT176" i="1"/>
  <c r="AU163" i="1"/>
  <c r="AU111" i="1"/>
  <c r="AV176" i="1"/>
  <c r="AW163" i="1"/>
  <c r="AW111" i="1"/>
  <c r="BM121" i="1"/>
  <c r="BM13" i="1"/>
  <c r="CA77" i="1"/>
  <c r="BZ78" i="1"/>
  <c r="CA293" i="1"/>
  <c r="BZ294" i="1"/>
  <c r="CA285" i="1"/>
  <c r="BZ286" i="1"/>
  <c r="CC36" i="1"/>
  <c r="CA38" i="1"/>
  <c r="CD214" i="1"/>
  <c r="BZ216" i="1"/>
  <c r="CD279" i="1"/>
  <c r="BZ280" i="1"/>
  <c r="CI67" i="1"/>
  <c r="CS67" i="1"/>
  <c r="CK246" i="1"/>
  <c r="CO237" i="1"/>
  <c r="G200" i="1"/>
  <c r="G184" i="1"/>
  <c r="G148" i="1"/>
  <c r="G134" i="1"/>
  <c r="G12" i="1"/>
  <c r="I129" i="1"/>
  <c r="J13" i="1"/>
  <c r="K83" i="1"/>
  <c r="K62" i="1"/>
  <c r="L156" i="1"/>
  <c r="O36" i="1"/>
  <c r="P106" i="1"/>
  <c r="P62" i="1"/>
  <c r="G147" i="1"/>
  <c r="G144" i="1"/>
  <c r="Q131" i="1"/>
  <c r="G215" i="1"/>
  <c r="R156" i="1"/>
  <c r="R62" i="1"/>
  <c r="R57" i="1"/>
  <c r="S156" i="1"/>
  <c r="S62" i="1"/>
  <c r="U156" i="1"/>
  <c r="U57" i="1"/>
  <c r="G198" i="1"/>
  <c r="G194" i="1"/>
  <c r="V168" i="1"/>
  <c r="G158" i="1"/>
  <c r="V103" i="1"/>
  <c r="V84" i="1"/>
  <c r="V54" i="1"/>
  <c r="V40" i="1"/>
  <c r="V30" i="1"/>
  <c r="X57" i="1"/>
  <c r="Y156" i="1"/>
  <c r="AA83" i="1"/>
  <c r="AB83" i="1"/>
  <c r="AE159" i="1"/>
  <c r="AE38" i="1"/>
  <c r="AI62" i="1"/>
  <c r="AI57" i="1"/>
  <c r="AJ120" i="1"/>
  <c r="BA171" i="1"/>
  <c r="BA69" i="1"/>
  <c r="BA50" i="1"/>
  <c r="BA209" i="1"/>
  <c r="BB109" i="1"/>
  <c r="BA110" i="1"/>
  <c r="BB100" i="1"/>
  <c r="BA101" i="1"/>
  <c r="BB73" i="1"/>
  <c r="BA74" i="1"/>
  <c r="BC120" i="1"/>
  <c r="BD46" i="1"/>
  <c r="BD284" i="1"/>
  <c r="BE120" i="1"/>
  <c r="BF174" i="1"/>
  <c r="BA175" i="1"/>
  <c r="BA158" i="1"/>
  <c r="BF63" i="1"/>
  <c r="BA64" i="1"/>
  <c r="BF53" i="1"/>
  <c r="BA54" i="1"/>
  <c r="BF297" i="1"/>
  <c r="BA298" i="1"/>
  <c r="BF293" i="1"/>
  <c r="BA294" i="1"/>
  <c r="BF289" i="1"/>
  <c r="BA290" i="1"/>
  <c r="BF286" i="1"/>
  <c r="BA218" i="1"/>
  <c r="BG46" i="1"/>
  <c r="BG284" i="1"/>
  <c r="BH120" i="1"/>
  <c r="BM149" i="1"/>
  <c r="BM137" i="1"/>
  <c r="BM125" i="1"/>
  <c r="BZ210" i="1"/>
  <c r="BZ184" i="1"/>
  <c r="BZ82" i="1"/>
  <c r="BZ69" i="1"/>
  <c r="BZ54" i="1"/>
  <c r="BZ298" i="1"/>
  <c r="BZ283" i="1"/>
  <c r="CA202" i="1"/>
  <c r="BZ203" i="1"/>
  <c r="BZ198" i="1"/>
  <c r="BZ194" i="1"/>
  <c r="CA187" i="1"/>
  <c r="BZ188" i="1"/>
  <c r="BZ181" i="1"/>
  <c r="CA174" i="1"/>
  <c r="BZ175" i="1"/>
  <c r="BZ168" i="1"/>
  <c r="BZ161" i="1"/>
  <c r="BZ153" i="1"/>
  <c r="BZ148" i="1"/>
  <c r="BZ143" i="1"/>
  <c r="CA135" i="1"/>
  <c r="BZ136" i="1"/>
  <c r="BZ130" i="1"/>
  <c r="CA127" i="1"/>
  <c r="BZ124" i="1"/>
  <c r="CA116" i="1"/>
  <c r="BZ117" i="1"/>
  <c r="CA107" i="1"/>
  <c r="BZ108" i="1"/>
  <c r="BZ104" i="1"/>
  <c r="CA63" i="1"/>
  <c r="BZ64" i="1"/>
  <c r="CA58" i="1"/>
  <c r="BZ59" i="1"/>
  <c r="CA49" i="1"/>
  <c r="BZ50" i="1"/>
  <c r="BZ41" i="1"/>
  <c r="BZ27" i="1"/>
  <c r="BZ23" i="1"/>
  <c r="CU199" i="1"/>
  <c r="CT200" i="1"/>
  <c r="CU11" i="1"/>
  <c r="CT12" i="1"/>
  <c r="CU295" i="1"/>
  <c r="CT296" i="1"/>
  <c r="CU291" i="1"/>
  <c r="CT292" i="1"/>
  <c r="CU287" i="1"/>
  <c r="CT288" i="1"/>
  <c r="CU279" i="1"/>
  <c r="CT280" i="1"/>
  <c r="CN291" i="1"/>
  <c r="CK292" i="1"/>
  <c r="AJ156" i="1"/>
  <c r="AJ62" i="1"/>
  <c r="AK156" i="1"/>
  <c r="AL83" i="1"/>
  <c r="AS141" i="1"/>
  <c r="AT163" i="1"/>
  <c r="AT111" i="1"/>
  <c r="AU176" i="1"/>
  <c r="AU156" i="1"/>
  <c r="AV163" i="1"/>
  <c r="AV111" i="1"/>
  <c r="AW176" i="1"/>
  <c r="AW156" i="1"/>
  <c r="AX67" i="1"/>
  <c r="BC141" i="1"/>
  <c r="BD106" i="1"/>
  <c r="BD10" i="1"/>
  <c r="BE141" i="1"/>
  <c r="BG106" i="1"/>
  <c r="BG10" i="1"/>
  <c r="BH141" i="1"/>
  <c r="BI83" i="1"/>
  <c r="BL83" i="1"/>
  <c r="BM208" i="1"/>
  <c r="BM157" i="1"/>
  <c r="BM103" i="1"/>
  <c r="BM84" i="1"/>
  <c r="BQ67" i="1"/>
  <c r="BS67" i="1"/>
  <c r="BU67" i="1"/>
  <c r="BW67" i="1"/>
  <c r="CA160" i="1"/>
  <c r="CA157" i="1"/>
  <c r="CA103" i="1"/>
  <c r="BZ98" i="1"/>
  <c r="BZ96" i="1"/>
  <c r="BZ94" i="1"/>
  <c r="BZ90" i="1"/>
  <c r="BZ88" i="1"/>
  <c r="BZ85" i="1"/>
  <c r="CB106" i="1"/>
  <c r="CC156" i="1"/>
  <c r="CQ284" i="1"/>
  <c r="CI106" i="1"/>
  <c r="CI83" i="1"/>
  <c r="CK84" i="1"/>
  <c r="CL106" i="1"/>
  <c r="CL62" i="1"/>
  <c r="CM156" i="1"/>
  <c r="CN83" i="1"/>
  <c r="CO156" i="1"/>
  <c r="CP106" i="1"/>
  <c r="CQ83" i="1"/>
  <c r="CS106" i="1"/>
  <c r="CS83" i="1"/>
  <c r="BZ245" i="1"/>
  <c r="BA272" i="1"/>
  <c r="BZ272" i="1"/>
  <c r="G271" i="1"/>
  <c r="BA244" i="1"/>
  <c r="V240" i="1"/>
  <c r="O237" i="1"/>
  <c r="U237" i="1"/>
  <c r="AM237" i="1"/>
  <c r="K237" i="1"/>
  <c r="Y237" i="1"/>
  <c r="AE243" i="1"/>
  <c r="J246" i="1"/>
  <c r="V246" i="1"/>
  <c r="BA251" i="1"/>
  <c r="BA264" i="1"/>
  <c r="V248" i="1"/>
  <c r="V249" i="1"/>
  <c r="V251" i="1"/>
  <c r="J253" i="1"/>
  <c r="V253" i="1"/>
  <c r="V255" i="1"/>
  <c r="AE256" i="1"/>
  <c r="V258" i="1"/>
  <c r="V261" i="1"/>
  <c r="V262" i="1"/>
  <c r="O176" i="1"/>
  <c r="Q149" i="1"/>
  <c r="Q125" i="1"/>
  <c r="V191" i="1"/>
  <c r="G210" i="1"/>
  <c r="G203" i="1"/>
  <c r="G190" i="1"/>
  <c r="G186" i="1"/>
  <c r="G136" i="1"/>
  <c r="G113" i="1"/>
  <c r="G108" i="1"/>
  <c r="G88" i="1"/>
  <c r="G80" i="1"/>
  <c r="G50" i="1"/>
  <c r="G14" i="1"/>
  <c r="G283" i="1"/>
  <c r="G161" i="1"/>
  <c r="G153" i="1"/>
  <c r="G151" i="1"/>
  <c r="J137" i="1"/>
  <c r="J127" i="1"/>
  <c r="J121" i="1"/>
  <c r="G218" i="1"/>
  <c r="L83" i="1"/>
  <c r="L10" i="1"/>
  <c r="M141" i="1"/>
  <c r="M111" i="1"/>
  <c r="M83" i="1"/>
  <c r="N176" i="1"/>
  <c r="N156" i="1"/>
  <c r="O163" i="1"/>
  <c r="O83" i="1"/>
  <c r="Q169" i="1"/>
  <c r="Q146" i="1"/>
  <c r="Q121" i="1"/>
  <c r="Q70" i="1"/>
  <c r="Q214" i="1"/>
  <c r="S67" i="1"/>
  <c r="V179" i="1"/>
  <c r="V160" i="1"/>
  <c r="V150" i="1"/>
  <c r="V132" i="1"/>
  <c r="W106" i="1"/>
  <c r="X106" i="1"/>
  <c r="Y83" i="1"/>
  <c r="Y284" i="1"/>
  <c r="Z163" i="1"/>
  <c r="Z111" i="1"/>
  <c r="Z83" i="1"/>
  <c r="AA156" i="1"/>
  <c r="AA57" i="1"/>
  <c r="AB176" i="1"/>
  <c r="L46" i="1"/>
  <c r="L284" i="1"/>
  <c r="N163" i="1"/>
  <c r="Q137" i="1"/>
  <c r="W46" i="1"/>
  <c r="Z176" i="1"/>
  <c r="AB163" i="1"/>
  <c r="AB111" i="1"/>
  <c r="AC46" i="1"/>
  <c r="AC284" i="1"/>
  <c r="AF120" i="1"/>
  <c r="AG46" i="1"/>
  <c r="AH46" i="1"/>
  <c r="AK176" i="1"/>
  <c r="AL163" i="1"/>
  <c r="AL111" i="1"/>
  <c r="AM176" i="1"/>
  <c r="AN163" i="1"/>
  <c r="AN111" i="1"/>
  <c r="AO46" i="1"/>
  <c r="AO284" i="1"/>
  <c r="AP120" i="1"/>
  <c r="AS67" i="1"/>
  <c r="BB179" i="1"/>
  <c r="BC67" i="1"/>
  <c r="BE67" i="1"/>
  <c r="BH67" i="1"/>
  <c r="BK87" i="1"/>
  <c r="BN176" i="1"/>
  <c r="BN156" i="1"/>
  <c r="BO163" i="1"/>
  <c r="BO111" i="1"/>
  <c r="BO83" i="1"/>
  <c r="BP176" i="1"/>
  <c r="BP156" i="1"/>
  <c r="BP46" i="1"/>
  <c r="BP284" i="1"/>
  <c r="BQ120" i="1"/>
  <c r="BQ106" i="1"/>
  <c r="BQ83" i="1"/>
  <c r="BR46" i="1"/>
  <c r="BR284" i="1"/>
  <c r="BS120" i="1"/>
  <c r="BS106" i="1"/>
  <c r="BS83" i="1"/>
  <c r="BT46" i="1"/>
  <c r="BT284" i="1"/>
  <c r="BU120" i="1"/>
  <c r="BU106" i="1"/>
  <c r="BU83" i="1"/>
  <c r="BV46" i="1"/>
  <c r="BV284" i="1"/>
  <c r="BW120" i="1"/>
  <c r="BW106" i="1"/>
  <c r="BW83" i="1"/>
  <c r="BX46" i="1"/>
  <c r="BX284" i="1"/>
  <c r="BZ162" i="1"/>
  <c r="BZ159" i="1"/>
  <c r="BZ119" i="1"/>
  <c r="BZ115" i="1"/>
  <c r="BZ66" i="1"/>
  <c r="BZ56" i="1"/>
  <c r="BZ52" i="1"/>
  <c r="BZ48" i="1"/>
  <c r="BZ43" i="1"/>
  <c r="BZ35" i="1"/>
  <c r="CB46" i="1"/>
  <c r="CC17" i="1"/>
  <c r="CK87" i="1"/>
  <c r="AB156" i="1"/>
  <c r="AC106" i="1"/>
  <c r="AC10" i="1"/>
  <c r="AE160" i="1"/>
  <c r="AF141" i="1"/>
  <c r="AG106" i="1"/>
  <c r="AH106" i="1"/>
  <c r="AJ67" i="1"/>
  <c r="AK163" i="1"/>
  <c r="AK111" i="1"/>
  <c r="AK83" i="1"/>
  <c r="AL176" i="1"/>
  <c r="AL156" i="1"/>
  <c r="AM163" i="1"/>
  <c r="AM111" i="1"/>
  <c r="AM83" i="1"/>
  <c r="AN176" i="1"/>
  <c r="AN156" i="1"/>
  <c r="AO106" i="1"/>
  <c r="AO10" i="1"/>
  <c r="AP141" i="1"/>
  <c r="AS156" i="1"/>
  <c r="AS62" i="1"/>
  <c r="AT57" i="1"/>
  <c r="AU57" i="1"/>
  <c r="AV57" i="1"/>
  <c r="AW57" i="1"/>
  <c r="AX106" i="1"/>
  <c r="AX83" i="1"/>
  <c r="BA206" i="1"/>
  <c r="BA134" i="1"/>
  <c r="BA82" i="1"/>
  <c r="BA61" i="1"/>
  <c r="BB191" i="1"/>
  <c r="BB166" i="1"/>
  <c r="BB142" i="1"/>
  <c r="BB36" i="1"/>
  <c r="BB17" i="1"/>
  <c r="BC156" i="1"/>
  <c r="BC62" i="1"/>
  <c r="BD62" i="1"/>
  <c r="BD57" i="1"/>
  <c r="BE156" i="1"/>
  <c r="BE62" i="1"/>
  <c r="BF208" i="1"/>
  <c r="BF166" i="1"/>
  <c r="BF214" i="1"/>
  <c r="BG62" i="1"/>
  <c r="BG57" i="1"/>
  <c r="BH156" i="1"/>
  <c r="BH62" i="1"/>
  <c r="BI106" i="1"/>
  <c r="BI62" i="1"/>
  <c r="BJ156" i="1"/>
  <c r="BJ57" i="1"/>
  <c r="BK84" i="1"/>
  <c r="BL156" i="1"/>
  <c r="BL57" i="1"/>
  <c r="BN163" i="1"/>
  <c r="BN111" i="1"/>
  <c r="BO176" i="1"/>
  <c r="BP163" i="1"/>
  <c r="BP10" i="1"/>
  <c r="BQ141" i="1"/>
  <c r="BR10" i="1"/>
  <c r="BS141" i="1"/>
  <c r="BT10" i="1"/>
  <c r="BU141" i="1"/>
  <c r="BV10" i="1"/>
  <c r="BW141" i="1"/>
  <c r="BX10" i="1"/>
  <c r="CB10" i="1"/>
  <c r="CC176" i="1"/>
  <c r="CI120" i="1"/>
  <c r="CI291" i="1"/>
  <c r="CD292" i="1"/>
  <c r="CK149" i="1"/>
  <c r="CK137" i="1"/>
  <c r="CK125" i="1"/>
  <c r="CC163" i="1"/>
  <c r="CF67" i="1"/>
  <c r="CH67" i="1"/>
  <c r="CI141" i="1"/>
  <c r="CK169" i="1"/>
  <c r="CK146" i="1"/>
  <c r="CK129" i="1"/>
  <c r="CK121" i="1"/>
  <c r="CK70" i="1"/>
  <c r="CM163" i="1"/>
  <c r="CM111" i="1"/>
  <c r="CM83" i="1"/>
  <c r="CN176" i="1"/>
  <c r="CN156" i="1"/>
  <c r="CO163" i="1"/>
  <c r="CO111" i="1"/>
  <c r="CO83" i="1"/>
  <c r="CP46" i="1"/>
  <c r="CP284" i="1"/>
  <c r="CQ206" i="1"/>
  <c r="CQ106" i="1"/>
  <c r="CQ62" i="1"/>
  <c r="CR156" i="1"/>
  <c r="CR57" i="1"/>
  <c r="CS141" i="1"/>
  <c r="CT190" i="1"/>
  <c r="CT186" i="1"/>
  <c r="CT80" i="1"/>
  <c r="CT76" i="1"/>
  <c r="CU191" i="1"/>
  <c r="CU166" i="1"/>
  <c r="CU142" i="1"/>
  <c r="CV141" i="1"/>
  <c r="CW106" i="1"/>
  <c r="CW10" i="1"/>
  <c r="BZ222" i="1"/>
  <c r="G224" i="1"/>
  <c r="BA224" i="1"/>
  <c r="G225" i="1"/>
  <c r="G226" i="1"/>
  <c r="W237" i="1"/>
  <c r="G266" i="1"/>
  <c r="J265" i="1"/>
  <c r="CM176" i="1"/>
  <c r="CN163" i="1"/>
  <c r="CN111" i="1"/>
  <c r="CO176" i="1"/>
  <c r="CP10" i="1"/>
  <c r="CR284" i="1"/>
  <c r="CS120" i="1"/>
  <c r="CU179" i="1"/>
  <c r="CV120" i="1"/>
  <c r="CW46" i="1"/>
  <c r="CW284" i="1"/>
  <c r="AE241" i="1"/>
  <c r="AG237" i="1"/>
  <c r="AE244" i="1"/>
  <c r="BA239" i="1"/>
  <c r="BA246" i="1"/>
  <c r="G267" i="1"/>
  <c r="V265" i="1"/>
  <c r="BK265" i="1"/>
  <c r="Q265" i="1"/>
  <c r="AE265" i="1"/>
  <c r="BM265" i="1"/>
  <c r="CD265" i="1"/>
  <c r="BA273" i="1"/>
  <c r="BZ273" i="1"/>
  <c r="G275" i="1"/>
  <c r="AE240" i="1"/>
  <c r="H237" i="1"/>
  <c r="J241" i="1"/>
  <c r="P237" i="1"/>
  <c r="V241" i="1"/>
  <c r="AH237" i="1"/>
  <c r="AL237" i="1"/>
  <c r="J243" i="1"/>
  <c r="V243" i="1"/>
  <c r="Z237" i="1"/>
  <c r="J244" i="1"/>
  <c r="V244" i="1"/>
  <c r="V245" i="1"/>
  <c r="AE246" i="1"/>
  <c r="BA249" i="1"/>
  <c r="BA255" i="1"/>
  <c r="BA257" i="1"/>
  <c r="BA258" i="1"/>
  <c r="BZ263" i="1"/>
  <c r="J247" i="1"/>
  <c r="V247" i="1"/>
  <c r="J250" i="1"/>
  <c r="V250" i="1"/>
  <c r="Q253" i="1"/>
  <c r="AE253" i="1"/>
  <c r="V254" i="1"/>
  <c r="V256" i="1"/>
  <c r="AE257" i="1"/>
  <c r="V259" i="1"/>
  <c r="V260" i="1"/>
  <c r="AE262" i="1"/>
  <c r="V264" i="1"/>
  <c r="I163" i="1"/>
  <c r="I67" i="1"/>
  <c r="J169" i="1"/>
  <c r="J166" i="1"/>
  <c r="J157" i="1"/>
  <c r="J84" i="1"/>
  <c r="J70" i="1"/>
  <c r="K176" i="1"/>
  <c r="K156" i="1"/>
  <c r="L163" i="1"/>
  <c r="L111" i="1"/>
  <c r="L106" i="1"/>
  <c r="L57" i="1"/>
  <c r="M156" i="1"/>
  <c r="M57" i="1"/>
  <c r="N57" i="1"/>
  <c r="O111" i="1"/>
  <c r="O106" i="1"/>
  <c r="O62" i="1"/>
  <c r="P176" i="1"/>
  <c r="P156" i="1"/>
  <c r="Q157" i="1"/>
  <c r="Q103" i="1"/>
  <c r="Q84" i="1"/>
  <c r="R67" i="1"/>
  <c r="S106" i="1"/>
  <c r="S83" i="1"/>
  <c r="T83" i="1"/>
  <c r="U83" i="1"/>
  <c r="V169" i="1"/>
  <c r="V146" i="1"/>
  <c r="W120" i="1"/>
  <c r="W62" i="1"/>
  <c r="W57" i="1"/>
  <c r="X176" i="1"/>
  <c r="X156" i="1"/>
  <c r="X62" i="1"/>
  <c r="Y163" i="1"/>
  <c r="Y111" i="1"/>
  <c r="Y106" i="1"/>
  <c r="Y62" i="1"/>
  <c r="Y57" i="1"/>
  <c r="Z46" i="1"/>
  <c r="AA111" i="1"/>
  <c r="AA106" i="1"/>
  <c r="AA62" i="1"/>
  <c r="AB57" i="1"/>
  <c r="AB284" i="1"/>
  <c r="AC120" i="1"/>
  <c r="AC62" i="1"/>
  <c r="AC57" i="1"/>
  <c r="AE208" i="1"/>
  <c r="AE191" i="1"/>
  <c r="AE166" i="1"/>
  <c r="AE142" i="1"/>
  <c r="AF10" i="1"/>
  <c r="AG141" i="1"/>
  <c r="AG67" i="1"/>
  <c r="AS46" i="1"/>
  <c r="AX141" i="1"/>
  <c r="AY67" i="1"/>
  <c r="AY284" i="1"/>
  <c r="I176" i="1"/>
  <c r="I141" i="1"/>
  <c r="K163" i="1"/>
  <c r="K111" i="1"/>
  <c r="L176" i="1"/>
  <c r="P163" i="1"/>
  <c r="P111" i="1"/>
  <c r="Q87" i="1"/>
  <c r="S46" i="1"/>
  <c r="W141" i="1"/>
  <c r="W67" i="1"/>
  <c r="X163" i="1"/>
  <c r="Y176" i="1"/>
  <c r="Y67" i="1"/>
  <c r="Z10" i="1"/>
  <c r="AC141" i="1"/>
  <c r="AC67" i="1"/>
  <c r="AE179" i="1"/>
  <c r="AE103" i="1"/>
  <c r="AE70" i="1"/>
  <c r="AE214" i="1"/>
  <c r="AF156" i="1"/>
  <c r="AF46" i="1"/>
  <c r="AF284" i="1"/>
  <c r="AG120" i="1"/>
  <c r="AG62" i="1"/>
  <c r="AG57" i="1"/>
  <c r="AH62" i="1"/>
  <c r="AH57" i="1"/>
  <c r="AI156" i="1"/>
  <c r="AJ106" i="1"/>
  <c r="AJ83" i="1"/>
  <c r="AK57" i="1"/>
  <c r="AL57" i="1"/>
  <c r="AM57" i="1"/>
  <c r="AN57" i="1"/>
  <c r="AO62" i="1"/>
  <c r="AO57" i="1"/>
  <c r="AP156" i="1"/>
  <c r="AQ83" i="1"/>
  <c r="AR83" i="1"/>
  <c r="AS106" i="1"/>
  <c r="AS83" i="1"/>
  <c r="AT83" i="1"/>
  <c r="AU83" i="1"/>
  <c r="AV83" i="1"/>
  <c r="AW83" i="1"/>
  <c r="AX120" i="1"/>
  <c r="AX10" i="1"/>
  <c r="AY141" i="1"/>
  <c r="AY46" i="1"/>
  <c r="CA212" i="1"/>
  <c r="BZ213" i="1"/>
  <c r="AX46" i="1"/>
  <c r="AX284" i="1"/>
  <c r="AY120" i="1"/>
  <c r="AY62" i="1"/>
  <c r="AY57" i="1"/>
  <c r="AZ46" i="1"/>
  <c r="BA86" i="1"/>
  <c r="BA78" i="1"/>
  <c r="BB169" i="1"/>
  <c r="BB146" i="1"/>
  <c r="BC106" i="1"/>
  <c r="BC83" i="1"/>
  <c r="BC10" i="1"/>
  <c r="BD141" i="1"/>
  <c r="BD67" i="1"/>
  <c r="BE106" i="1"/>
  <c r="BE83" i="1"/>
  <c r="BE10" i="1"/>
  <c r="BA182" i="1"/>
  <c r="BF179" i="1"/>
  <c r="BA177" i="1"/>
  <c r="BA170" i="1"/>
  <c r="BF160" i="1"/>
  <c r="BF157" i="1"/>
  <c r="BA154" i="1"/>
  <c r="BA152" i="1"/>
  <c r="BA150" i="1"/>
  <c r="BA147" i="1"/>
  <c r="BF103" i="1"/>
  <c r="BA98" i="1"/>
  <c r="BA96" i="1"/>
  <c r="BA94" i="1"/>
  <c r="BA90" i="1"/>
  <c r="BA88" i="1"/>
  <c r="BA85" i="1"/>
  <c r="BF70" i="1"/>
  <c r="BG141" i="1"/>
  <c r="BG67" i="1"/>
  <c r="BH106" i="1"/>
  <c r="BH83" i="1"/>
  <c r="BH10" i="1"/>
  <c r="BI176" i="1"/>
  <c r="BI156" i="1"/>
  <c r="BJ163" i="1"/>
  <c r="BJ111" i="1"/>
  <c r="BJ106" i="1"/>
  <c r="BJ62" i="1"/>
  <c r="BK149" i="1"/>
  <c r="BK137" i="1"/>
  <c r="BK125" i="1"/>
  <c r="BK103" i="1"/>
  <c r="BK70" i="1"/>
  <c r="BK13" i="1"/>
  <c r="BL163" i="1"/>
  <c r="BL111" i="1"/>
  <c r="BL106" i="1"/>
  <c r="BL62" i="1"/>
  <c r="BM87" i="1"/>
  <c r="BM214" i="1"/>
  <c r="BN57" i="1"/>
  <c r="BO57" i="1"/>
  <c r="BP62" i="1"/>
  <c r="BP57" i="1"/>
  <c r="BQ156" i="1"/>
  <c r="BQ46" i="1"/>
  <c r="BQ284" i="1"/>
  <c r="BR120" i="1"/>
  <c r="BR62" i="1"/>
  <c r="BR57" i="1"/>
  <c r="BS156" i="1"/>
  <c r="BS46" i="1"/>
  <c r="BS284" i="1"/>
  <c r="BT120" i="1"/>
  <c r="BT62" i="1"/>
  <c r="BT57" i="1"/>
  <c r="BU156" i="1"/>
  <c r="BU46" i="1"/>
  <c r="BU284" i="1"/>
  <c r="BV120" i="1"/>
  <c r="BV62" i="1"/>
  <c r="BV57" i="1"/>
  <c r="BW156" i="1"/>
  <c r="BW46" i="1"/>
  <c r="BW284" i="1"/>
  <c r="BX120" i="1"/>
  <c r="BX62" i="1"/>
  <c r="BX57" i="1"/>
  <c r="BZ190" i="1"/>
  <c r="BZ186" i="1"/>
  <c r="BZ173" i="1"/>
  <c r="CB141" i="1"/>
  <c r="CA205" i="1"/>
  <c r="BZ206" i="1"/>
  <c r="CA133" i="1"/>
  <c r="BZ134" i="1"/>
  <c r="CA109" i="1"/>
  <c r="BZ110" i="1"/>
  <c r="CA79" i="1"/>
  <c r="BZ80" i="1"/>
  <c r="CA75" i="1"/>
  <c r="BZ76" i="1"/>
  <c r="CA70" i="1"/>
  <c r="BZ72" i="1"/>
  <c r="CA11" i="1"/>
  <c r="BZ12" i="1"/>
  <c r="CA295" i="1"/>
  <c r="BZ296" i="1"/>
  <c r="CA287" i="1"/>
  <c r="BZ288" i="1"/>
  <c r="BC46" i="1"/>
  <c r="BC284" i="1"/>
  <c r="BD120" i="1"/>
  <c r="BE46" i="1"/>
  <c r="BE284" i="1"/>
  <c r="BA198" i="1"/>
  <c r="BA196" i="1"/>
  <c r="BA194" i="1"/>
  <c r="BF191" i="1"/>
  <c r="BA145" i="1"/>
  <c r="BF142" i="1"/>
  <c r="BA139" i="1"/>
  <c r="BA132" i="1"/>
  <c r="BA130" i="1"/>
  <c r="BA127" i="1"/>
  <c r="BA124" i="1"/>
  <c r="BA122" i="1"/>
  <c r="BA41" i="1"/>
  <c r="BA39" i="1"/>
  <c r="BF36" i="1"/>
  <c r="BA33" i="1"/>
  <c r="BA31" i="1"/>
  <c r="BA29" i="1"/>
  <c r="BA27" i="1"/>
  <c r="BA25" i="1"/>
  <c r="BA23" i="1"/>
  <c r="BA21" i="1"/>
  <c r="BF17" i="1"/>
  <c r="BA16" i="1"/>
  <c r="BA14" i="1"/>
  <c r="BG120" i="1"/>
  <c r="BH46" i="1"/>
  <c r="BI163" i="1"/>
  <c r="BI111" i="1"/>
  <c r="BJ176" i="1"/>
  <c r="BK129" i="1"/>
  <c r="BK121" i="1"/>
  <c r="BL176" i="1"/>
  <c r="BP67" i="1"/>
  <c r="BQ10" i="1"/>
  <c r="BR141" i="1"/>
  <c r="BR67" i="1"/>
  <c r="BS10" i="1"/>
  <c r="BT141" i="1"/>
  <c r="BT67" i="1"/>
  <c r="BU10" i="1"/>
  <c r="BV141" i="1"/>
  <c r="BV67" i="1"/>
  <c r="BW10" i="1"/>
  <c r="BX141" i="1"/>
  <c r="BX67" i="1"/>
  <c r="CA179" i="1"/>
  <c r="CB67" i="1"/>
  <c r="CD191" i="1"/>
  <c r="CD142" i="1"/>
  <c r="CD36" i="1"/>
  <c r="CD17" i="1"/>
  <c r="CE120" i="1"/>
  <c r="CF46" i="1"/>
  <c r="CF284" i="1"/>
  <c r="CG120" i="1"/>
  <c r="CH46" i="1"/>
  <c r="CI10" i="1"/>
  <c r="CK13" i="1"/>
  <c r="CL163" i="1"/>
  <c r="CL111" i="1"/>
  <c r="CU84" i="1"/>
  <c r="CV156" i="1"/>
  <c r="CV46" i="1"/>
  <c r="CV284" i="1"/>
  <c r="CW120" i="1"/>
  <c r="CW62" i="1"/>
  <c r="CW57" i="1"/>
  <c r="CU237" i="1"/>
  <c r="BM237" i="1"/>
  <c r="BZ266" i="1"/>
  <c r="CK265" i="1"/>
  <c r="G268" i="1"/>
  <c r="BZ270" i="1"/>
  <c r="G269" i="1"/>
  <c r="BZ274" i="1"/>
  <c r="G276" i="1"/>
  <c r="BA247" i="1"/>
  <c r="BZ248" i="1"/>
  <c r="BA260" i="1"/>
  <c r="BZ261" i="1"/>
  <c r="CA208" i="1"/>
  <c r="CA191" i="1"/>
  <c r="CA166" i="1"/>
  <c r="CA142" i="1"/>
  <c r="CA214" i="1"/>
  <c r="CB120" i="1"/>
  <c r="CB62" i="1"/>
  <c r="CB57" i="1"/>
  <c r="CC46" i="1"/>
  <c r="CC284" i="1"/>
  <c r="CD179" i="1"/>
  <c r="CD160" i="1"/>
  <c r="CD157" i="1"/>
  <c r="CD103" i="1"/>
  <c r="CD70" i="1"/>
  <c r="CE141" i="1"/>
  <c r="CE67" i="1"/>
  <c r="CF106" i="1"/>
  <c r="CF83" i="1"/>
  <c r="CF10" i="1"/>
  <c r="CG141" i="1"/>
  <c r="CG67" i="1"/>
  <c r="CH106" i="1"/>
  <c r="CH83" i="1"/>
  <c r="CH10" i="1"/>
  <c r="CI176" i="1"/>
  <c r="CI156" i="1"/>
  <c r="CI46" i="1"/>
  <c r="CK157" i="1"/>
  <c r="CL176" i="1"/>
  <c r="CL156" i="1"/>
  <c r="CM57" i="1"/>
  <c r="CN57" i="1"/>
  <c r="CO57" i="1"/>
  <c r="CP62" i="1"/>
  <c r="CP57" i="1"/>
  <c r="CQ156" i="1"/>
  <c r="CR106" i="1"/>
  <c r="CR62" i="1"/>
  <c r="CS156" i="1"/>
  <c r="CT165" i="1"/>
  <c r="CT143" i="1"/>
  <c r="CT136" i="1"/>
  <c r="CU169" i="1"/>
  <c r="CU146" i="1"/>
  <c r="CV10" i="1"/>
  <c r="CW141" i="1"/>
  <c r="CW67" i="1"/>
  <c r="G206" i="1"/>
  <c r="G175" i="1"/>
  <c r="G171" i="1"/>
  <c r="G119" i="1"/>
  <c r="G115" i="1"/>
  <c r="G82" i="1"/>
  <c r="G78" i="1"/>
  <c r="G74" i="1"/>
  <c r="G66" i="1"/>
  <c r="G56" i="1"/>
  <c r="G52" i="1"/>
  <c r="G48" i="1"/>
  <c r="H129" i="1"/>
  <c r="I156" i="1"/>
  <c r="I106" i="1"/>
  <c r="J160" i="1"/>
  <c r="J150" i="1"/>
  <c r="J103" i="1"/>
  <c r="G71" i="1"/>
  <c r="G39" i="1"/>
  <c r="G29" i="1"/>
  <c r="G27" i="1"/>
  <c r="G25" i="1"/>
  <c r="G23" i="1"/>
  <c r="G21" i="1"/>
  <c r="L67" i="1"/>
  <c r="M163" i="1"/>
  <c r="M106" i="1"/>
  <c r="M62" i="1"/>
  <c r="M10" i="1"/>
  <c r="N141" i="1"/>
  <c r="N106" i="1"/>
  <c r="N62" i="1"/>
  <c r="N10" i="1"/>
  <c r="O141" i="1"/>
  <c r="O67" i="1"/>
  <c r="O46" i="1"/>
  <c r="O284" i="1"/>
  <c r="P67" i="1"/>
  <c r="P46" i="1"/>
  <c r="P17" i="1"/>
  <c r="Q179" i="1"/>
  <c r="Q166" i="1"/>
  <c r="Q160" i="1"/>
  <c r="Q142" i="1"/>
  <c r="Q16" i="1"/>
  <c r="R141" i="1"/>
  <c r="R83" i="1"/>
  <c r="S163" i="1"/>
  <c r="S111" i="1"/>
  <c r="S57" i="1"/>
  <c r="T141" i="1"/>
  <c r="T106" i="1"/>
  <c r="T62" i="1"/>
  <c r="T10" i="1"/>
  <c r="U141" i="1"/>
  <c r="U106" i="1"/>
  <c r="U62" i="1"/>
  <c r="V208" i="1"/>
  <c r="V157" i="1"/>
  <c r="V121" i="1"/>
  <c r="V87" i="1"/>
  <c r="V70" i="1"/>
  <c r="V41" i="1"/>
  <c r="W176" i="1"/>
  <c r="W156" i="1"/>
  <c r="W83" i="1"/>
  <c r="W284" i="1"/>
  <c r="X83" i="1"/>
  <c r="X46" i="1"/>
  <c r="Y120" i="1"/>
  <c r="Z141" i="1"/>
  <c r="Z106" i="1"/>
  <c r="Z57" i="1"/>
  <c r="AA176" i="1"/>
  <c r="AA120" i="1"/>
  <c r="AA67" i="1"/>
  <c r="AA46" i="1"/>
  <c r="AB141" i="1"/>
  <c r="AB106" i="1"/>
  <c r="AB62" i="1"/>
  <c r="AC176" i="1"/>
  <c r="AC156" i="1"/>
  <c r="AC83" i="1"/>
  <c r="AE169" i="1"/>
  <c r="AE146" i="1"/>
  <c r="AE137" i="1"/>
  <c r="AE125" i="1"/>
  <c r="AE84" i="1"/>
  <c r="AE40" i="1"/>
  <c r="AF163" i="1"/>
  <c r="AF111" i="1"/>
  <c r="AF57" i="1"/>
  <c r="AG176" i="1"/>
  <c r="AG156" i="1"/>
  <c r="AG83" i="1"/>
  <c r="AH141" i="1"/>
  <c r="AH67" i="1"/>
  <c r="AI163" i="1"/>
  <c r="AI111" i="1"/>
  <c r="AJ176" i="1"/>
  <c r="AJ46" i="1"/>
  <c r="AJ284" i="1"/>
  <c r="AK67" i="1"/>
  <c r="AL67" i="1"/>
  <c r="AM67" i="1"/>
  <c r="AN67" i="1"/>
  <c r="AO141" i="1"/>
  <c r="AO67" i="1"/>
  <c r="AP10" i="1"/>
  <c r="AP284" i="1"/>
  <c r="M176" i="1"/>
  <c r="M67" i="1"/>
  <c r="M46" i="1"/>
  <c r="M284" i="1"/>
  <c r="N120" i="1"/>
  <c r="N67" i="1"/>
  <c r="N46" i="1"/>
  <c r="N284" i="1"/>
  <c r="P141" i="1"/>
  <c r="P284" i="1"/>
  <c r="Q191" i="1"/>
  <c r="Q62" i="1"/>
  <c r="Q36" i="1"/>
  <c r="Q17" i="1"/>
  <c r="R111" i="1"/>
  <c r="S176" i="1"/>
  <c r="S284" i="1"/>
  <c r="T120" i="1"/>
  <c r="T67" i="1"/>
  <c r="T46" i="1"/>
  <c r="T284" i="1"/>
  <c r="U120" i="1"/>
  <c r="U67" i="1"/>
  <c r="U46" i="1"/>
  <c r="V137" i="1"/>
  <c r="V125" i="1"/>
  <c r="W163" i="1"/>
  <c r="W111" i="1"/>
  <c r="X111" i="1"/>
  <c r="X10" i="1"/>
  <c r="Y141" i="1"/>
  <c r="Y10" i="1"/>
  <c r="Z120" i="1"/>
  <c r="Z67" i="1"/>
  <c r="AA141" i="1"/>
  <c r="AA284" i="1"/>
  <c r="AB120" i="1"/>
  <c r="AB67" i="1"/>
  <c r="AB46" i="1"/>
  <c r="AC163" i="1"/>
  <c r="AC111" i="1"/>
  <c r="AE149" i="1"/>
  <c r="AE129" i="1"/>
  <c r="AE121" i="1"/>
  <c r="AE87" i="1"/>
  <c r="AE13" i="1"/>
  <c r="AF176" i="1"/>
  <c r="AG163" i="1"/>
  <c r="AG111" i="1"/>
  <c r="AH163" i="1"/>
  <c r="AH120" i="1"/>
  <c r="AH111" i="1"/>
  <c r="AI176" i="1"/>
  <c r="AI141" i="1"/>
  <c r="AI67" i="1"/>
  <c r="AK120" i="1"/>
  <c r="AK46" i="1"/>
  <c r="AK284" i="1"/>
  <c r="AL120" i="1"/>
  <c r="AL46" i="1"/>
  <c r="AL284" i="1"/>
  <c r="AM120" i="1"/>
  <c r="AM46" i="1"/>
  <c r="AM284" i="1"/>
  <c r="AN120" i="1"/>
  <c r="AN46" i="1"/>
  <c r="AN284" i="1"/>
  <c r="AO163" i="1"/>
  <c r="AO120" i="1"/>
  <c r="AO111" i="1"/>
  <c r="AP176" i="1"/>
  <c r="AP46" i="1"/>
  <c r="AH176" i="1"/>
  <c r="AH156" i="1"/>
  <c r="AH83" i="1"/>
  <c r="AH284" i="1"/>
  <c r="AI83" i="1"/>
  <c r="AJ163" i="1"/>
  <c r="AJ111" i="1"/>
  <c r="AJ57" i="1"/>
  <c r="AJ10" i="1"/>
  <c r="AK141" i="1"/>
  <c r="AK106" i="1"/>
  <c r="AK62" i="1"/>
  <c r="AK10" i="1"/>
  <c r="AL141" i="1"/>
  <c r="AL106" i="1"/>
  <c r="AL62" i="1"/>
  <c r="AL10" i="1"/>
  <c r="AM141" i="1"/>
  <c r="AM106" i="1"/>
  <c r="AM62" i="1"/>
  <c r="AN141" i="1"/>
  <c r="AN106" i="1"/>
  <c r="AN62" i="1"/>
  <c r="AO176" i="1"/>
  <c r="AO156" i="1"/>
  <c r="AO83" i="1"/>
  <c r="AP163" i="1"/>
  <c r="AP111" i="1"/>
  <c r="AP57" i="1"/>
  <c r="AQ141" i="1"/>
  <c r="AQ106" i="1"/>
  <c r="AQ62" i="1"/>
  <c r="AQ10" i="1"/>
  <c r="AR141" i="1"/>
  <c r="AR106" i="1"/>
  <c r="AR62" i="1"/>
  <c r="AR10" i="1"/>
  <c r="AS163" i="1"/>
  <c r="AS111" i="1"/>
  <c r="AS57" i="1"/>
  <c r="AS10" i="1"/>
  <c r="AT141" i="1"/>
  <c r="AT106" i="1"/>
  <c r="AT62" i="1"/>
  <c r="AT10" i="1"/>
  <c r="AU141" i="1"/>
  <c r="AU106" i="1"/>
  <c r="AU62" i="1"/>
  <c r="AU10" i="1"/>
  <c r="AV141" i="1"/>
  <c r="AV106" i="1"/>
  <c r="AV62" i="1"/>
  <c r="AV10" i="1"/>
  <c r="AW141" i="1"/>
  <c r="AW106" i="1"/>
  <c r="AW62" i="1"/>
  <c r="AW10" i="1"/>
  <c r="AX163" i="1"/>
  <c r="AX111" i="1"/>
  <c r="AX57" i="1"/>
  <c r="AY176" i="1"/>
  <c r="AY156" i="1"/>
  <c r="AY83" i="1"/>
  <c r="AZ163" i="1"/>
  <c r="AZ120" i="1"/>
  <c r="AZ57" i="1"/>
  <c r="BA210" i="1"/>
  <c r="BA203" i="1"/>
  <c r="BA200" i="1"/>
  <c r="BA192" i="1"/>
  <c r="BA190" i="1"/>
  <c r="BA188" i="1"/>
  <c r="BA186" i="1"/>
  <c r="BA184" i="1"/>
  <c r="BA180" i="1"/>
  <c r="BA173" i="1"/>
  <c r="BA168" i="1"/>
  <c r="BA165" i="1"/>
  <c r="BA162" i="1"/>
  <c r="BA159" i="1"/>
  <c r="BA143" i="1"/>
  <c r="BA136" i="1"/>
  <c r="BA119" i="1"/>
  <c r="BA117" i="1"/>
  <c r="BA115" i="1"/>
  <c r="BA113" i="1"/>
  <c r="BA108" i="1"/>
  <c r="BA105" i="1"/>
  <c r="BA80" i="1"/>
  <c r="BA76" i="1"/>
  <c r="BA72" i="1"/>
  <c r="BA66" i="1"/>
  <c r="BA56" i="1"/>
  <c r="BA52" i="1"/>
  <c r="BA48" i="1"/>
  <c r="BA45" i="1"/>
  <c r="BA43" i="1"/>
  <c r="BA37" i="1"/>
  <c r="BA35" i="1"/>
  <c r="BA19" i="1"/>
  <c r="BA283" i="1"/>
  <c r="BA213" i="1"/>
  <c r="BA216" i="1"/>
  <c r="BA280" i="1"/>
  <c r="BB208" i="1"/>
  <c r="BB157" i="1"/>
  <c r="BB149" i="1"/>
  <c r="BB129" i="1"/>
  <c r="BB121" i="1"/>
  <c r="BB87" i="1"/>
  <c r="BB70" i="1"/>
  <c r="BB13" i="1"/>
  <c r="BC163" i="1"/>
  <c r="BC111" i="1"/>
  <c r="BC57" i="1"/>
  <c r="BD176" i="1"/>
  <c r="BD156" i="1"/>
  <c r="BD83" i="1"/>
  <c r="BE163" i="1"/>
  <c r="BE111" i="1"/>
  <c r="BE57" i="1"/>
  <c r="BF169" i="1"/>
  <c r="BF146" i="1"/>
  <c r="BF137" i="1"/>
  <c r="BF125" i="1"/>
  <c r="BF84" i="1"/>
  <c r="BG176" i="1"/>
  <c r="BG156" i="1"/>
  <c r="BG83" i="1"/>
  <c r="BH163" i="1"/>
  <c r="BH111" i="1"/>
  <c r="BH57" i="1"/>
  <c r="BI120" i="1"/>
  <c r="BI67" i="1"/>
  <c r="BI46" i="1"/>
  <c r="BI284" i="1"/>
  <c r="BJ120" i="1"/>
  <c r="BJ67" i="1"/>
  <c r="BJ46" i="1"/>
  <c r="BJ284" i="1"/>
  <c r="BK166" i="1"/>
  <c r="BK214" i="1"/>
  <c r="BL120" i="1"/>
  <c r="BL67" i="1"/>
  <c r="BL46" i="1"/>
  <c r="BL284" i="1"/>
  <c r="BM179" i="1"/>
  <c r="BM166" i="1"/>
  <c r="BM160" i="1"/>
  <c r="BM142" i="1"/>
  <c r="BN141" i="1"/>
  <c r="BN106" i="1"/>
  <c r="BN62" i="1"/>
  <c r="BN10" i="1"/>
  <c r="BO141" i="1"/>
  <c r="BO106" i="1"/>
  <c r="BO62" i="1"/>
  <c r="BO10" i="1"/>
  <c r="BP141" i="1"/>
  <c r="BP83" i="1"/>
  <c r="BQ163" i="1"/>
  <c r="BQ111" i="1"/>
  <c r="BQ57" i="1"/>
  <c r="BR176" i="1"/>
  <c r="BR156" i="1"/>
  <c r="BR83" i="1"/>
  <c r="BS163" i="1"/>
  <c r="BS111" i="1"/>
  <c r="BS57" i="1"/>
  <c r="BT176" i="1"/>
  <c r="BT156" i="1"/>
  <c r="BT83" i="1"/>
  <c r="BU163" i="1"/>
  <c r="BU111" i="1"/>
  <c r="BU57" i="1"/>
  <c r="BV176" i="1"/>
  <c r="BV156" i="1"/>
  <c r="BV83" i="1"/>
  <c r="BW163" i="1"/>
  <c r="BW111" i="1"/>
  <c r="BW57" i="1"/>
  <c r="BX176" i="1"/>
  <c r="BX156" i="1"/>
  <c r="BX83" i="1"/>
  <c r="AQ120" i="1"/>
  <c r="AQ67" i="1"/>
  <c r="AQ46" i="1"/>
  <c r="AQ284" i="1"/>
  <c r="AR120" i="1"/>
  <c r="AR67" i="1"/>
  <c r="AR46" i="1"/>
  <c r="AR284" i="1"/>
  <c r="AS176" i="1"/>
  <c r="AS284" i="1"/>
  <c r="AT120" i="1"/>
  <c r="AT67" i="1"/>
  <c r="AT46" i="1"/>
  <c r="AT284" i="1"/>
  <c r="AU120" i="1"/>
  <c r="AU67" i="1"/>
  <c r="AU46" i="1"/>
  <c r="AU284" i="1"/>
  <c r="AV120" i="1"/>
  <c r="AV67" i="1"/>
  <c r="AV46" i="1"/>
  <c r="AV284" i="1"/>
  <c r="AW120" i="1"/>
  <c r="AW67" i="1"/>
  <c r="AW46" i="1"/>
  <c r="AW284" i="1"/>
  <c r="AX176" i="1"/>
  <c r="AY163" i="1"/>
  <c r="AY111" i="1"/>
  <c r="AZ176" i="1"/>
  <c r="AZ141" i="1"/>
  <c r="BB137" i="1"/>
  <c r="BB125" i="1"/>
  <c r="BC176" i="1"/>
  <c r="BD163" i="1"/>
  <c r="BD111" i="1"/>
  <c r="BE176" i="1"/>
  <c r="BF149" i="1"/>
  <c r="BF129" i="1"/>
  <c r="BF121" i="1"/>
  <c r="BF87" i="1"/>
  <c r="BF13" i="1"/>
  <c r="BG163" i="1"/>
  <c r="BG111" i="1"/>
  <c r="BH176" i="1"/>
  <c r="BI141" i="1"/>
  <c r="BI10" i="1"/>
  <c r="BJ141" i="1"/>
  <c r="BJ10" i="1"/>
  <c r="BK191" i="1"/>
  <c r="BL141" i="1"/>
  <c r="BL10" i="1"/>
  <c r="BM191" i="1"/>
  <c r="BM36" i="1"/>
  <c r="BM17" i="1"/>
  <c r="BN120" i="1"/>
  <c r="BN67" i="1"/>
  <c r="BN46" i="1"/>
  <c r="BN284" i="1"/>
  <c r="BO120" i="1"/>
  <c r="BO67" i="1"/>
  <c r="BO46" i="1"/>
  <c r="BO284" i="1"/>
  <c r="BP111" i="1"/>
  <c r="BQ176" i="1"/>
  <c r="BR163" i="1"/>
  <c r="BR111" i="1"/>
  <c r="BS176" i="1"/>
  <c r="BT163" i="1"/>
  <c r="BT111" i="1"/>
  <c r="BU176" i="1"/>
  <c r="BV163" i="1"/>
  <c r="BV111" i="1"/>
  <c r="BW176" i="1"/>
  <c r="BX163" i="1"/>
  <c r="BX111" i="1"/>
  <c r="CA169" i="1"/>
  <c r="CA146" i="1"/>
  <c r="CA137" i="1"/>
  <c r="CA84" i="1"/>
  <c r="CB176" i="1"/>
  <c r="CB156" i="1"/>
  <c r="CB83" i="1"/>
  <c r="CC141" i="1"/>
  <c r="CC111" i="1"/>
  <c r="CC57" i="1"/>
  <c r="CD169" i="1"/>
  <c r="CD146" i="1"/>
  <c r="CD137" i="1"/>
  <c r="CD125" i="1"/>
  <c r="CD84" i="1"/>
  <c r="CE176" i="1"/>
  <c r="CE156" i="1"/>
  <c r="CE83" i="1"/>
  <c r="CF163" i="1"/>
  <c r="CF111" i="1"/>
  <c r="CF57" i="1"/>
  <c r="CG176" i="1"/>
  <c r="CG156" i="1"/>
  <c r="CG83" i="1"/>
  <c r="CH163" i="1"/>
  <c r="CH111" i="1"/>
  <c r="CH57" i="1"/>
  <c r="CI57" i="1"/>
  <c r="CK166" i="1"/>
  <c r="CK160" i="1"/>
  <c r="CK103" i="1"/>
  <c r="CK36" i="1"/>
  <c r="CK17" i="1"/>
  <c r="CK214" i="1"/>
  <c r="CL120" i="1"/>
  <c r="CL67" i="1"/>
  <c r="CL46" i="1"/>
  <c r="CL284" i="1"/>
  <c r="CM120" i="1"/>
  <c r="CM46" i="1"/>
  <c r="CM284" i="1"/>
  <c r="CN120" i="1"/>
  <c r="CN46" i="1"/>
  <c r="CO120" i="1"/>
  <c r="CO46" i="1"/>
  <c r="CP163" i="1"/>
  <c r="CP120" i="1"/>
  <c r="CP111" i="1"/>
  <c r="CQ176" i="1"/>
  <c r="CQ141" i="1"/>
  <c r="CR163" i="1"/>
  <c r="CR111" i="1"/>
  <c r="CR10" i="1"/>
  <c r="CS176" i="1"/>
  <c r="CS46" i="1"/>
  <c r="CT206" i="1"/>
  <c r="CT175" i="1"/>
  <c r="CT171" i="1"/>
  <c r="CT148" i="1"/>
  <c r="CT134" i="1"/>
  <c r="CT110" i="1"/>
  <c r="CT69" i="1"/>
  <c r="CT64" i="1"/>
  <c r="CT59" i="1"/>
  <c r="CT54" i="1"/>
  <c r="CT50" i="1"/>
  <c r="CA149" i="1"/>
  <c r="CA129" i="1"/>
  <c r="CA121" i="1"/>
  <c r="CA87" i="1"/>
  <c r="CA13" i="1"/>
  <c r="CB163" i="1"/>
  <c r="CB111" i="1"/>
  <c r="CD149" i="1"/>
  <c r="CD129" i="1"/>
  <c r="CD121" i="1"/>
  <c r="CD87" i="1"/>
  <c r="CD13" i="1"/>
  <c r="CE163" i="1"/>
  <c r="CE111" i="1"/>
  <c r="CF176" i="1"/>
  <c r="CG163" i="1"/>
  <c r="CG111" i="1"/>
  <c r="CH176" i="1"/>
  <c r="CL141" i="1"/>
  <c r="CM67" i="1"/>
  <c r="CN67" i="1"/>
  <c r="CO67" i="1"/>
  <c r="CP141" i="1"/>
  <c r="CP67" i="1"/>
  <c r="CQ163" i="1"/>
  <c r="CQ111" i="1"/>
  <c r="CR176" i="1"/>
  <c r="CR141" i="1"/>
  <c r="CS10" i="1"/>
  <c r="CU137" i="1"/>
  <c r="CU125" i="1"/>
  <c r="CV176" i="1"/>
  <c r="CW163" i="1"/>
  <c r="CW111" i="1"/>
  <c r="CL10" i="1"/>
  <c r="CM141" i="1"/>
  <c r="CM106" i="1"/>
  <c r="CM62" i="1"/>
  <c r="CM10" i="1"/>
  <c r="CN141" i="1"/>
  <c r="CN106" i="1"/>
  <c r="CN62" i="1"/>
  <c r="CN10" i="1"/>
  <c r="CO141" i="1"/>
  <c r="CO106" i="1"/>
  <c r="CO62" i="1"/>
  <c r="CP176" i="1"/>
  <c r="CP156" i="1"/>
  <c r="CP83" i="1"/>
  <c r="CQ120" i="1"/>
  <c r="CQ67" i="1"/>
  <c r="CQ46" i="1"/>
  <c r="CR120" i="1"/>
  <c r="CR67" i="1"/>
  <c r="CR46" i="1"/>
  <c r="CS163" i="1"/>
  <c r="CS111" i="1"/>
  <c r="CS57" i="1"/>
  <c r="CT218" i="1"/>
  <c r="CU208" i="1"/>
  <c r="CU157" i="1"/>
  <c r="CU149" i="1"/>
  <c r="CU129" i="1"/>
  <c r="CU121" i="1"/>
  <c r="CU87" i="1"/>
  <c r="CU70" i="1"/>
  <c r="CU13" i="1"/>
  <c r="CV163" i="1"/>
  <c r="CV111" i="1"/>
  <c r="CV57" i="1"/>
  <c r="CW176" i="1"/>
  <c r="CW156" i="1"/>
  <c r="CW83" i="1"/>
  <c r="X237" i="1"/>
  <c r="AJ237" i="1"/>
  <c r="AZ237" i="1"/>
  <c r="CC237" i="1"/>
  <c r="G242" i="1"/>
  <c r="H44" i="1"/>
  <c r="J68" i="1"/>
  <c r="J58" i="1"/>
  <c r="G59" i="1"/>
  <c r="J34" i="1"/>
  <c r="J297" i="1"/>
  <c r="G298" i="1"/>
  <c r="J293" i="1"/>
  <c r="J289" i="1"/>
  <c r="G290" i="1"/>
  <c r="J285" i="1"/>
  <c r="G286" i="1"/>
  <c r="J212" i="1"/>
  <c r="G213" i="1"/>
  <c r="H163" i="1"/>
  <c r="H141" i="1"/>
  <c r="I284" i="1"/>
  <c r="J191" i="1"/>
  <c r="J142" i="1"/>
  <c r="K120" i="1"/>
  <c r="K67" i="1"/>
  <c r="K46" i="1"/>
  <c r="K284" i="1"/>
  <c r="L141" i="1"/>
  <c r="AA10" i="1"/>
  <c r="H84" i="1"/>
  <c r="G85" i="1"/>
  <c r="J60" i="1"/>
  <c r="G61" i="1"/>
  <c r="J42" i="1"/>
  <c r="G43" i="1"/>
  <c r="G37" i="1"/>
  <c r="J295" i="1"/>
  <c r="G296" i="1"/>
  <c r="J291" i="1"/>
  <c r="J287" i="1"/>
  <c r="J214" i="1"/>
  <c r="H176" i="1"/>
  <c r="H111" i="1"/>
  <c r="H284" i="1"/>
  <c r="J179" i="1"/>
  <c r="K141" i="1"/>
  <c r="K10" i="1"/>
  <c r="L120" i="1"/>
  <c r="U10" i="1"/>
  <c r="J132" i="1"/>
  <c r="J64" i="1"/>
  <c r="J18" i="1"/>
  <c r="V143" i="1"/>
  <c r="V69" i="1"/>
  <c r="V45" i="1"/>
  <c r="V15" i="1"/>
  <c r="V216" i="1"/>
  <c r="AE45" i="1"/>
  <c r="BK142" i="1"/>
  <c r="BK36" i="1"/>
  <c r="BK17" i="1"/>
  <c r="BK179" i="1"/>
  <c r="CI163" i="1"/>
  <c r="CI111" i="1"/>
  <c r="CK191" i="1"/>
  <c r="CK142" i="1"/>
  <c r="CK179" i="1"/>
  <c r="BA219" i="1"/>
  <c r="BZ221" i="1"/>
  <c r="BA222" i="1"/>
  <c r="BZ224" i="1"/>
  <c r="BA225" i="1"/>
  <c r="BZ226" i="1"/>
  <c r="BA227" i="1"/>
  <c r="BZ228" i="1"/>
  <c r="BA229" i="1"/>
  <c r="BZ231" i="1"/>
  <c r="BA232" i="1"/>
  <c r="BZ233" i="1"/>
  <c r="BA235" i="1"/>
  <c r="BA238" i="1"/>
  <c r="BZ239" i="1"/>
  <c r="BA245" i="1"/>
  <c r="BZ258" i="1"/>
  <c r="BB265" i="1"/>
  <c r="CA265" i="1"/>
  <c r="CU265" i="1"/>
  <c r="BA267" i="1"/>
  <c r="BZ267" i="1"/>
  <c r="CT267" i="1"/>
  <c r="BA266" i="1"/>
  <c r="BA268" i="1"/>
  <c r="BZ268" i="1"/>
  <c r="CT268" i="1"/>
  <c r="G272" i="1"/>
  <c r="BA271" i="1"/>
  <c r="BZ271" i="1"/>
  <c r="CT271" i="1"/>
  <c r="G270" i="1"/>
  <c r="BA269" i="1"/>
  <c r="BZ269" i="1"/>
  <c r="CT269" i="1"/>
  <c r="G273" i="1"/>
  <c r="BA275" i="1"/>
  <c r="BZ275" i="1"/>
  <c r="CT275" i="1"/>
  <c r="BA274" i="1"/>
  <c r="BA276" i="1"/>
  <c r="BZ276" i="1"/>
  <c r="CT276" i="1"/>
  <c r="G277" i="1"/>
  <c r="G278" i="1"/>
  <c r="BZ278" i="1"/>
  <c r="CT278" i="1"/>
  <c r="BZ240" i="1"/>
  <c r="BA241" i="1"/>
  <c r="BZ242" i="1"/>
  <c r="BA243" i="1"/>
  <c r="BZ244" i="1"/>
  <c r="BA248" i="1"/>
  <c r="BA250" i="1"/>
  <c r="BA252" i="1"/>
  <c r="BA254" i="1"/>
  <c r="BZ255" i="1"/>
  <c r="BA256" i="1"/>
  <c r="BA259" i="1"/>
  <c r="BZ260" i="1"/>
  <c r="BA261" i="1"/>
  <c r="BZ262" i="1"/>
  <c r="BA263" i="1"/>
  <c r="G117" i="1"/>
  <c r="G35" i="1"/>
  <c r="CR211" i="1"/>
  <c r="CL211" i="1"/>
  <c r="BQ211" i="1"/>
  <c r="AY211" i="1"/>
  <c r="N211" i="1"/>
  <c r="BH284" i="1"/>
  <c r="G252" i="1"/>
  <c r="L62" i="1"/>
  <c r="H67" i="1"/>
  <c r="AH10" i="1"/>
  <c r="AY10" i="1"/>
  <c r="CW211" i="1"/>
  <c r="CQ10" i="1"/>
  <c r="S10" i="1"/>
  <c r="Q57" i="1"/>
  <c r="BZ19" i="1"/>
  <c r="BZ30" i="1"/>
  <c r="AE17" i="1"/>
  <c r="CK57" i="1"/>
  <c r="BM62" i="1"/>
  <c r="BB57" i="1"/>
  <c r="BM57" i="1"/>
  <c r="AE57" i="1"/>
  <c r="AG10" i="1"/>
  <c r="G19" i="1"/>
  <c r="BK62" i="1"/>
  <c r="V111" i="1"/>
  <c r="AO211" i="1"/>
  <c r="CT208" i="1"/>
  <c r="CS284" i="1"/>
  <c r="BZ251" i="1"/>
  <c r="BZ249" i="1"/>
  <c r="BZ247" i="1"/>
  <c r="AB217" i="1"/>
  <c r="CO284" i="1"/>
  <c r="CH284" i="1"/>
  <c r="AR211" i="1"/>
  <c r="BZ293" i="1"/>
  <c r="BU211" i="1"/>
  <c r="AV211" i="1"/>
  <c r="BT211" i="1"/>
  <c r="BZ225" i="1"/>
  <c r="CF211" i="1"/>
  <c r="M217" i="1"/>
  <c r="CT149" i="1"/>
  <c r="BZ264" i="1"/>
  <c r="BY266" i="1"/>
  <c r="BM111" i="1"/>
  <c r="BM284" i="1"/>
  <c r="BK106" i="1"/>
  <c r="H156" i="1"/>
  <c r="G292" i="1"/>
  <c r="CT157" i="1"/>
  <c r="CT84" i="1"/>
  <c r="CM211" i="1"/>
  <c r="BZ243" i="1"/>
  <c r="CA291" i="1"/>
  <c r="AK211" i="1"/>
  <c r="CB284" i="1"/>
  <c r="BH211" i="1"/>
  <c r="BC211" i="1"/>
  <c r="AG284" i="1"/>
  <c r="BX211" i="1"/>
  <c r="BP211" i="1"/>
  <c r="BZ250" i="1"/>
  <c r="AE291" i="1"/>
  <c r="BF106" i="1"/>
  <c r="G137" i="1"/>
  <c r="F126" i="1"/>
  <c r="CT142" i="1"/>
  <c r="CT160" i="1"/>
  <c r="CB211" i="1"/>
  <c r="BZ241" i="1"/>
  <c r="BY290" i="1"/>
  <c r="AF211" i="1"/>
  <c r="CT116" i="1"/>
  <c r="BZ257" i="1"/>
  <c r="BZ253" i="1"/>
  <c r="F236" i="1"/>
  <c r="CK62" i="1"/>
  <c r="G288" i="1"/>
  <c r="CT70" i="1"/>
  <c r="CN284" i="1"/>
  <c r="CT137" i="1"/>
  <c r="CI284" i="1"/>
  <c r="BL211" i="1"/>
  <c r="X284" i="1"/>
  <c r="BW211" i="1"/>
  <c r="BO211" i="1"/>
  <c r="BZ289" i="1"/>
  <c r="BY180" i="1"/>
  <c r="M211" i="1"/>
  <c r="BE211" i="1"/>
  <c r="AU211" i="1"/>
  <c r="AT211" i="1"/>
  <c r="BD211" i="1"/>
  <c r="AZ284" i="1"/>
  <c r="I83" i="1"/>
  <c r="BA146" i="1"/>
  <c r="G257" i="1"/>
  <c r="BY273" i="1"/>
  <c r="G251" i="1"/>
  <c r="BZ297" i="1"/>
  <c r="AE157" i="1"/>
  <c r="BZ285" i="1"/>
  <c r="CU106" i="1"/>
  <c r="BY61" i="1"/>
  <c r="BY101" i="1"/>
  <c r="BY165" i="1"/>
  <c r="BY113" i="1"/>
  <c r="CW281" i="1"/>
  <c r="AI217" i="1"/>
  <c r="G70" i="1"/>
  <c r="H120" i="1"/>
  <c r="BY274" i="1"/>
  <c r="BY115" i="1"/>
  <c r="BZ157" i="1"/>
  <c r="BM129" i="1"/>
  <c r="BJ211" i="1"/>
  <c r="CT103" i="1"/>
  <c r="CV211" i="1"/>
  <c r="CH211" i="1"/>
  <c r="BS211" i="1"/>
  <c r="BG211" i="1"/>
  <c r="AW211" i="1"/>
  <c r="AN211" i="1"/>
  <c r="CT87" i="1"/>
  <c r="CT121" i="1"/>
  <c r="CT129" i="1"/>
  <c r="CT166" i="1"/>
  <c r="CT191" i="1"/>
  <c r="CK106" i="1"/>
  <c r="CD62" i="1"/>
  <c r="CD106" i="1"/>
  <c r="CD111" i="1"/>
  <c r="BM46" i="1"/>
  <c r="BK284" i="1"/>
  <c r="BK46" i="1"/>
  <c r="BK57" i="1"/>
  <c r="BK111" i="1"/>
  <c r="BF57" i="1"/>
  <c r="BF111" i="1"/>
  <c r="BB46" i="1"/>
  <c r="AE62" i="1"/>
  <c r="Q46" i="1"/>
  <c r="Q111" i="1"/>
  <c r="CQ211" i="1"/>
  <c r="CI211" i="1"/>
  <c r="BV211" i="1"/>
  <c r="BR211" i="1"/>
  <c r="BN211" i="1"/>
  <c r="AX211" i="1"/>
  <c r="AC211" i="1"/>
  <c r="CT214" i="1"/>
  <c r="J111" i="1"/>
  <c r="Z284" i="1"/>
  <c r="S217" i="1"/>
  <c r="G239" i="1"/>
  <c r="CR204" i="1"/>
  <c r="BI207" i="1"/>
  <c r="AZ156" i="1"/>
  <c r="AA163" i="1"/>
  <c r="Y46" i="1"/>
  <c r="X120" i="1"/>
  <c r="X141" i="1"/>
  <c r="P120" i="1"/>
  <c r="O120" i="1"/>
  <c r="M120" i="1"/>
  <c r="AN10" i="1"/>
  <c r="AI120" i="1"/>
  <c r="AB10" i="1"/>
  <c r="W10" i="1"/>
  <c r="R120" i="1"/>
  <c r="CG284" i="1"/>
  <c r="AE293" i="1"/>
  <c r="G263" i="1"/>
  <c r="BZ256" i="1"/>
  <c r="T217" i="1"/>
  <c r="AQ217" i="1"/>
  <c r="G238" i="1"/>
  <c r="BZ18" i="1"/>
  <c r="CC120" i="1"/>
  <c r="X67" i="1"/>
  <c r="V106" i="1"/>
  <c r="J36" i="1"/>
  <c r="BZ169" i="1"/>
  <c r="BZ214" i="1"/>
  <c r="CT17" i="1"/>
  <c r="BZ13" i="1"/>
  <c r="BM67" i="1"/>
  <c r="AE176" i="1"/>
  <c r="CK46" i="1"/>
  <c r="CD46" i="1"/>
  <c r="AE46" i="1"/>
  <c r="Q163" i="1"/>
  <c r="CA237" i="1"/>
  <c r="AZ10" i="1"/>
  <c r="CT36" i="1"/>
  <c r="CA67" i="1"/>
  <c r="Q67" i="1"/>
  <c r="CT237" i="1"/>
  <c r="CT13" i="1"/>
  <c r="CT125" i="1"/>
  <c r="CT179" i="1"/>
  <c r="CK111" i="1"/>
  <c r="BM106" i="1"/>
  <c r="BB62" i="1"/>
  <c r="BB111" i="1"/>
  <c r="AE67" i="1"/>
  <c r="V57" i="1"/>
  <c r="Q284" i="1"/>
  <c r="Q106" i="1"/>
  <c r="J46" i="1"/>
  <c r="J106" i="1"/>
  <c r="F195" i="1"/>
  <c r="F239" i="1"/>
  <c r="BZ70" i="1"/>
  <c r="F221" i="1"/>
  <c r="I10" i="1"/>
  <c r="G294" i="1"/>
  <c r="CA17" i="1"/>
  <c r="CD176" i="1"/>
  <c r="G264" i="1"/>
  <c r="Q237" i="1"/>
  <c r="BY162" i="1"/>
  <c r="F224" i="1"/>
  <c r="G87" i="1"/>
  <c r="G249" i="1"/>
  <c r="AP217" i="1"/>
  <c r="L217" i="1"/>
  <c r="X217" i="1"/>
  <c r="CD141" i="1"/>
  <c r="CT58" i="1"/>
  <c r="CT68" i="1"/>
  <c r="CT169" i="1"/>
  <c r="CT205" i="1"/>
  <c r="BB156" i="1"/>
  <c r="BA212" i="1"/>
  <c r="BA51" i="1"/>
  <c r="BA75" i="1"/>
  <c r="BA135" i="1"/>
  <c r="BA164" i="1"/>
  <c r="BA183" i="1"/>
  <c r="F27" i="1"/>
  <c r="J102" i="1"/>
  <c r="CD67" i="1"/>
  <c r="CU217" i="1"/>
  <c r="F33" i="1"/>
  <c r="BF176" i="1"/>
  <c r="BY72" i="1"/>
  <c r="BK67" i="1"/>
  <c r="BA84" i="1"/>
  <c r="F96" i="1"/>
  <c r="F182" i="1"/>
  <c r="F86" i="1"/>
  <c r="AE102" i="1"/>
  <c r="AJ217" i="1"/>
  <c r="J237" i="1"/>
  <c r="CU207" i="1"/>
  <c r="CT53" i="1"/>
  <c r="CT63" i="1"/>
  <c r="CT109" i="1"/>
  <c r="CT146" i="1"/>
  <c r="CT174" i="1"/>
  <c r="CK102" i="1"/>
  <c r="CK163" i="1"/>
  <c r="BA125" i="1"/>
  <c r="BB207" i="1"/>
  <c r="BA282" i="1"/>
  <c r="BA34" i="1"/>
  <c r="BA42" i="1"/>
  <c r="BA47" i="1"/>
  <c r="BA55" i="1"/>
  <c r="BA70" i="1"/>
  <c r="BA79" i="1"/>
  <c r="BA114" i="1"/>
  <c r="BA118" i="1"/>
  <c r="BA142" i="1"/>
  <c r="BA166" i="1"/>
  <c r="BA185" i="1"/>
  <c r="BA189" i="1"/>
  <c r="BA199" i="1"/>
  <c r="V207" i="1"/>
  <c r="F71" i="1"/>
  <c r="G191" i="1"/>
  <c r="CT102" i="1"/>
  <c r="CT135" i="1"/>
  <c r="CT164" i="1"/>
  <c r="CD102" i="1"/>
  <c r="BY261" i="1"/>
  <c r="BY248" i="1"/>
  <c r="G245" i="1"/>
  <c r="BY270" i="1"/>
  <c r="BM217" i="1"/>
  <c r="F31" i="1"/>
  <c r="F139" i="1"/>
  <c r="CA204" i="1"/>
  <c r="BK102" i="1"/>
  <c r="BF67" i="1"/>
  <c r="F88" i="1"/>
  <c r="F94" i="1"/>
  <c r="F98" i="1"/>
  <c r="F152" i="1"/>
  <c r="F170" i="1"/>
  <c r="BA77" i="1"/>
  <c r="AB211" i="1"/>
  <c r="Q102" i="1"/>
  <c r="G260" i="1"/>
  <c r="G254" i="1"/>
  <c r="Z217" i="1"/>
  <c r="AH217" i="1"/>
  <c r="G240" i="1"/>
  <c r="AG217" i="1"/>
  <c r="W217" i="1"/>
  <c r="CT75" i="1"/>
  <c r="CT185" i="1"/>
  <c r="CP211" i="1"/>
  <c r="BK83" i="1"/>
  <c r="BF207" i="1"/>
  <c r="BA60" i="1"/>
  <c r="BA133" i="1"/>
  <c r="BZ114" i="1"/>
  <c r="BY159" i="1"/>
  <c r="V129" i="1"/>
  <c r="F153" i="1"/>
  <c r="G282" i="1"/>
  <c r="G49" i="1"/>
  <c r="G112" i="1"/>
  <c r="G185" i="1"/>
  <c r="G202" i="1"/>
  <c r="G258" i="1"/>
  <c r="K217" i="1"/>
  <c r="U217" i="1"/>
  <c r="BY225" i="1"/>
  <c r="BY85" i="1"/>
  <c r="BY90" i="1"/>
  <c r="BY96" i="1"/>
  <c r="CA102" i="1"/>
  <c r="BM102" i="1"/>
  <c r="BM207" i="1"/>
  <c r="BB217" i="1"/>
  <c r="CT279" i="1"/>
  <c r="CT287" i="1"/>
  <c r="CT291" i="1"/>
  <c r="CT295" i="1"/>
  <c r="CT11" i="1"/>
  <c r="CT199" i="1"/>
  <c r="BY19" i="1"/>
  <c r="BY27" i="1"/>
  <c r="CA111" i="1"/>
  <c r="BY143" i="1"/>
  <c r="BY153" i="1"/>
  <c r="BY168" i="1"/>
  <c r="BY194" i="1"/>
  <c r="BZ282" i="1"/>
  <c r="BY210" i="1"/>
  <c r="BF217" i="1"/>
  <c r="BA289" i="1"/>
  <c r="BA293" i="1"/>
  <c r="BA297" i="1"/>
  <c r="BA53" i="1"/>
  <c r="BA63" i="1"/>
  <c r="BA73" i="1"/>
  <c r="BA100" i="1"/>
  <c r="BA109" i="1"/>
  <c r="F209" i="1"/>
  <c r="BA68" i="1"/>
  <c r="G159" i="1"/>
  <c r="V17" i="1"/>
  <c r="V53" i="1"/>
  <c r="V62" i="1"/>
  <c r="V102" i="1"/>
  <c r="V166" i="1"/>
  <c r="G131" i="1"/>
  <c r="O10" i="1"/>
  <c r="I120" i="1"/>
  <c r="G133" i="1"/>
  <c r="G183" i="1"/>
  <c r="CO217" i="1"/>
  <c r="BY216" i="1"/>
  <c r="BZ38" i="1"/>
  <c r="BY286" i="1"/>
  <c r="BY294" i="1"/>
  <c r="BZ77" i="1"/>
  <c r="G179" i="1"/>
  <c r="CU62" i="1"/>
  <c r="CK207" i="1"/>
  <c r="CD217" i="1"/>
  <c r="BK217" i="1"/>
  <c r="CU46" i="1"/>
  <c r="CU99" i="1"/>
  <c r="CU111" i="1"/>
  <c r="BY21" i="1"/>
  <c r="BY39" i="1"/>
  <c r="BY122" i="1"/>
  <c r="BY145" i="1"/>
  <c r="BY196" i="1"/>
  <c r="BY215" i="1"/>
  <c r="BY22" i="1"/>
  <c r="BY26" i="1"/>
  <c r="BY40" i="1"/>
  <c r="BY86" i="1"/>
  <c r="BY95" i="1"/>
  <c r="BY123" i="1"/>
  <c r="BK156" i="1"/>
  <c r="AE106" i="1"/>
  <c r="CT44" i="1"/>
  <c r="CG211" i="1"/>
  <c r="BY32" i="1"/>
  <c r="BY131" i="1"/>
  <c r="BY140" i="1"/>
  <c r="BY147" i="1"/>
  <c r="BY152" i="1"/>
  <c r="BY167" i="1"/>
  <c r="BY177" i="1"/>
  <c r="BY182" i="1"/>
  <c r="BY195" i="1"/>
  <c r="BY209" i="1"/>
  <c r="BZ199" i="1"/>
  <c r="BP120" i="1"/>
  <c r="AZ111" i="1"/>
  <c r="AM10" i="1"/>
  <c r="G164" i="1"/>
  <c r="CT107" i="1"/>
  <c r="CT112" i="1"/>
  <c r="CT183" i="1"/>
  <c r="CT187" i="1"/>
  <c r="CT202" i="1"/>
  <c r="CD57" i="1"/>
  <c r="BB284" i="1"/>
  <c r="CS211" i="1"/>
  <c r="AA217" i="1"/>
  <c r="AS217" i="1"/>
  <c r="CE211" i="1"/>
  <c r="BY236" i="1"/>
  <c r="BY235" i="1"/>
  <c r="BI211" i="1"/>
  <c r="BY229" i="1"/>
  <c r="BY227" i="1"/>
  <c r="BY219" i="1"/>
  <c r="F20" i="1"/>
  <c r="F24" i="1"/>
  <c r="F28" i="1"/>
  <c r="CU57" i="1"/>
  <c r="CU102" i="1"/>
  <c r="CO10" i="1"/>
  <c r="BY89" i="1"/>
  <c r="BA295" i="1"/>
  <c r="AI211" i="1"/>
  <c r="F32" i="1"/>
  <c r="F93" i="1"/>
  <c r="Q207" i="1"/>
  <c r="G109" i="1"/>
  <c r="CA99" i="1"/>
  <c r="F128" i="1"/>
  <c r="J207" i="1"/>
  <c r="G100" i="1"/>
  <c r="CT212" i="1"/>
  <c r="BB102" i="1"/>
  <c r="BA58" i="1"/>
  <c r="G172" i="1"/>
  <c r="BY238" i="1"/>
  <c r="BZ112" i="1"/>
  <c r="F167" i="1"/>
  <c r="F197" i="1"/>
  <c r="CT51" i="1"/>
  <c r="BY16" i="1"/>
  <c r="CC217" i="1"/>
  <c r="AZ217" i="1"/>
  <c r="CU156" i="1"/>
  <c r="CD10" i="1"/>
  <c r="CT49" i="1"/>
  <c r="CT133" i="1"/>
  <c r="CK156" i="1"/>
  <c r="BF10" i="1"/>
  <c r="BM163" i="1"/>
  <c r="BB83" i="1"/>
  <c r="BA279" i="1"/>
  <c r="BA44" i="1"/>
  <c r="BA65" i="1"/>
  <c r="BA157" i="1"/>
  <c r="BA172" i="1"/>
  <c r="BA187" i="1"/>
  <c r="BA202" i="1"/>
  <c r="Q141" i="1"/>
  <c r="P10" i="1"/>
  <c r="F23" i="1"/>
  <c r="CA207" i="1"/>
  <c r="F196" i="1"/>
  <c r="BM83" i="1"/>
  <c r="F90" i="1"/>
  <c r="BF102" i="1"/>
  <c r="F154" i="1"/>
  <c r="F177" i="1"/>
  <c r="Q83" i="1"/>
  <c r="AE207" i="1"/>
  <c r="G259" i="1"/>
  <c r="G256" i="1"/>
  <c r="BY263" i="1"/>
  <c r="AL217" i="1"/>
  <c r="P217" i="1"/>
  <c r="H217" i="1"/>
  <c r="CU176" i="1"/>
  <c r="BY222" i="1"/>
  <c r="CT79" i="1"/>
  <c r="CT189" i="1"/>
  <c r="CQ205" i="1"/>
  <c r="CK67" i="1"/>
  <c r="CD291" i="1"/>
  <c r="BA81" i="1"/>
  <c r="BA205" i="1"/>
  <c r="BZ118" i="1"/>
  <c r="V149" i="1"/>
  <c r="G160" i="1"/>
  <c r="G79" i="1"/>
  <c r="G107" i="1"/>
  <c r="G135" i="1"/>
  <c r="G189" i="1"/>
  <c r="G208" i="1"/>
  <c r="G261" i="1"/>
  <c r="BY256" i="1"/>
  <c r="G255" i="1"/>
  <c r="BY250" i="1"/>
  <c r="G248" i="1"/>
  <c r="Y217" i="1"/>
  <c r="AM217" i="1"/>
  <c r="O217" i="1"/>
  <c r="BY272" i="1"/>
  <c r="BY245" i="1"/>
  <c r="BY94" i="1"/>
  <c r="BY98" i="1"/>
  <c r="CK291" i="1"/>
  <c r="BY23" i="1"/>
  <c r="BY41" i="1"/>
  <c r="CA46" i="1"/>
  <c r="CA57" i="1"/>
  <c r="CA62" i="1"/>
  <c r="BZ107" i="1"/>
  <c r="BY124" i="1"/>
  <c r="BY130" i="1"/>
  <c r="BY148" i="1"/>
  <c r="BY161" i="1"/>
  <c r="BY181" i="1"/>
  <c r="BY198" i="1"/>
  <c r="CA201" i="1"/>
  <c r="BY298" i="1"/>
  <c r="BF46" i="1"/>
  <c r="BF62" i="1"/>
  <c r="BA174" i="1"/>
  <c r="BB99" i="1"/>
  <c r="BB106" i="1"/>
  <c r="BA49" i="1"/>
  <c r="G38" i="1"/>
  <c r="F144" i="1"/>
  <c r="G116" i="1"/>
  <c r="G199" i="1"/>
  <c r="BY254" i="1"/>
  <c r="BY252" i="1"/>
  <c r="BY277" i="1"/>
  <c r="CT34" i="1"/>
  <c r="CT42" i="1"/>
  <c r="CT47" i="1"/>
  <c r="CT55" i="1"/>
  <c r="CT65" i="1"/>
  <c r="CT73" i="1"/>
  <c r="CT81" i="1"/>
  <c r="CT100" i="1"/>
  <c r="CT114" i="1"/>
  <c r="CT118" i="1"/>
  <c r="BY29" i="1"/>
  <c r="BY132" i="1"/>
  <c r="BY158" i="1"/>
  <c r="BY171" i="1"/>
  <c r="CD207" i="1"/>
  <c r="BY20" i="1"/>
  <c r="BY24" i="1"/>
  <c r="BY28" i="1"/>
  <c r="BY71" i="1"/>
  <c r="BY93" i="1"/>
  <c r="BY97" i="1"/>
  <c r="BY126" i="1"/>
  <c r="BK207" i="1"/>
  <c r="AE287" i="1"/>
  <c r="CT297" i="1"/>
  <c r="BY15" i="1"/>
  <c r="BY128" i="1"/>
  <c r="BY138" i="1"/>
  <c r="BY144" i="1"/>
  <c r="BY150" i="1"/>
  <c r="BY154" i="1"/>
  <c r="BY170" i="1"/>
  <c r="BY193" i="1"/>
  <c r="BY197" i="1"/>
  <c r="BA131" i="1"/>
  <c r="BA287" i="1"/>
  <c r="AE116" i="1"/>
  <c r="AE34" i="1"/>
  <c r="G279" i="1"/>
  <c r="CT285" i="1"/>
  <c r="CT289" i="1"/>
  <c r="CT293" i="1"/>
  <c r="CU201" i="1"/>
  <c r="BZ60" i="1"/>
  <c r="BA11" i="1"/>
  <c r="BA291" i="1"/>
  <c r="V287" i="1"/>
  <c r="BY259" i="1"/>
  <c r="I217" i="1"/>
  <c r="BY232" i="1"/>
  <c r="CN217" i="1"/>
  <c r="CT60" i="1"/>
  <c r="CT77" i="1"/>
  <c r="BY218" i="1"/>
  <c r="BY105" i="1"/>
  <c r="F97" i="1"/>
  <c r="G75" i="1"/>
  <c r="BZ100" i="1"/>
  <c r="BZ164" i="1"/>
  <c r="R217" i="1"/>
  <c r="G187" i="1"/>
  <c r="CT172" i="1"/>
  <c r="F138" i="1"/>
  <c r="BY25" i="1"/>
  <c r="F193" i="1"/>
  <c r="F89" i="1"/>
  <c r="BY14" i="1"/>
  <c r="CK201" i="1"/>
  <c r="CD281" i="1"/>
  <c r="CD201" i="1"/>
  <c r="BM204" i="1"/>
  <c r="BK201" i="1"/>
  <c r="BF281" i="1"/>
  <c r="BF201" i="1"/>
  <c r="BB281" i="1"/>
  <c r="BB204" i="1"/>
  <c r="AE201" i="1"/>
  <c r="V281" i="1"/>
  <c r="V99" i="1"/>
  <c r="V204" i="1"/>
  <c r="Q281" i="1"/>
  <c r="Q204" i="1"/>
  <c r="J281" i="1"/>
  <c r="J99" i="1"/>
  <c r="CU204" i="1"/>
  <c r="CK281" i="1"/>
  <c r="CK99" i="1"/>
  <c r="CK204" i="1"/>
  <c r="CD99" i="1"/>
  <c r="CD204" i="1"/>
  <c r="CA281" i="1"/>
  <c r="BY31" i="1"/>
  <c r="BY33" i="1"/>
  <c r="BY37" i="1"/>
  <c r="BY139" i="1"/>
  <c r="BY151" i="1"/>
  <c r="BY178" i="1"/>
  <c r="BY192" i="1"/>
  <c r="BM281" i="1"/>
  <c r="BM99" i="1"/>
  <c r="BM201" i="1"/>
  <c r="BK281" i="1"/>
  <c r="BK99" i="1"/>
  <c r="BK204" i="1"/>
  <c r="BF99" i="1"/>
  <c r="BF204" i="1"/>
  <c r="BB201" i="1"/>
  <c r="AE281" i="1"/>
  <c r="AE99" i="1"/>
  <c r="AE204" i="1"/>
  <c r="V201" i="1"/>
  <c r="Q99" i="1"/>
  <c r="Q201" i="1"/>
  <c r="J204" i="1"/>
  <c r="J201" i="1"/>
  <c r="BB163" i="1"/>
  <c r="BB10" i="1"/>
  <c r="BA13" i="1"/>
  <c r="F231" i="1"/>
  <c r="BA137" i="1"/>
  <c r="AE83" i="1"/>
  <c r="J163" i="1"/>
  <c r="V176" i="1"/>
  <c r="G146" i="1"/>
  <c r="BM176" i="1"/>
  <c r="BY104" i="1"/>
  <c r="BZ103" i="1"/>
  <c r="BZ127" i="1"/>
  <c r="CA125" i="1"/>
  <c r="BZ135" i="1"/>
  <c r="BY136" i="1"/>
  <c r="BZ81" i="1"/>
  <c r="BY82" i="1"/>
  <c r="BM10" i="1"/>
  <c r="CT283" i="1"/>
  <c r="CU282" i="1"/>
  <c r="CU67" i="1"/>
  <c r="CU141" i="1"/>
  <c r="J156" i="1"/>
  <c r="F122" i="1"/>
  <c r="BA121" i="1"/>
  <c r="CA106" i="1"/>
  <c r="BY283" i="1"/>
  <c r="BR299" i="1"/>
  <c r="J125" i="1"/>
  <c r="G127" i="1"/>
  <c r="BY88" i="1"/>
  <c r="BZ87" i="1"/>
  <c r="BZ183" i="1"/>
  <c r="BY184" i="1"/>
  <c r="F215" i="1"/>
  <c r="G11" i="1"/>
  <c r="F12" i="1"/>
  <c r="BZ246" i="1"/>
  <c r="CK237" i="1"/>
  <c r="CD83" i="1"/>
  <c r="BB67" i="1"/>
  <c r="BA17" i="1"/>
  <c r="BA36" i="1"/>
  <c r="BA191" i="1"/>
  <c r="G40" i="1"/>
  <c r="Q156" i="1"/>
  <c r="F101" i="1"/>
  <c r="CU163" i="1"/>
  <c r="F130" i="1"/>
  <c r="F145" i="1"/>
  <c r="F226" i="1"/>
  <c r="BB176" i="1"/>
  <c r="CK83" i="1"/>
  <c r="F140" i="1"/>
  <c r="F26" i="1"/>
  <c r="F123" i="1"/>
  <c r="F95" i="1"/>
  <c r="G250" i="1"/>
  <c r="G247" i="1"/>
  <c r="G244" i="1"/>
  <c r="G243" i="1"/>
  <c r="G241" i="1"/>
  <c r="CK120" i="1"/>
  <c r="CU120" i="1"/>
  <c r="CD120" i="1"/>
  <c r="CA141" i="1"/>
  <c r="BK120" i="1"/>
  <c r="F22" i="1"/>
  <c r="CL299" i="1"/>
  <c r="N299" i="1"/>
  <c r="CD156" i="1"/>
  <c r="BY119" i="1"/>
  <c r="BF156" i="1"/>
  <c r="AO299" i="1"/>
  <c r="AE163" i="1"/>
  <c r="Q129" i="1"/>
  <c r="CA156" i="1"/>
  <c r="V83" i="1"/>
  <c r="F148" i="1"/>
  <c r="F233" i="1"/>
  <c r="F228" i="1"/>
  <c r="BK163" i="1"/>
  <c r="F161" i="1"/>
  <c r="F178" i="1"/>
  <c r="CA163" i="1"/>
  <c r="BQ299" i="1"/>
  <c r="BF163" i="1"/>
  <c r="G253" i="1"/>
  <c r="G246" i="1"/>
  <c r="CD163" i="1"/>
  <c r="BZ84" i="1"/>
  <c r="CU284" i="1"/>
  <c r="BB141" i="1"/>
  <c r="G262" i="1"/>
  <c r="CA176" i="1"/>
  <c r="CU83" i="1"/>
  <c r="BZ137" i="1"/>
  <c r="CA83" i="1"/>
  <c r="BZ129" i="1"/>
  <c r="BF120" i="1"/>
  <c r="BB120" i="1"/>
  <c r="BA169" i="1"/>
  <c r="BM141" i="1"/>
  <c r="BA214" i="1"/>
  <c r="BA160" i="1"/>
  <c r="AE120" i="1"/>
  <c r="BA87" i="1"/>
  <c r="V36" i="1"/>
  <c r="Q176" i="1"/>
  <c r="F21" i="1"/>
  <c r="F25" i="1"/>
  <c r="F29" i="1"/>
  <c r="F50" i="1"/>
  <c r="CA36" i="1"/>
  <c r="BZ166" i="1"/>
  <c r="BZ191" i="1"/>
  <c r="F194" i="1"/>
  <c r="BY78" i="1"/>
  <c r="BA149" i="1"/>
  <c r="AY299" i="1"/>
  <c r="AE141" i="1"/>
  <c r="BZ142" i="1"/>
  <c r="BZ160" i="1"/>
  <c r="F218" i="1"/>
  <c r="F151" i="1"/>
  <c r="CC10" i="1"/>
  <c r="F104" i="1"/>
  <c r="G121" i="1"/>
  <c r="J83" i="1"/>
  <c r="CK44" i="1"/>
  <c r="BZ45" i="1"/>
  <c r="F181" i="1"/>
  <c r="CU10" i="1"/>
  <c r="BZ121" i="1"/>
  <c r="BZ149" i="1"/>
  <c r="BZ208" i="1"/>
  <c r="BM156" i="1"/>
  <c r="BA179" i="1"/>
  <c r="BA208" i="1"/>
  <c r="V156" i="1"/>
  <c r="F39" i="1"/>
  <c r="F110" i="1"/>
  <c r="AE237" i="1"/>
  <c r="BZ146" i="1"/>
  <c r="F14" i="1"/>
  <c r="F124" i="1"/>
  <c r="F198" i="1"/>
  <c r="BZ292" i="1"/>
  <c r="BY108" i="1"/>
  <c r="F147" i="1"/>
  <c r="BZ179" i="1"/>
  <c r="BY200" i="1"/>
  <c r="G103" i="1"/>
  <c r="BZ73" i="1"/>
  <c r="BY74" i="1"/>
  <c r="V237" i="1"/>
  <c r="BZ116" i="1"/>
  <c r="BY117" i="1"/>
  <c r="BZ174" i="1"/>
  <c r="BY175" i="1"/>
  <c r="BZ68" i="1"/>
  <c r="BY69" i="1"/>
  <c r="G30" i="1"/>
  <c r="BZ49" i="1"/>
  <c r="BY50" i="1"/>
  <c r="BZ58" i="1"/>
  <c r="BY59" i="1"/>
  <c r="BZ63" i="1"/>
  <c r="BY64" i="1"/>
  <c r="BZ187" i="1"/>
  <c r="BY188" i="1"/>
  <c r="BZ202" i="1"/>
  <c r="BY203" i="1"/>
  <c r="BZ53" i="1"/>
  <c r="BY54" i="1"/>
  <c r="BF285" i="1"/>
  <c r="BA286" i="1"/>
  <c r="F158" i="1"/>
  <c r="G54" i="1"/>
  <c r="BZ279" i="1"/>
  <c r="BY280" i="1"/>
  <c r="G168" i="1"/>
  <c r="BZ34" i="1"/>
  <c r="BY35" i="1"/>
  <c r="BZ47" i="1"/>
  <c r="BY48" i="1"/>
  <c r="BZ55" i="1"/>
  <c r="BY56" i="1"/>
  <c r="BZ42" i="1"/>
  <c r="BY43" i="1"/>
  <c r="BZ51" i="1"/>
  <c r="BY52" i="1"/>
  <c r="BZ65" i="1"/>
  <c r="BY66" i="1"/>
  <c r="F134" i="1"/>
  <c r="BZ185" i="1"/>
  <c r="BY186" i="1"/>
  <c r="BZ287" i="1"/>
  <c r="BY288" i="1"/>
  <c r="BZ295" i="1"/>
  <c r="BY296" i="1"/>
  <c r="BZ11" i="1"/>
  <c r="BY12" i="1"/>
  <c r="BZ75" i="1"/>
  <c r="BY76" i="1"/>
  <c r="BZ79" i="1"/>
  <c r="BY80" i="1"/>
  <c r="BZ109" i="1"/>
  <c r="BY110" i="1"/>
  <c r="BZ133" i="1"/>
  <c r="BY134" i="1"/>
  <c r="BZ205" i="1"/>
  <c r="BY206" i="1"/>
  <c r="BZ172" i="1"/>
  <c r="BY173" i="1"/>
  <c r="BZ189" i="1"/>
  <c r="BY190" i="1"/>
  <c r="BY213" i="1"/>
  <c r="BZ212" i="1"/>
  <c r="BA107" i="1"/>
  <c r="F108" i="1"/>
  <c r="G47" i="1"/>
  <c r="F48" i="1"/>
  <c r="G55" i="1"/>
  <c r="F56" i="1"/>
  <c r="G73" i="1"/>
  <c r="F74" i="1"/>
  <c r="G81" i="1"/>
  <c r="F82" i="1"/>
  <c r="F115" i="1"/>
  <c r="G114" i="1"/>
  <c r="G169" i="1"/>
  <c r="F171" i="1"/>
  <c r="BF141" i="1"/>
  <c r="G41" i="1"/>
  <c r="F280" i="1"/>
  <c r="F76" i="1"/>
  <c r="F180" i="1"/>
  <c r="F186" i="1"/>
  <c r="F190" i="1"/>
  <c r="F200" i="1"/>
  <c r="F210" i="1"/>
  <c r="F19" i="1"/>
  <c r="AE36" i="1"/>
  <c r="BA103" i="1"/>
  <c r="F105" i="1"/>
  <c r="BA112" i="1"/>
  <c r="F113" i="1"/>
  <c r="BA116" i="1"/>
  <c r="F117" i="1"/>
  <c r="Q13" i="1"/>
  <c r="G16" i="1"/>
  <c r="J149" i="1"/>
  <c r="G150" i="1"/>
  <c r="G51" i="1"/>
  <c r="F52" i="1"/>
  <c r="G65" i="1"/>
  <c r="F66" i="1"/>
  <c r="G77" i="1"/>
  <c r="F78" i="1"/>
  <c r="F119" i="1"/>
  <c r="G118" i="1"/>
  <c r="G174" i="1"/>
  <c r="F175" i="1"/>
  <c r="G205" i="1"/>
  <c r="F206" i="1"/>
  <c r="BF83" i="1"/>
  <c r="F283" i="1"/>
  <c r="F80" i="1"/>
  <c r="F136" i="1"/>
  <c r="F165" i="1"/>
  <c r="F173" i="1"/>
  <c r="F184" i="1"/>
  <c r="F188" i="1"/>
  <c r="F192" i="1"/>
  <c r="F203" i="1"/>
  <c r="F72" i="1"/>
  <c r="F162" i="1"/>
  <c r="F242" i="1"/>
  <c r="BY260" i="1"/>
  <c r="BA265" i="1"/>
  <c r="CT265" i="1"/>
  <c r="F232" i="1"/>
  <c r="BY228" i="1"/>
  <c r="BY224" i="1"/>
  <c r="F222" i="1"/>
  <c r="CK176" i="1"/>
  <c r="BK176" i="1"/>
  <c r="BK10" i="1"/>
  <c r="BK141" i="1"/>
  <c r="V214" i="1"/>
  <c r="V44" i="1"/>
  <c r="V142" i="1"/>
  <c r="G143" i="1"/>
  <c r="J63" i="1"/>
  <c r="G64" i="1"/>
  <c r="H83" i="1"/>
  <c r="J284" i="1"/>
  <c r="J57" i="1"/>
  <c r="J67" i="1"/>
  <c r="H10" i="1"/>
  <c r="G15" i="1"/>
  <c r="BY255" i="1"/>
  <c r="BY242" i="1"/>
  <c r="BY278" i="1"/>
  <c r="BY233" i="1"/>
  <c r="F227" i="1"/>
  <c r="BY262" i="1"/>
  <c r="F252" i="1"/>
  <c r="BY244" i="1"/>
  <c r="BY240" i="1"/>
  <c r="F278" i="1"/>
  <c r="F277" i="1"/>
  <c r="BY276" i="1"/>
  <c r="BY275" i="1"/>
  <c r="F273" i="1"/>
  <c r="BY269" i="1"/>
  <c r="F270" i="1"/>
  <c r="G265" i="1"/>
  <c r="BY271" i="1"/>
  <c r="F272" i="1"/>
  <c r="BY268" i="1"/>
  <c r="BY267" i="1"/>
  <c r="BZ265" i="1"/>
  <c r="BY258" i="1"/>
  <c r="BY239" i="1"/>
  <c r="BA237" i="1"/>
  <c r="F235" i="1"/>
  <c r="BY231" i="1"/>
  <c r="F229" i="1"/>
  <c r="BY226" i="1"/>
  <c r="F225" i="1"/>
  <c r="BY221" i="1"/>
  <c r="F219" i="1"/>
  <c r="CK141" i="1"/>
  <c r="AE44" i="1"/>
  <c r="V68" i="1"/>
  <c r="J17" i="1"/>
  <c r="G18" i="1"/>
  <c r="J129" i="1"/>
  <c r="G132" i="1"/>
  <c r="G295" i="1"/>
  <c r="F296" i="1"/>
  <c r="F37" i="1"/>
  <c r="G42" i="1"/>
  <c r="F43" i="1"/>
  <c r="G60" i="1"/>
  <c r="F61" i="1"/>
  <c r="G84" i="1"/>
  <c r="F85" i="1"/>
  <c r="G212" i="1"/>
  <c r="F213" i="1"/>
  <c r="G285" i="1"/>
  <c r="G289" i="1"/>
  <c r="F290" i="1"/>
  <c r="G297" i="1"/>
  <c r="F298" i="1"/>
  <c r="G34" i="1"/>
  <c r="F35" i="1"/>
  <c r="G58" i="1"/>
  <c r="F59" i="1"/>
  <c r="F276" i="1"/>
  <c r="F274" i="1"/>
  <c r="F275" i="1"/>
  <c r="F269" i="1"/>
  <c r="F271" i="1"/>
  <c r="F268" i="1"/>
  <c r="F266" i="1"/>
  <c r="F267" i="1"/>
  <c r="V13" i="1"/>
  <c r="G216" i="1"/>
  <c r="G69" i="1"/>
  <c r="G45" i="1"/>
  <c r="J176" i="1"/>
  <c r="BZ36" i="1"/>
  <c r="AQ211" i="1"/>
  <c r="AW299" i="1"/>
  <c r="CW299" i="1"/>
  <c r="BO299" i="1"/>
  <c r="AF299" i="1"/>
  <c r="BY241" i="1"/>
  <c r="G293" i="1"/>
  <c r="BM120" i="1"/>
  <c r="BY114" i="1"/>
  <c r="BY112" i="1"/>
  <c r="BY100" i="1"/>
  <c r="BY30" i="1"/>
  <c r="BY18" i="1"/>
  <c r="BY60" i="1"/>
  <c r="CT207" i="1"/>
  <c r="BZ17" i="1"/>
  <c r="CT156" i="1"/>
  <c r="T211" i="1"/>
  <c r="BY247" i="1"/>
  <c r="BY249" i="1"/>
  <c r="AV299" i="1"/>
  <c r="G287" i="1"/>
  <c r="BY251" i="1"/>
  <c r="AC299" i="1"/>
  <c r="AX299" i="1"/>
  <c r="CF299" i="1"/>
  <c r="BT299" i="1"/>
  <c r="AT299" i="1"/>
  <c r="BE299" i="1"/>
  <c r="CH299" i="1"/>
  <c r="BI299" i="1"/>
  <c r="CM299" i="1"/>
  <c r="CA284" i="1"/>
  <c r="BC299" i="1"/>
  <c r="F288" i="1"/>
  <c r="CI299" i="1"/>
  <c r="E236" i="1"/>
  <c r="BY257" i="1"/>
  <c r="F263" i="1"/>
  <c r="AR299" i="1"/>
  <c r="F251" i="1"/>
  <c r="CR299" i="1"/>
  <c r="BU299" i="1"/>
  <c r="F238" i="1"/>
  <c r="BG299" i="1"/>
  <c r="BS299" i="1"/>
  <c r="BN299" i="1"/>
  <c r="BK211" i="1"/>
  <c r="BJ299" i="1"/>
  <c r="BX299" i="1"/>
  <c r="AQ299" i="1"/>
  <c r="BV299" i="1"/>
  <c r="CV299" i="1"/>
  <c r="AE156" i="1"/>
  <c r="AN299" i="1"/>
  <c r="F257" i="1"/>
  <c r="BY164" i="1"/>
  <c r="AK299" i="1"/>
  <c r="G291" i="1"/>
  <c r="F245" i="1"/>
  <c r="BD299" i="1"/>
  <c r="BY243" i="1"/>
  <c r="F292" i="1"/>
  <c r="BY264" i="1"/>
  <c r="BF211" i="1"/>
  <c r="CP299" i="1"/>
  <c r="CB299" i="1"/>
  <c r="BH299" i="1"/>
  <c r="BY84" i="1"/>
  <c r="CT83" i="1"/>
  <c r="F246" i="1"/>
  <c r="BY289" i="1"/>
  <c r="BY253" i="1"/>
  <c r="BW299" i="1"/>
  <c r="BL299" i="1"/>
  <c r="M299" i="1"/>
  <c r="AU299" i="1"/>
  <c r="F49" i="1"/>
  <c r="BA83" i="1"/>
  <c r="Q120" i="1"/>
  <c r="E101" i="1"/>
  <c r="E89" i="1"/>
  <c r="P211" i="1"/>
  <c r="E196" i="1"/>
  <c r="CG299" i="1"/>
  <c r="CD211" i="1"/>
  <c r="G157" i="1"/>
  <c r="F260" i="1"/>
  <c r="AB299" i="1"/>
  <c r="BM211" i="1"/>
  <c r="CT141" i="1"/>
  <c r="Q217" i="1"/>
  <c r="CT217" i="1"/>
  <c r="F241" i="1"/>
  <c r="F127" i="1"/>
  <c r="F255" i="1"/>
  <c r="F261" i="1"/>
  <c r="AI299" i="1"/>
  <c r="CS299" i="1"/>
  <c r="E27" i="1"/>
  <c r="F254" i="1"/>
  <c r="CU211" i="1"/>
  <c r="F264" i="1"/>
  <c r="T299" i="1"/>
  <c r="F294" i="1"/>
  <c r="CA217" i="1"/>
  <c r="S211" i="1"/>
  <c r="E20" i="1"/>
  <c r="BY214" i="1"/>
  <c r="CT111" i="1"/>
  <c r="E22" i="1"/>
  <c r="BA67" i="1"/>
  <c r="CT120" i="1"/>
  <c r="BY103" i="1"/>
  <c r="E23" i="1"/>
  <c r="BA62" i="1"/>
  <c r="E93" i="1"/>
  <c r="E177" i="1"/>
  <c r="E152" i="1"/>
  <c r="BY121" i="1"/>
  <c r="G176" i="1"/>
  <c r="CT67" i="1"/>
  <c r="E98" i="1"/>
  <c r="E88" i="1"/>
  <c r="E215" i="1"/>
  <c r="BY166" i="1"/>
  <c r="G36" i="1"/>
  <c r="CT176" i="1"/>
  <c r="BY146" i="1"/>
  <c r="BY129" i="1"/>
  <c r="CT10" i="1"/>
  <c r="BB211" i="1"/>
  <c r="BP299" i="1"/>
  <c r="G125" i="1"/>
  <c r="F159" i="1"/>
  <c r="F100" i="1"/>
  <c r="E86" i="1"/>
  <c r="E94" i="1"/>
  <c r="E130" i="1"/>
  <c r="BY87" i="1"/>
  <c r="E209" i="1"/>
  <c r="V120" i="1"/>
  <c r="E182" i="1"/>
  <c r="BY160" i="1"/>
  <c r="CA120" i="1"/>
  <c r="BY208" i="1"/>
  <c r="CE299" i="1"/>
  <c r="F258" i="1"/>
  <c r="CT163" i="1"/>
  <c r="BY149" i="1"/>
  <c r="E153" i="1"/>
  <c r="BA46" i="1"/>
  <c r="CT46" i="1"/>
  <c r="CT106" i="1"/>
  <c r="F137" i="1"/>
  <c r="F259" i="1"/>
  <c r="E228" i="1"/>
  <c r="F243" i="1"/>
  <c r="F256" i="1"/>
  <c r="F248" i="1"/>
  <c r="E161" i="1"/>
  <c r="E28" i="1"/>
  <c r="V163" i="1"/>
  <c r="G106" i="1"/>
  <c r="E26" i="1"/>
  <c r="F247" i="1"/>
  <c r="F249" i="1"/>
  <c r="E193" i="1"/>
  <c r="L211" i="1"/>
  <c r="AP211" i="1"/>
  <c r="BZ237" i="1"/>
  <c r="BY246" i="1"/>
  <c r="F250" i="1"/>
  <c r="E126" i="1"/>
  <c r="E147" i="1"/>
  <c r="E139" i="1"/>
  <c r="E140" i="1"/>
  <c r="BY142" i="1"/>
  <c r="E145" i="1"/>
  <c r="F131" i="1"/>
  <c r="BA129" i="1"/>
  <c r="E24" i="1"/>
  <c r="BY191" i="1"/>
  <c r="E128" i="1"/>
  <c r="E224" i="1"/>
  <c r="J141" i="1"/>
  <c r="BA102" i="1"/>
  <c r="E19" i="1"/>
  <c r="F41" i="1"/>
  <c r="BA217" i="1"/>
  <c r="E242" i="1"/>
  <c r="E162" i="1"/>
  <c r="E218" i="1"/>
  <c r="F16" i="1"/>
  <c r="BY189" i="1"/>
  <c r="BY172" i="1"/>
  <c r="BY205" i="1"/>
  <c r="BY133" i="1"/>
  <c r="BY109" i="1"/>
  <c r="BY79" i="1"/>
  <c r="BY75" i="1"/>
  <c r="BY295" i="1"/>
  <c r="BY287" i="1"/>
  <c r="BY185" i="1"/>
  <c r="BY65" i="1"/>
  <c r="BY51" i="1"/>
  <c r="BY42" i="1"/>
  <c r="BY55" i="1"/>
  <c r="BY47" i="1"/>
  <c r="BY34" i="1"/>
  <c r="G166" i="1"/>
  <c r="E158" i="1"/>
  <c r="BF284" i="1"/>
  <c r="BZ201" i="1"/>
  <c r="BZ57" i="1"/>
  <c r="F30" i="1"/>
  <c r="BZ111" i="1"/>
  <c r="BY73" i="1"/>
  <c r="BY199" i="1"/>
  <c r="BY107" i="1"/>
  <c r="E198" i="1"/>
  <c r="E14" i="1"/>
  <c r="AE217" i="1"/>
  <c r="E39" i="1"/>
  <c r="BA176" i="1"/>
  <c r="BZ207" i="1"/>
  <c r="BA141" i="1"/>
  <c r="E104" i="1"/>
  <c r="E151" i="1"/>
  <c r="BZ156" i="1"/>
  <c r="BY77" i="1"/>
  <c r="E25" i="1"/>
  <c r="BA156" i="1"/>
  <c r="BA163" i="1"/>
  <c r="BZ83" i="1"/>
  <c r="F262" i="1"/>
  <c r="F253" i="1"/>
  <c r="E148" i="1"/>
  <c r="BA10" i="1"/>
  <c r="BY137" i="1"/>
  <c r="F244" i="1"/>
  <c r="E123" i="1"/>
  <c r="E197" i="1"/>
  <c r="F40" i="1"/>
  <c r="CK217" i="1"/>
  <c r="F11" i="1"/>
  <c r="BY282" i="1"/>
  <c r="CU281" i="1"/>
  <c r="BY293" i="1"/>
  <c r="BY285" i="1"/>
  <c r="BY38" i="1"/>
  <c r="CO211" i="1"/>
  <c r="BZ281" i="1"/>
  <c r="CT284" i="1"/>
  <c r="W211" i="1"/>
  <c r="AG211" i="1"/>
  <c r="F240" i="1"/>
  <c r="AH211" i="1"/>
  <c r="Z211" i="1"/>
  <c r="CT62" i="1"/>
  <c r="G204" i="1"/>
  <c r="Q10" i="1"/>
  <c r="BA106" i="1"/>
  <c r="BY212" i="1"/>
  <c r="BZ204" i="1"/>
  <c r="BZ106" i="1"/>
  <c r="F133" i="1"/>
  <c r="BY279" i="1"/>
  <c r="BA285" i="1"/>
  <c r="BY53" i="1"/>
  <c r="BY202" i="1"/>
  <c r="BY187" i="1"/>
  <c r="BY63" i="1"/>
  <c r="BY58" i="1"/>
  <c r="BY49" i="1"/>
  <c r="BY68" i="1"/>
  <c r="BY174" i="1"/>
  <c r="BY116" i="1"/>
  <c r="V217" i="1"/>
  <c r="G102" i="1"/>
  <c r="BZ291" i="1"/>
  <c r="E124" i="1"/>
  <c r="F109" i="1"/>
  <c r="BA207" i="1"/>
  <c r="E181" i="1"/>
  <c r="CK10" i="1"/>
  <c r="E194" i="1"/>
  <c r="CA10" i="1"/>
  <c r="E29" i="1"/>
  <c r="E21" i="1"/>
  <c r="E178" i="1"/>
  <c r="BY118" i="1"/>
  <c r="E95" i="1"/>
  <c r="BY183" i="1"/>
  <c r="E122" i="1"/>
  <c r="CT282" i="1"/>
  <c r="BY81" i="1"/>
  <c r="BY135" i="1"/>
  <c r="BZ102" i="1"/>
  <c r="BY13" i="1"/>
  <c r="E138" i="1"/>
  <c r="R211" i="1"/>
  <c r="BZ99" i="1"/>
  <c r="E97" i="1"/>
  <c r="CN211" i="1"/>
  <c r="I211" i="1"/>
  <c r="V284" i="1"/>
  <c r="AE111" i="1"/>
  <c r="BY169" i="1"/>
  <c r="AE284" i="1"/>
  <c r="BY157" i="1"/>
  <c r="CT99" i="1"/>
  <c r="E144" i="1"/>
  <c r="F38" i="1"/>
  <c r="BY297" i="1"/>
  <c r="CK284" i="1"/>
  <c r="O211" i="1"/>
  <c r="AM211" i="1"/>
  <c r="Y211" i="1"/>
  <c r="G207" i="1"/>
  <c r="BA204" i="1"/>
  <c r="CD284" i="1"/>
  <c r="CQ204" i="1"/>
  <c r="H211" i="1"/>
  <c r="AL211" i="1"/>
  <c r="BY179" i="1"/>
  <c r="E154" i="1"/>
  <c r="E90" i="1"/>
  <c r="BA201" i="1"/>
  <c r="AZ211" i="1"/>
  <c r="CC211" i="1"/>
  <c r="BA57" i="1"/>
  <c r="G99" i="1"/>
  <c r="AS211" i="1"/>
  <c r="AA211" i="1"/>
  <c r="CT201" i="1"/>
  <c r="E195" i="1"/>
  <c r="E167" i="1"/>
  <c r="E32" i="1"/>
  <c r="V46" i="1"/>
  <c r="BA99" i="1"/>
  <c r="U211" i="1"/>
  <c r="K211" i="1"/>
  <c r="G201" i="1"/>
  <c r="G281" i="1"/>
  <c r="E170" i="1"/>
  <c r="E31" i="1"/>
  <c r="E71" i="1"/>
  <c r="BA281" i="1"/>
  <c r="J217" i="1"/>
  <c r="AJ211" i="1"/>
  <c r="E96" i="1"/>
  <c r="BY70" i="1"/>
  <c r="E33" i="1"/>
  <c r="CT204" i="1"/>
  <c r="CT57" i="1"/>
  <c r="X211" i="1"/>
  <c r="BY99" i="1"/>
  <c r="F87" i="1"/>
  <c r="BY127" i="1"/>
  <c r="BZ125" i="1"/>
  <c r="F168" i="1"/>
  <c r="E50" i="1"/>
  <c r="E233" i="1"/>
  <c r="BY292" i="1"/>
  <c r="F121" i="1"/>
  <c r="F146" i="1"/>
  <c r="G237" i="1"/>
  <c r="BZ44" i="1"/>
  <c r="BY45" i="1"/>
  <c r="F286" i="1"/>
  <c r="E134" i="1"/>
  <c r="E110" i="1"/>
  <c r="BZ163" i="1"/>
  <c r="BZ62" i="1"/>
  <c r="BZ141" i="1"/>
  <c r="G53" i="1"/>
  <c r="F54" i="1"/>
  <c r="BZ46" i="1"/>
  <c r="BY11" i="1"/>
  <c r="E12" i="1"/>
  <c r="F160" i="1"/>
  <c r="BZ176" i="1"/>
  <c r="BZ67" i="1"/>
  <c r="F70" i="1"/>
  <c r="E72" i="1"/>
  <c r="F202" i="1"/>
  <c r="E203" i="1"/>
  <c r="F187" i="1"/>
  <c r="E188" i="1"/>
  <c r="F172" i="1"/>
  <c r="E173" i="1"/>
  <c r="F135" i="1"/>
  <c r="E136" i="1"/>
  <c r="F282" i="1"/>
  <c r="E283" i="1"/>
  <c r="F205" i="1"/>
  <c r="E206" i="1"/>
  <c r="F174" i="1"/>
  <c r="E175" i="1"/>
  <c r="F77" i="1"/>
  <c r="E78" i="1"/>
  <c r="F65" i="1"/>
  <c r="E66" i="1"/>
  <c r="F51" i="1"/>
  <c r="E52" i="1"/>
  <c r="G149" i="1"/>
  <c r="F150" i="1"/>
  <c r="F116" i="1"/>
  <c r="E117" i="1"/>
  <c r="F112" i="1"/>
  <c r="E113" i="1"/>
  <c r="E105" i="1"/>
  <c r="F103" i="1"/>
  <c r="F208" i="1"/>
  <c r="E210" i="1"/>
  <c r="F189" i="1"/>
  <c r="E190" i="1"/>
  <c r="E180" i="1"/>
  <c r="F179" i="1"/>
  <c r="F279" i="1"/>
  <c r="E280" i="1"/>
  <c r="F169" i="1"/>
  <c r="E171" i="1"/>
  <c r="F81" i="1"/>
  <c r="E82" i="1"/>
  <c r="F73" i="1"/>
  <c r="E74" i="1"/>
  <c r="F55" i="1"/>
  <c r="E56" i="1"/>
  <c r="F47" i="1"/>
  <c r="E48" i="1"/>
  <c r="F107" i="1"/>
  <c r="E108" i="1"/>
  <c r="G111" i="1"/>
  <c r="F191" i="1"/>
  <c r="E192" i="1"/>
  <c r="F183" i="1"/>
  <c r="E184" i="1"/>
  <c r="F164" i="1"/>
  <c r="E165" i="1"/>
  <c r="F79" i="1"/>
  <c r="E80" i="1"/>
  <c r="F118" i="1"/>
  <c r="E119" i="1"/>
  <c r="F199" i="1"/>
  <c r="E200" i="1"/>
  <c r="E186" i="1"/>
  <c r="F185" i="1"/>
  <c r="F75" i="1"/>
  <c r="E76" i="1"/>
  <c r="F114" i="1"/>
  <c r="E115" i="1"/>
  <c r="BA111" i="1"/>
  <c r="E274" i="1"/>
  <c r="F34" i="1"/>
  <c r="E35" i="1"/>
  <c r="F84" i="1"/>
  <c r="E85" i="1"/>
  <c r="F42" i="1"/>
  <c r="E43" i="1"/>
  <c r="F132" i="1"/>
  <c r="G129" i="1"/>
  <c r="J10" i="1"/>
  <c r="V67" i="1"/>
  <c r="AE10" i="1"/>
  <c r="E225" i="1"/>
  <c r="E229" i="1"/>
  <c r="E235" i="1"/>
  <c r="E270" i="1"/>
  <c r="E273" i="1"/>
  <c r="E277" i="1"/>
  <c r="E278" i="1"/>
  <c r="E252" i="1"/>
  <c r="E227" i="1"/>
  <c r="F15" i="1"/>
  <c r="G13" i="1"/>
  <c r="G63" i="1"/>
  <c r="F64" i="1"/>
  <c r="V141" i="1"/>
  <c r="E239" i="1"/>
  <c r="BY265" i="1"/>
  <c r="G44" i="1"/>
  <c r="F45" i="1"/>
  <c r="G214" i="1"/>
  <c r="F216" i="1"/>
  <c r="E267" i="1"/>
  <c r="E268" i="1"/>
  <c r="E269" i="1"/>
  <c r="G57" i="1"/>
  <c r="F297" i="1"/>
  <c r="E298" i="1"/>
  <c r="F289" i="1"/>
  <c r="E290" i="1"/>
  <c r="G68" i="1"/>
  <c r="F69" i="1"/>
  <c r="V10" i="1"/>
  <c r="E266" i="1"/>
  <c r="F265" i="1"/>
  <c r="E271" i="1"/>
  <c r="E275" i="1"/>
  <c r="E276" i="1"/>
  <c r="F58" i="1"/>
  <c r="E59" i="1"/>
  <c r="F212" i="1"/>
  <c r="E213" i="1"/>
  <c r="G83" i="1"/>
  <c r="F60" i="1"/>
  <c r="E61" i="1"/>
  <c r="E37" i="1"/>
  <c r="F295" i="1"/>
  <c r="E296" i="1"/>
  <c r="J120" i="1"/>
  <c r="G17" i="1"/>
  <c r="F18" i="1"/>
  <c r="E219" i="1"/>
  <c r="E272" i="1"/>
  <c r="J62" i="1"/>
  <c r="G142" i="1"/>
  <c r="F143" i="1"/>
  <c r="E222" i="1"/>
  <c r="E232" i="1"/>
  <c r="E221" i="1"/>
  <c r="E226" i="1"/>
  <c r="E231" i="1"/>
  <c r="E245" i="1"/>
  <c r="E238" i="1"/>
  <c r="P299" i="1"/>
  <c r="E100" i="1"/>
  <c r="BY17" i="1"/>
  <c r="F287" i="1"/>
  <c r="E251" i="1"/>
  <c r="E263" i="1"/>
  <c r="E288" i="1"/>
  <c r="E257" i="1"/>
  <c r="BK299" i="1"/>
  <c r="G284" i="1"/>
  <c r="CT211" i="1"/>
  <c r="E294" i="1"/>
  <c r="F291" i="1"/>
  <c r="E240" i="1"/>
  <c r="E255" i="1"/>
  <c r="E261" i="1"/>
  <c r="BM299" i="1"/>
  <c r="E241" i="1"/>
  <c r="F293" i="1"/>
  <c r="E254" i="1"/>
  <c r="F125" i="1"/>
  <c r="BY102" i="1"/>
  <c r="G156" i="1"/>
  <c r="F99" i="1"/>
  <c r="E264" i="1"/>
  <c r="E260" i="1"/>
  <c r="F166" i="1"/>
  <c r="E244" i="1"/>
  <c r="E253" i="1"/>
  <c r="BA211" i="1"/>
  <c r="BA120" i="1"/>
  <c r="E250" i="1"/>
  <c r="BZ217" i="1"/>
  <c r="E256" i="1"/>
  <c r="F157" i="1"/>
  <c r="BZ10" i="1"/>
  <c r="E292" i="1"/>
  <c r="BZ120" i="1"/>
  <c r="H299" i="1"/>
  <c r="CD299" i="1"/>
  <c r="BZ284" i="1"/>
  <c r="V211" i="1"/>
  <c r="CU299" i="1"/>
  <c r="BF299" i="1"/>
  <c r="G163" i="1"/>
  <c r="E131" i="1"/>
  <c r="BY237" i="1"/>
  <c r="E258" i="1"/>
  <c r="BY207" i="1"/>
  <c r="BY83" i="1"/>
  <c r="BB299" i="1"/>
  <c r="S299" i="1"/>
  <c r="CA211" i="1"/>
  <c r="Q211" i="1"/>
  <c r="E159" i="1"/>
  <c r="F237" i="1"/>
  <c r="BY141" i="1"/>
  <c r="F36" i="1"/>
  <c r="E246" i="1"/>
  <c r="BY176" i="1"/>
  <c r="BY62" i="1"/>
  <c r="E121" i="1"/>
  <c r="BY46" i="1"/>
  <c r="BY67" i="1"/>
  <c r="BY163" i="1"/>
  <c r="E160" i="1"/>
  <c r="E146" i="1"/>
  <c r="E247" i="1"/>
  <c r="E262" i="1"/>
  <c r="E259" i="1"/>
  <c r="E248" i="1"/>
  <c r="E243" i="1"/>
  <c r="E249" i="1"/>
  <c r="E87" i="1"/>
  <c r="AP299" i="1"/>
  <c r="L299" i="1"/>
  <c r="BY36" i="1"/>
  <c r="E114" i="1"/>
  <c r="E75" i="1"/>
  <c r="E185" i="1"/>
  <c r="F106" i="1"/>
  <c r="E179" i="1"/>
  <c r="F207" i="1"/>
  <c r="E103" i="1"/>
  <c r="F204" i="1"/>
  <c r="F281" i="1"/>
  <c r="F201" i="1"/>
  <c r="G46" i="1"/>
  <c r="E133" i="1"/>
  <c r="E286" i="1"/>
  <c r="G217" i="1"/>
  <c r="E168" i="1"/>
  <c r="BY125" i="1"/>
  <c r="K299" i="1"/>
  <c r="AL299" i="1"/>
  <c r="CQ299" i="1"/>
  <c r="Y299" i="1"/>
  <c r="AM299" i="1"/>
  <c r="O299" i="1"/>
  <c r="E38" i="1"/>
  <c r="CT281" i="1"/>
  <c r="BY156" i="1"/>
  <c r="BY111" i="1"/>
  <c r="BY57" i="1"/>
  <c r="BY201" i="1"/>
  <c r="BA284" i="1"/>
  <c r="Z299" i="1"/>
  <c r="AG299" i="1"/>
  <c r="W299" i="1"/>
  <c r="CO299" i="1"/>
  <c r="AE211" i="1"/>
  <c r="E30" i="1"/>
  <c r="E99" i="1"/>
  <c r="E16" i="1"/>
  <c r="E199" i="1"/>
  <c r="E118" i="1"/>
  <c r="E79" i="1"/>
  <c r="E164" i="1"/>
  <c r="E183" i="1"/>
  <c r="E191" i="1"/>
  <c r="E107" i="1"/>
  <c r="E47" i="1"/>
  <c r="E55" i="1"/>
  <c r="E73" i="1"/>
  <c r="E81" i="1"/>
  <c r="E169" i="1"/>
  <c r="E279" i="1"/>
  <c r="E189" i="1"/>
  <c r="E208" i="1"/>
  <c r="F102" i="1"/>
  <c r="E112" i="1"/>
  <c r="E116" i="1"/>
  <c r="E51" i="1"/>
  <c r="E65" i="1"/>
  <c r="E77" i="1"/>
  <c r="E174" i="1"/>
  <c r="E205" i="1"/>
  <c r="E282" i="1"/>
  <c r="E135" i="1"/>
  <c r="E172" i="1"/>
  <c r="E187" i="1"/>
  <c r="E202" i="1"/>
  <c r="E70" i="1"/>
  <c r="E11" i="1"/>
  <c r="E109" i="1"/>
  <c r="BY44" i="1"/>
  <c r="BY291" i="1"/>
  <c r="E49" i="1"/>
  <c r="X299" i="1"/>
  <c r="AJ299" i="1"/>
  <c r="J211" i="1"/>
  <c r="U299" i="1"/>
  <c r="AA299" i="1"/>
  <c r="AS299" i="1"/>
  <c r="CC299" i="1"/>
  <c r="AZ299" i="1"/>
  <c r="I299" i="1"/>
  <c r="CN299" i="1"/>
  <c r="R299" i="1"/>
  <c r="AH299" i="1"/>
  <c r="BY281" i="1"/>
  <c r="CK211" i="1"/>
  <c r="E40" i="1"/>
  <c r="E137" i="1"/>
  <c r="BY106" i="1"/>
  <c r="BY204" i="1"/>
  <c r="E41" i="1"/>
  <c r="E127" i="1"/>
  <c r="F285" i="1"/>
  <c r="E54" i="1"/>
  <c r="F53" i="1"/>
  <c r="F111" i="1"/>
  <c r="F149" i="1"/>
  <c r="E150" i="1"/>
  <c r="F176" i="1"/>
  <c r="E295" i="1"/>
  <c r="E212" i="1"/>
  <c r="F57" i="1"/>
  <c r="E265" i="1"/>
  <c r="F68" i="1"/>
  <c r="E69" i="1"/>
  <c r="G67" i="1"/>
  <c r="E297" i="1"/>
  <c r="F44" i="1"/>
  <c r="E45" i="1"/>
  <c r="G62" i="1"/>
  <c r="E15" i="1"/>
  <c r="F13" i="1"/>
  <c r="G120" i="1"/>
  <c r="E132" i="1"/>
  <c r="F129" i="1"/>
  <c r="E84" i="1"/>
  <c r="F142" i="1"/>
  <c r="E143" i="1"/>
  <c r="G141" i="1"/>
  <c r="F17" i="1"/>
  <c r="E18" i="1"/>
  <c r="E60" i="1"/>
  <c r="E58" i="1"/>
  <c r="E289" i="1"/>
  <c r="F214" i="1"/>
  <c r="E216" i="1"/>
  <c r="E64" i="1"/>
  <c r="F63" i="1"/>
  <c r="G10" i="1"/>
  <c r="E42" i="1"/>
  <c r="F83" i="1"/>
  <c r="E34" i="1"/>
  <c r="E291" i="1"/>
  <c r="E287" i="1"/>
  <c r="F163" i="1"/>
  <c r="E293" i="1"/>
  <c r="BY217" i="1"/>
  <c r="F217" i="1"/>
  <c r="BA299" i="1"/>
  <c r="V299" i="1"/>
  <c r="F156" i="1"/>
  <c r="CA299" i="1"/>
  <c r="J299" i="1"/>
  <c r="AE299" i="1"/>
  <c r="CT299" i="1"/>
  <c r="G211" i="1"/>
  <c r="E285" i="1"/>
  <c r="E157" i="1"/>
  <c r="BZ211" i="1"/>
  <c r="Q299" i="1"/>
  <c r="BY10" i="1"/>
  <c r="E36" i="1"/>
  <c r="E106" i="1"/>
  <c r="E237" i="1"/>
  <c r="E176" i="1"/>
  <c r="E111" i="1"/>
  <c r="E149" i="1"/>
  <c r="E53" i="1"/>
  <c r="F284" i="1"/>
  <c r="F46" i="1"/>
  <c r="E125" i="1"/>
  <c r="CK299" i="1"/>
  <c r="BY284" i="1"/>
  <c r="E201" i="1"/>
  <c r="E281" i="1"/>
  <c r="E207" i="1"/>
  <c r="E204" i="1"/>
  <c r="BY120" i="1"/>
  <c r="E166" i="1"/>
  <c r="E102" i="1"/>
  <c r="E63" i="1"/>
  <c r="E214" i="1"/>
  <c r="E142" i="1"/>
  <c r="F10" i="1"/>
  <c r="E13" i="1"/>
  <c r="E44" i="1"/>
  <c r="F67" i="1"/>
  <c r="F62" i="1"/>
  <c r="E57" i="1"/>
  <c r="E17" i="1"/>
  <c r="F141" i="1"/>
  <c r="E83" i="1"/>
  <c r="F120" i="1"/>
  <c r="E129" i="1"/>
  <c r="E68" i="1"/>
  <c r="E156" i="1"/>
  <c r="F211" i="1"/>
  <c r="G299" i="1"/>
  <c r="E284" i="1"/>
  <c r="BY211" i="1"/>
  <c r="BZ299" i="1"/>
  <c r="E217" i="1"/>
  <c r="E163" i="1"/>
  <c r="E46" i="1"/>
  <c r="E67" i="1"/>
  <c r="E141" i="1"/>
  <c r="E120" i="1"/>
  <c r="E10" i="1"/>
  <c r="F299" i="1"/>
  <c r="E62" i="1"/>
  <c r="BY299" i="1"/>
  <c r="E211" i="1"/>
  <c r="E299" i="1"/>
</calcChain>
</file>

<file path=xl/sharedStrings.xml><?xml version="1.0" encoding="utf-8"?>
<sst xmlns="http://schemas.openxmlformats.org/spreadsheetml/2006/main" count="2704" uniqueCount="565">
  <si>
    <t>0100</t>
  </si>
  <si>
    <t/>
  </si>
  <si>
    <t>ГОСУДАРСТВЕННОЕ УПРАВЛЕНИЕ И МЕСТНОЕ САМОУПРАВЛЕНИЕ</t>
  </si>
  <si>
    <t>01</t>
  </si>
  <si>
    <t>Функционирование главы государства - Президента ПМР</t>
  </si>
  <si>
    <t>102</t>
  </si>
  <si>
    <t>Администрация Президента ПМР</t>
  </si>
  <si>
    <t>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</si>
  <si>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</si>
  <si>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</si>
  <si>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</si>
  <si>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</si>
  <si>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</si>
  <si>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</si>
  <si>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</si>
  <si>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</si>
  <si>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</si>
  <si>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</si>
  <si>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</si>
  <si>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</si>
  <si>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</si>
  <si>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</si>
  <si>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</si>
  <si>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</si>
  <si>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</si>
  <si>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</si>
  <si>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</si>
  <si>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</si>
  <si>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</si>
  <si>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</si>
  <si>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</si>
  <si>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</si>
  <si>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</si>
  <si>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</si>
  <si>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</si>
  <si>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</si>
  <si>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</si>
  <si>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</si>
  <si>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</si>
  <si>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</si>
  <si>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</si>
  <si>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</si>
  <si>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</si>
  <si>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</si>
  <si>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</si>
  <si>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</si>
  <si>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</si>
  <si>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04</t>
  </si>
  <si>
    <t>Деятельность финансовых и налоговых органов</t>
  </si>
  <si>
    <t>Министерство финансов (подведомственные)</t>
  </si>
  <si>
    <t>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</si>
  <si>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</si>
  <si>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</si>
  <si>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</si>
  <si>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08</t>
  </si>
  <si>
    <t>Функционирование органов статистики</t>
  </si>
  <si>
    <t>ГС статистики ПМР (территор.упр-я статистики)</t>
  </si>
  <si>
    <t>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</si>
  <si>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</si>
  <si>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</si>
  <si>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</si>
  <si>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</si>
  <si>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</si>
  <si>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Конституционный суд</t>
  </si>
  <si>
    <t>125</t>
  </si>
  <si>
    <t>Конституционный суд ПМР</t>
  </si>
  <si>
    <t>Верховный суд</t>
  </si>
  <si>
    <t>106</t>
  </si>
  <si>
    <t>Верховный суд ПМР</t>
  </si>
  <si>
    <t>Судебные органы</t>
  </si>
  <si>
    <t>139</t>
  </si>
  <si>
    <t>Судебный департамент  при Верховном суде ПМР</t>
  </si>
  <si>
    <t>Арбитражный суд</t>
  </si>
  <si>
    <t>107</t>
  </si>
  <si>
    <t>Арбитражный суд ПМР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</si>
  <si>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</si>
  <si>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</si>
  <si>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</si>
  <si>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</si>
  <si>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Международное сотрудничество</t>
  </si>
  <si>
    <t>Министерство иностранных дел (представительства)</t>
  </si>
  <si>
    <t>Реализация международных соглашений</t>
  </si>
  <si>
    <t>0400</t>
  </si>
  <si>
    <t>ГОСУДАРСТВЕННАЯ ОБОРОНА</t>
  </si>
  <si>
    <t>Государственная армия</t>
  </si>
  <si>
    <t>116</t>
  </si>
  <si>
    <t>Министерство обороны ПМР</t>
  </si>
  <si>
    <t>Миротворческие силы</t>
  </si>
  <si>
    <t>0500</t>
  </si>
  <si>
    <t>ПРАВООХРАНИТЕЛЬНАЯ ДЕЯТЕЛЬНОСТЬ И ОБЕСПЕЧ. БЕЗОПАСНОСТИ ГОС-ВА</t>
  </si>
  <si>
    <t>Органы внутренних дел</t>
  </si>
  <si>
    <t>117</t>
  </si>
  <si>
    <t>Министерство внутренних дел ПМР</t>
  </si>
  <si>
    <t>137</t>
  </si>
  <si>
    <t>ГС судебных исполнителей МЮ ПМР</t>
  </si>
  <si>
    <t>138</t>
  </si>
  <si>
    <t>ГС исполнения наказаний МЮ ПМР</t>
  </si>
  <si>
    <t>Органы государственной безопасности</t>
  </si>
  <si>
    <t>118</t>
  </si>
  <si>
    <t>Министерство государственной безопасности ПМР</t>
  </si>
  <si>
    <t>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</si>
  <si>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</si>
  <si>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</si>
  <si>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</si>
  <si>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</si>
  <si>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</si>
  <si>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</si>
  <si>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09</t>
  </si>
  <si>
    <t>Надзорные органы</t>
  </si>
  <si>
    <t>151</t>
  </si>
  <si>
    <t>Служба государственного надзора МЮ ПМР</t>
  </si>
  <si>
    <t>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</si>
  <si>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</si>
  <si>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</si>
  <si>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</si>
  <si>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</si>
  <si>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</si>
  <si>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</si>
  <si>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</si>
  <si>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</si>
  <si>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</si>
  <si>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Учр. и меропр. в области науч. иссл., не отн. к др.гр.</t>
  </si>
  <si>
    <t>136</t>
  </si>
  <si>
    <t>ГС по культуре  и историческому наследию ПМР (НИЛ)</t>
  </si>
  <si>
    <t>0700</t>
  </si>
  <si>
    <t>ПРОМЫШЛЕННОСТЬ, ЭНЕРГЕТИКА И СТРОИТЕЛЬСТВО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</si>
  <si>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</si>
  <si>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</si>
  <si>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</si>
  <si>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</si>
  <si>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Деят-сть и усл. в области сельского хоз-ва, не отн. к др.гр.</t>
  </si>
  <si>
    <t>Мин-во с/х и прир.рес. (оросительные системы)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</si>
  <si>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</si>
  <si>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</si>
  <si>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</si>
  <si>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Лесное хозяйство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</si>
  <si>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</si>
  <si>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</si>
  <si>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</si>
  <si>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</si>
  <si>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Автомобильный и электротранспорт</t>
  </si>
  <si>
    <t>Возмещение льгот по транспорту</t>
  </si>
  <si>
    <t>Связь</t>
  </si>
  <si>
    <t>ГС связи (почты)</t>
  </si>
  <si>
    <t>Информатика</t>
  </si>
  <si>
    <t>Госзаказ по созданию ГИС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</si>
  <si>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</si>
  <si>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</si>
  <si>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</si>
  <si>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</si>
  <si>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</si>
  <si>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</si>
  <si>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</si>
  <si>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</si>
  <si>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</si>
  <si>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</si>
  <si>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</si>
  <si>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Высшее образование</t>
  </si>
  <si>
    <t>Высшие колледжи</t>
  </si>
  <si>
    <t>Университет</t>
  </si>
  <si>
    <t>Высшие колледжи ГС К и ИН</t>
  </si>
  <si>
    <t>Курсы и учреждения по повышению квалификации</t>
  </si>
  <si>
    <t>ГИПК (курсы и учреждения по повышению квалификации)</t>
  </si>
  <si>
    <t>Детские дома, детские дома семейного типа</t>
  </si>
  <si>
    <t>Детский дом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</si>
  <si>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</si>
  <si>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</si>
  <si>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Прочие мероприятия в области образования</t>
  </si>
  <si>
    <t>Центр экспертизы качества образования</t>
  </si>
  <si>
    <t>1400</t>
  </si>
  <si>
    <t>КУЛЬТУРА, ИСКУССТВО, КИНЕМАТОГРАФИЯ</t>
  </si>
  <si>
    <t>14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</si>
  <si>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</si>
  <si>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</si>
  <si>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</si>
  <si>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Спорт и мероприятия для молодежи</t>
  </si>
  <si>
    <t>Мероприятия для молодежи</t>
  </si>
  <si>
    <t>Мероприятия по спорту</t>
  </si>
  <si>
    <t>Учр. и меропр. в обл. культ.,искус.,спорта, не отн.к др.гр.</t>
  </si>
  <si>
    <t>Респ.спорт.-реаб.центр инвалидов</t>
  </si>
  <si>
    <t>Республиканский стадион</t>
  </si>
  <si>
    <t>РЦОП</t>
  </si>
  <si>
    <t>СДЮШОР</t>
  </si>
  <si>
    <t>Прочие мероприятия по культуре и искусству ГСКиИН</t>
  </si>
  <si>
    <t>1500</t>
  </si>
  <si>
    <t>СРЕДСТВА МАССОВОЙ ИНФОРМАЦИИ</t>
  </si>
  <si>
    <t>15</t>
  </si>
  <si>
    <t>Телевидение и радиовещание</t>
  </si>
  <si>
    <t>ГС СМИ (ПГТРК)</t>
  </si>
  <si>
    <t>ГС связи (ретрансляция)</t>
  </si>
  <si>
    <t>Периодическая печать и издательства</t>
  </si>
  <si>
    <t>ГИИЦ</t>
  </si>
  <si>
    <t>ГС  СМИ (газета)</t>
  </si>
  <si>
    <t>1600</t>
  </si>
  <si>
    <t>ЗДРАВООХРАНЕНИЕ</t>
  </si>
  <si>
    <t>16</t>
  </si>
  <si>
    <t>Больницы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</si>
  <si>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</si>
  <si>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</si>
  <si>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</si>
  <si>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</si>
  <si>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</si>
  <si>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</si>
  <si>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Мед., протезы и продукц., исп. в мед. практике</t>
  </si>
  <si>
    <t>Мед., протезы и продукция, использ. по предп.врача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</si>
  <si>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</si>
  <si>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</si>
  <si>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</si>
  <si>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</si>
  <si>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</t>
  </si>
  <si>
    <t>Пенсии военнослужащим</t>
  </si>
  <si>
    <t>134</t>
  </si>
  <si>
    <t>Пенсии и пособия работн. органов судебной власти и прокурат.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</si>
  <si>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</si>
  <si>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</si>
  <si>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</si>
  <si>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</si>
  <si>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Пенсии и пособия, возмещаемые из бюджета</t>
  </si>
  <si>
    <t>Пенсии и пособия, возмещаемые  из бюджета</t>
  </si>
  <si>
    <t>Поэтапная индексация вкладов населения</t>
  </si>
  <si>
    <t>Индексация вкладов населения</t>
  </si>
  <si>
    <t>Индексация страх. взносов по договорам добровольн. страх.</t>
  </si>
  <si>
    <t>Индексация страховых взносов населения</t>
  </si>
  <si>
    <t>Повышение пенсий за особые заслуги перед гос-вом</t>
  </si>
  <si>
    <t>Повышение пенсий за особые заслуги</t>
  </si>
  <si>
    <t>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</si>
  <si>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</si>
  <si>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</si>
  <si>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</si>
  <si>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Возмещение вреда по трудовому увечью</t>
  </si>
  <si>
    <t>Выплата компенс. гр-нам, участ. ликв. аварии на ЧАЭС</t>
  </si>
  <si>
    <t>Гос.пособия гражданам, имеющим детей</t>
  </si>
  <si>
    <t>Учр-я и услуги в области соц.обеспеч., не отн. к др. гр.</t>
  </si>
  <si>
    <t>12</t>
  </si>
  <si>
    <t>Льготы отдельным категориям населения на ЖКУ</t>
  </si>
  <si>
    <t>1800</t>
  </si>
  <si>
    <t>ОБСЛУЖИВАНИЕ ГОСУДАРСТВЕННОГО ДОЛГА</t>
  </si>
  <si>
    <t>18</t>
  </si>
  <si>
    <t>Обслуживание внутреннего гос.долга</t>
  </si>
  <si>
    <t>2000</t>
  </si>
  <si>
    <t>ФИНАНСОВАЯ ПОМОЩЬ БЮДЖЕТАМ ДРУГИХ УРОВНЕЙ</t>
  </si>
  <si>
    <t>20</t>
  </si>
  <si>
    <t>Финансовая помощь бюджетам др. уровней</t>
  </si>
  <si>
    <t>Трансферты на обеспечение социальных выплат МБ</t>
  </si>
  <si>
    <t>Трансферты на покрытие разницы в ценах и тарифах на ЖКУ</t>
  </si>
  <si>
    <t>3000</t>
  </si>
  <si>
    <t>ПРОЧИЕ РАСХОДЫ</t>
  </si>
  <si>
    <t>30</t>
  </si>
  <si>
    <t>Резервный фонд Президента ПМР</t>
  </si>
  <si>
    <t>130</t>
  </si>
  <si>
    <t>Проведение выборов и референдумов</t>
  </si>
  <si>
    <t>112</t>
  </si>
  <si>
    <t>Проведение выборов депутатов ВС ПМР</t>
  </si>
  <si>
    <t>Центральная избирательная комиссия ПМР</t>
  </si>
  <si>
    <t>Расходы, не отнесённые к другим группам</t>
  </si>
  <si>
    <t>Обеспечение миротворческой деятельности</t>
  </si>
  <si>
    <t>ГИС в сфере закупок</t>
  </si>
  <si>
    <t>Консалтинговые услуги ОАО ГУК</t>
  </si>
  <si>
    <t>Министерство экон. развития (приватизация)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</si>
  <si>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</si>
  <si>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</si>
  <si>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больницы)</t>
  </si>
  <si>
    <t>Расходы от оказ.плат.усл. (Минздрав, медколледжи)</t>
  </si>
  <si>
    <t>Расходы от оказ.плат.усл. (Минздрав, поликлиники)</t>
  </si>
  <si>
    <t>Расходы от оказ.плат.усл. (Минздрав, СЭС)</t>
  </si>
  <si>
    <t>Мероприятия по обнов. уч. фондов орг. общего образования</t>
  </si>
  <si>
    <t>Мероприятия по оснащению раб. тетрадями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</si>
  <si>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</si>
  <si>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</si>
  <si>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</si>
  <si>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на формирование зем.участков и сост.планов зем.уч.</t>
  </si>
  <si>
    <t>Расходы от оказ.плат.усл. (Мин.с/х и прир.рес., ГМЦ)</t>
  </si>
  <si>
    <t>Расходы от оказ.плат.усл. (Мин.с/х и прир.рес., ГУ "РЦ ВСиФСБ")</t>
  </si>
  <si>
    <t>Расходы от оказ.плат.усл. (Мин.с/х и прир.рес., наука)</t>
  </si>
  <si>
    <t>Расходы от оказ.плат.усл. (Мин.с/х и прир.рес., оросит.системы)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</si>
  <si>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</si>
  <si>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</si>
  <si>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</si>
  <si>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</si>
  <si>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</si>
  <si>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</si>
  <si>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 РКВЦ</t>
  </si>
  <si>
    <t>Расходы от оказ.плат.усл. ГС КиИН, ГОУ</t>
  </si>
  <si>
    <t>Расходы от оказ.плат.усл. ГС КиИН, культура и искусство</t>
  </si>
  <si>
    <t>Расходы от оказ.плат.усл. (ГС СМИ,  ПГТРК)</t>
  </si>
  <si>
    <t>Расходы от оказ.плат.усл. (ГС СМИ, газета)</t>
  </si>
  <si>
    <t>Расходы от оказ.плат.усл. (ГС экологического кон., наука)</t>
  </si>
  <si>
    <t>147</t>
  </si>
  <si>
    <t>Субсидии на развитие дорожного хозяйства</t>
  </si>
  <si>
    <t>Целевые программы</t>
  </si>
  <si>
    <t>ГЦП "Профилактика туберкулеза"</t>
  </si>
  <si>
    <t>Целевая программа "Иммунизация населения ПМР"</t>
  </si>
  <si>
    <t>Целевая программа "Онкология"</t>
  </si>
  <si>
    <t>Целевая программа ВИЧ-СПИД</t>
  </si>
  <si>
    <t>Целевая программа "Учебник"</t>
  </si>
  <si>
    <t>ГЦП развития АПК</t>
  </si>
  <si>
    <t>Резервный фонд Правительства ПМР</t>
  </si>
  <si>
    <t>126</t>
  </si>
  <si>
    <t>3100</t>
  </si>
  <si>
    <t>ВОЗВРАТ КРЕДИТОВ ПО ГОСУДАРСТВЕННОМУ  ДОЛГУ</t>
  </si>
  <si>
    <t>31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</si>
  <si>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</si>
  <si>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</si>
  <si>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</si>
  <si>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</si>
  <si>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</t>
  </si>
  <si>
    <t>Республиканский экологический фонд ПМР</t>
  </si>
  <si>
    <t>127</t>
  </si>
  <si>
    <t>Государственный целевой фонд таможенных органов ПМР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</si>
  <si>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</si>
  <si>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</si>
  <si>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Фонд капитальных вложений</t>
  </si>
  <si>
    <t>133</t>
  </si>
  <si>
    <t>Фонд  развития предпринимательства</t>
  </si>
  <si>
    <t>Фонд поддержки молодежи</t>
  </si>
  <si>
    <t>Фонд стимулирования и развития тер.</t>
  </si>
  <si>
    <t>Фонд развития и стимулирования тер.</t>
  </si>
  <si>
    <t>Функцион.</t>
  </si>
  <si>
    <t>Раздел</t>
  </si>
  <si>
    <t>Код пр-пол.</t>
  </si>
  <si>
    <t>Наименование</t>
  </si>
  <si>
    <t>Всего</t>
  </si>
  <si>
    <t>ТЕКУЩИЕ РАСХОДЫ</t>
  </si>
  <si>
    <t>[100000]</t>
  </si>
  <si>
    <t>ЗАКУПКА ТОВАРОВ И ОПЛАТА УСЛУГ</t>
  </si>
  <si>
    <t>[110000]</t>
  </si>
  <si>
    <t>ОПЛАТА ТРУДА</t>
  </si>
  <si>
    <t>[110100]</t>
  </si>
  <si>
    <t>НАЧИСЛЕНИЯ НА ОПЛАТУ ТРУДА</t>
  </si>
  <si>
    <t>[110200]</t>
  </si>
  <si>
    <t>ПРИОБР. ПРЕДМ. СНАБЖ. И РАСХ. МАТЕРИАЛОВ</t>
  </si>
  <si>
    <t>[110300]</t>
  </si>
  <si>
    <t>Медикаменты</t>
  </si>
  <si>
    <t>[110310]</t>
  </si>
  <si>
    <t>Мягкий инвент. и обмундир.</t>
  </si>
  <si>
    <t>[110320]</t>
  </si>
  <si>
    <t>Продукты питания</t>
  </si>
  <si>
    <t>[110330]</t>
  </si>
  <si>
    <t>Оплата топлива</t>
  </si>
  <si>
    <t>[110340]</t>
  </si>
  <si>
    <t>Содерж. автотр-та</t>
  </si>
  <si>
    <t>[110350]</t>
  </si>
  <si>
    <t>Проч. расх. мат-лы и предм. снаб-я</t>
  </si>
  <si>
    <t>[110360]</t>
  </si>
  <si>
    <t>[110400]</t>
  </si>
  <si>
    <t>Внутри республики</t>
  </si>
  <si>
    <t>[110410]</t>
  </si>
  <si>
    <t>За пределы республики</t>
  </si>
  <si>
    <t>[110420]</t>
  </si>
  <si>
    <t>ТРАНСП. УСЛУГИ</t>
  </si>
  <si>
    <t>[110500]</t>
  </si>
  <si>
    <t>ОПЛАТА УСЛУГ СВЯЗИ</t>
  </si>
  <si>
    <t>[110600]</t>
  </si>
  <si>
    <t>ОПЛАТА КОММУН. УСЛУГ</t>
  </si>
  <si>
    <t>[110700]</t>
  </si>
  <si>
    <t>Содержание помещений</t>
  </si>
  <si>
    <t>[110710]</t>
  </si>
  <si>
    <t>Оплата тепловой энергии</t>
  </si>
  <si>
    <t>[110720]</t>
  </si>
  <si>
    <t>Освещение помещений</t>
  </si>
  <si>
    <t>[110730]</t>
  </si>
  <si>
    <t>Водоснабж-е помещений</t>
  </si>
  <si>
    <t>[110740]</t>
  </si>
  <si>
    <t>Вывоз мусора</t>
  </si>
  <si>
    <t>[110750]</t>
  </si>
  <si>
    <t>Аренда помещений</t>
  </si>
  <si>
    <t>[110760]</t>
  </si>
  <si>
    <t>Льготы по коммун. услугам</t>
  </si>
  <si>
    <t>[110770]</t>
  </si>
  <si>
    <t>Оплата газа</t>
  </si>
  <si>
    <t>[110780]</t>
  </si>
  <si>
    <t>ПРОЧ. ТЕК. РАСХ. НА ЗАКУП. ТОВ. И ОПЛ. УСЛУГ</t>
  </si>
  <si>
    <t>[111000]</t>
  </si>
  <si>
    <t>Усл. науч-исслед. орг-ций</t>
  </si>
  <si>
    <t>[111010]</t>
  </si>
  <si>
    <t>Текущ. рем. оборуд. и инвент.</t>
  </si>
  <si>
    <t>[111020]</t>
  </si>
  <si>
    <t>Текущ. рем. зданий и помещ.</t>
  </si>
  <si>
    <t>[111030]</t>
  </si>
  <si>
    <t>Учебн.-нагляд. пособия</t>
  </si>
  <si>
    <t>[111041]</t>
  </si>
  <si>
    <t>Книги и период. издания</t>
  </si>
  <si>
    <t>[111042]</t>
  </si>
  <si>
    <t>Гос. и местн. символика, знаки отличия</t>
  </si>
  <si>
    <t>[111043]</t>
  </si>
  <si>
    <t>Переподготовка кадров</t>
  </si>
  <si>
    <t>[111044]</t>
  </si>
  <si>
    <t>Издат. услуги</t>
  </si>
  <si>
    <t>[111045]</t>
  </si>
  <si>
    <t>Представит. расходы</t>
  </si>
  <si>
    <t>[111046]</t>
  </si>
  <si>
    <t>Приобр. и установ. счетчик.</t>
  </si>
  <si>
    <t>[111047]</t>
  </si>
  <si>
    <t>Проч. спец. расходы</t>
  </si>
  <si>
    <t>[111049]</t>
  </si>
  <si>
    <t>Вневед. охрана</t>
  </si>
  <si>
    <t>[111050]</t>
  </si>
  <si>
    <t>Информ.-вычисл. работы</t>
  </si>
  <si>
    <t>[111051]</t>
  </si>
  <si>
    <t>Участие адвокатов</t>
  </si>
  <si>
    <t>[111052]</t>
  </si>
  <si>
    <t>Молоч. смеси для детей</t>
  </si>
  <si>
    <t>[111053]</t>
  </si>
  <si>
    <t>[111054]</t>
  </si>
  <si>
    <t>Денеж. компенсация</t>
  </si>
  <si>
    <t>[111055]</t>
  </si>
  <si>
    <t>[111056]</t>
  </si>
  <si>
    <t>Тов. и усл., не отнес. к др. гр.</t>
  </si>
  <si>
    <t>[111070]</t>
  </si>
  <si>
    <t>ТЕКУЩИЕ ТРАНСФЕРТЫ</t>
  </si>
  <si>
    <t>[130000]</t>
  </si>
  <si>
    <t>Тек. трансф. на продукцию и услуги</t>
  </si>
  <si>
    <t>[130100]</t>
  </si>
  <si>
    <t>На покрытие разницы в ценах и тарифах</t>
  </si>
  <si>
    <t>[130110]</t>
  </si>
  <si>
    <t>На покрытие потерь от льгот по тр-ту</t>
  </si>
  <si>
    <t>[130120]</t>
  </si>
  <si>
    <t>Проч. тр-ты на прод. и услуги</t>
  </si>
  <si>
    <t>[130140]</t>
  </si>
  <si>
    <t>Трансферты на произв. цели</t>
  </si>
  <si>
    <t>[130200]</t>
  </si>
  <si>
    <t>Проч. тр-ты на произв. цели</t>
  </si>
  <si>
    <t>[130270]</t>
  </si>
  <si>
    <t>[130280]</t>
  </si>
  <si>
    <t>[130300]</t>
  </si>
  <si>
    <t>[130310]</t>
  </si>
  <si>
    <t>Тр-ты фин. учр. и др. орг-циям</t>
  </si>
  <si>
    <t>[130400]</t>
  </si>
  <si>
    <t>Страх. комп. на обяз. гос., личн. страхование</t>
  </si>
  <si>
    <t>[130410]</t>
  </si>
  <si>
    <t>ТРАНСФЕРТЫ НАСЕЛЕНИЮ</t>
  </si>
  <si>
    <t>[130500]</t>
  </si>
  <si>
    <t>Пенсии и пожизн. содержание</t>
  </si>
  <si>
    <t>[130510]</t>
  </si>
  <si>
    <t>Повышение пенсий за особ. засл. перед гос-вом</t>
  </si>
  <si>
    <t>[130530]</t>
  </si>
  <si>
    <t>Стипендии</t>
  </si>
  <si>
    <t>[130550]</t>
  </si>
  <si>
    <t>[130560]</t>
  </si>
  <si>
    <t>Индексация страховых взносов</t>
  </si>
  <si>
    <t>[130570]</t>
  </si>
  <si>
    <t>Оплата квартир и комм. услуг</t>
  </si>
  <si>
    <t>[130580]</t>
  </si>
  <si>
    <t>[130610]</t>
  </si>
  <si>
    <t>Приобретение тр-ных ср-в для инвалидов</t>
  </si>
  <si>
    <t>[130630]</t>
  </si>
  <si>
    <t>Компенсация тр-ных расх. инвалидам</t>
  </si>
  <si>
    <t>[130640]</t>
  </si>
  <si>
    <t>Денежные компенсации</t>
  </si>
  <si>
    <t>[130650]</t>
  </si>
  <si>
    <t>Прочие тр-ты населению</t>
  </si>
  <si>
    <t>[130660]</t>
  </si>
  <si>
    <t>[200000]</t>
  </si>
  <si>
    <t>КАП. ВЛОЖЕНИЯ В ОСНОВНЫЕ ФОНДЫ</t>
  </si>
  <si>
    <t>[240000]</t>
  </si>
  <si>
    <t>Приобр. оборуд.</t>
  </si>
  <si>
    <t>[240100]</t>
  </si>
  <si>
    <t>Приобр. произв. оборуд.</t>
  </si>
  <si>
    <t>[240110]</t>
  </si>
  <si>
    <t>Приобр. непроизв. оборуд.</t>
  </si>
  <si>
    <t>[240120]</t>
  </si>
  <si>
    <t>Кап. влож. в строительство</t>
  </si>
  <si>
    <t>[240200]</t>
  </si>
  <si>
    <t>В жил. строительство</t>
  </si>
  <si>
    <t>[240210]</t>
  </si>
  <si>
    <t>[240230]</t>
  </si>
  <si>
    <t>В строит. админ. зданий</t>
  </si>
  <si>
    <t>[240240]</t>
  </si>
  <si>
    <t>В строит. коммун. объектов</t>
  </si>
  <si>
    <t>[240250]</t>
  </si>
  <si>
    <t>Капитальный ремонт</t>
  </si>
  <si>
    <t>[240300]</t>
  </si>
  <si>
    <t>[240310]</t>
  </si>
  <si>
    <t>[240330]</t>
  </si>
  <si>
    <t>[240340]</t>
  </si>
  <si>
    <t>[240360]</t>
  </si>
  <si>
    <t>УЧАСТИЕ ПРАВ-ВА В ОСУЩ-ИИ ОТД-Х ПРОГРАММ</t>
  </si>
  <si>
    <t>[290000]</t>
  </si>
  <si>
    <t>[400000]</t>
  </si>
  <si>
    <t>Уплата % и погашение внутр-х кредитов</t>
  </si>
  <si>
    <t>[420000]</t>
  </si>
  <si>
    <t>Уплата % по внутр-м кредитам</t>
  </si>
  <si>
    <t>[420100]</t>
  </si>
  <si>
    <t>Погашение внутр-х кредитов</t>
  </si>
  <si>
    <t>[420200]</t>
  </si>
  <si>
    <t>Приложение № 2</t>
  </si>
  <si>
    <t>к Закону Приднестровской Молдавской Республики</t>
  </si>
  <si>
    <t>Плановые расходы республиканского бюджета на 2020 год</t>
  </si>
  <si>
    <t>Расходы от оказ.плат.усл.</t>
  </si>
  <si>
    <t>"О республиканском бюджете на 2020 год"</t>
  </si>
  <si>
    <t>Протези-рование</t>
  </si>
  <si>
    <t>Услуги судмед-экспертизы</t>
  </si>
  <si>
    <t>КОМАНДИ-РОВКИ И СЛУЖЕБНЫЕ РАЗЪЕЗДЫ</t>
  </si>
  <si>
    <t>Под-раздел</t>
  </si>
  <si>
    <t>ГС по культуре  и историческому наследию ПМР (аппарат)</t>
  </si>
  <si>
    <t>ГС управления документацией и архивами ПМР (аппарат)</t>
  </si>
  <si>
    <t>ГУ "Агентство по инвестициям и развитию ПМР"</t>
  </si>
  <si>
    <t>ГУ "Агентство по туризму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</si>
  <si>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</si>
  <si>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</si>
  <si>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</si>
  <si>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Мин-во с/х и прир.рес. (ГУП "Приднестровье-лес")</t>
  </si>
  <si>
    <t>ГОУ СПО "Училище олимпийского резерва"</t>
  </si>
  <si>
    <t>Погаш.кред.зад.дор.предпр.перед ГУП "Дуб.ГЭС"</t>
  </si>
  <si>
    <t>Мероприятия по обеспечению игрушками, канц. товар. и пред. гиг.</t>
  </si>
  <si>
    <t>Мероприятия по оснащению каб. химии и физики</t>
  </si>
  <si>
    <t>План мероприятий по обеспечению спорт. об. и инвен. орг. образования</t>
  </si>
  <si>
    <t>Создание информац. ресурсов в сфере налогооблажения</t>
  </si>
  <si>
    <t>Субсидии на осуществление программы "Столица"</t>
  </si>
  <si>
    <t>Расходы от оказ.плат.усл., театр</t>
  </si>
  <si>
    <t>Расходы от оказ. плат. усл. (ГУ "Архивы Приднестровья")</t>
  </si>
  <si>
    <t>Программа обеспечения жильем детей-сирот</t>
  </si>
  <si>
    <t>ГП воспроизводства минерально-сырьевой базы ПМР</t>
  </si>
  <si>
    <t>ГЦП "Стратегия развития ПГУ им. Т. Г. Шевченко"</t>
  </si>
  <si>
    <t>ГЦП "Равные возможности" на 2019-2022 годы</t>
  </si>
  <si>
    <t>ГЦП "Сохран. недвижимых объектов культурного наследия"</t>
  </si>
  <si>
    <t>ИТОГО</t>
  </si>
  <si>
    <t>Из Экологического фонда</t>
  </si>
  <si>
    <t>Расходы на осуществление г. Тирасполем функций столицы</t>
  </si>
  <si>
    <t>УПЛАТА % И ПОГАШ. КРЕДИТОВ СОГЛ. ДОГОВОРАМ, ЗАКЛЮЧ-М С ГЛ.РАСП-МИ КРЕД.</t>
  </si>
  <si>
    <t>ПГУ им. Т. Г. Шевченко (Центр российского образования и науки)</t>
  </si>
  <si>
    <t>Приднестровский гос. театр драмы и комедии им. Н. С. Аронецкой ГС КиИН</t>
  </si>
  <si>
    <t>Министерство экономического развития ПМР</t>
  </si>
  <si>
    <t>Министерство здравоохранения  ПМР</t>
  </si>
  <si>
    <t>Министерство просвещения ПМР</t>
  </si>
  <si>
    <t>Министерство с/х и природных ресурсов</t>
  </si>
  <si>
    <t>Министерство юстиции ПМР</t>
  </si>
  <si>
    <t>1900</t>
  </si>
  <si>
    <t>19</t>
  </si>
  <si>
    <t>Фонд государственного резерва ПМР</t>
  </si>
  <si>
    <t>ПОПОЛНЕНИЕ ГОСУДАРСТВЕННЫХ РЕЗЕРВОВ</t>
  </si>
  <si>
    <t>ГП на проведение приватизации и расзгосударствления</t>
  </si>
  <si>
    <t>[240220]</t>
  </si>
  <si>
    <t>В строительство произв. объектов</t>
  </si>
  <si>
    <t>[240320]</t>
  </si>
  <si>
    <t>Штрафы</t>
  </si>
  <si>
    <t>Денежное вознаг. за выполненные работы, услуги</t>
  </si>
  <si>
    <t>Создание госрезервов</t>
  </si>
  <si>
    <t>МЭР мост. сооруж.</t>
  </si>
  <si>
    <t>[111048]</t>
  </si>
  <si>
    <t>[111058]</t>
  </si>
  <si>
    <t>[250000]</t>
  </si>
  <si>
    <t>[250100]</t>
  </si>
  <si>
    <t>Расходы от оказ.плат.усл. (по госзаказу ПГУ)</t>
  </si>
  <si>
    <t>(руб.)</t>
  </si>
  <si>
    <t>Погашение к/з по програм. стр-ва и ремонта систем водоснабжения</t>
  </si>
  <si>
    <t>СРЕДСТВА, ПЕРЕДАВ. БЮДЖ. ДР. УР.</t>
  </si>
  <si>
    <t>КАПИТ. РАСХОДЫ</t>
  </si>
  <si>
    <t>В строит. объект. соц.- культ. назнач.</t>
  </si>
  <si>
    <t>СОЗДАНИЕ ГОСУДАРСТ. РЕЗЕРВОВ</t>
  </si>
  <si>
    <t xml:space="preserve"> [240270] </t>
  </si>
  <si>
    <t>НИЛ ПГУ им. Т. Г. Шевченко</t>
  </si>
  <si>
    <t>Министерство просвещения (НИЛ)</t>
  </si>
  <si>
    <t>Государственная служба охраны ПМР</t>
  </si>
  <si>
    <t>МЭР (резерв  Дорожного фонда)</t>
  </si>
  <si>
    <t>Субсидии с/х производителей</t>
  </si>
  <si>
    <t>В строит. прочих объектов</t>
  </si>
  <si>
    <t>Мероприятия по развитию мин.-сырьевой базы и охраны недр</t>
  </si>
  <si>
    <t>Сред., направляемые на покрытия дефицита ГЦФТО</t>
  </si>
  <si>
    <t>жилого фонда</t>
  </si>
  <si>
    <t>произв. объектов</t>
  </si>
  <si>
    <t>объект. соц.-культ. назнач.</t>
  </si>
  <si>
    <t>админ. зданий</t>
  </si>
  <si>
    <t>прочих объектов</t>
  </si>
  <si>
    <t>ГСКиИН ПМР "Центр национальных культур Приднестровья"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</si>
</sst>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;\-#,##0;;@"/>
  </numFmts>
  <fonts count="15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164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vertical="center"/>
    </xf>
    <xf numFmtId="164" fontId="9" fillId="2" borderId="5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vertical="center"/>
    </xf>
    <xf numFmtId="164" fontId="9" fillId="2" borderId="7" xfId="0" applyNumberFormat="1" applyFont="1" applyFill="1" applyBorder="1" applyAlignment="1">
      <alignment vertical="center"/>
    </xf>
    <xf numFmtId="164" fontId="9" fillId="2" borderId="8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0" fillId="0" borderId="0" xfId="0" applyBorder="1"/>
    <xf numFmtId="164" fontId="1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165" fontId="0" fillId="0" borderId="0" xfId="0" applyNumberFormat="1"/>
    <xf numFmtId="164" fontId="10" fillId="0" borderId="7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vertical="center" wrapText="1"/>
    </xf>
    <xf numFmtId="164" fontId="7" fillId="0" borderId="7" xfId="0" applyNumberFormat="1" applyFont="1" applyFill="1" applyBorder="1" applyAlignment="1">
      <alignment vertical="center"/>
    </xf>
    <xf numFmtId="164" fontId="10" fillId="0" borderId="8" xfId="0" applyNumberFormat="1" applyFont="1" applyFill="1" applyBorder="1" applyAlignment="1">
      <alignment vertical="center"/>
    </xf>
    <xf numFmtId="165" fontId="0" fillId="0" borderId="0" xfId="0" applyNumberFormat="1" applyFill="1"/>
    <xf numFmtId="0" fontId="0" fillId="0" borderId="0" xfId="0" applyFill="1"/>
    <xf numFmtId="0" fontId="4" fillId="0" borderId="7" xfId="0" applyFont="1" applyFill="1" applyBorder="1" applyAlignment="1">
      <alignment vertical="center" wrapText="1"/>
    </xf>
    <xf numFmtId="0" fontId="14" fillId="0" borderId="0" xfId="0" applyFont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164" fontId="7" fillId="3" borderId="7" xfId="0" applyNumberFormat="1" applyFont="1" applyFill="1" applyBorder="1" applyAlignment="1">
      <alignment vertical="center"/>
    </xf>
    <xf numFmtId="164" fontId="10" fillId="3" borderId="7" xfId="0" applyNumberFormat="1" applyFont="1" applyFill="1" applyBorder="1" applyAlignment="1">
      <alignment vertical="center"/>
    </xf>
    <xf numFmtId="164" fontId="10" fillId="3" borderId="8" xfId="0" applyNumberFormat="1" applyFont="1" applyFill="1" applyBorder="1" applyAlignment="1">
      <alignment vertical="center"/>
    </xf>
    <xf numFmtId="165" fontId="0" fillId="3" borderId="0" xfId="0" applyNumberFormat="1" applyFill="1"/>
    <xf numFmtId="0" fontId="0" fillId="3" borderId="0" xfId="0" applyFill="1"/>
    <xf numFmtId="164" fontId="7" fillId="0" borderId="10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01"/>
  <sheetViews>
    <sheetView zoomScale="90" zoomScaleNormal="90" zoomScaleSheetLayoutView="80" workbookViewId="0">
      <pane xSplit="5" ySplit="9" topLeftCell="F10" activePane="bottomRight" state="frozenSplit"/>
      <selection pane="topRight" activeCell="I1" sqref="I1"/>
      <selection pane="bottomLeft" activeCell="A10" sqref="A10"/>
      <selection pane="bottomRight" activeCell="D305" sqref="D305"/>
    </sheetView>
  </sheetViews>
  <sheetFormatPr defaultRowHeight="15" x14ac:dyDescent="0.25"/>
  <cols>
    <col min="1" max="3" width="6.7109375" style="1" customWidth="1"/>
    <col min="4" max="4" width="50.7109375" style="2" customWidth="1"/>
    <col min="5" max="5" width="11.5703125" style="3" customWidth="1"/>
    <col min="6" max="7" width="11.42578125" style="4" customWidth="1"/>
    <col min="8" max="8" width="10.7109375" style="4" customWidth="1"/>
    <col min="9" max="9" width="13.28515625" style="4" customWidth="1"/>
    <col min="10" max="10" width="13.42578125" style="4" customWidth="1"/>
    <col min="11" max="11" width="12.140625" style="4" customWidth="1"/>
    <col min="12" max="15" width="10.7109375" style="4" customWidth="1"/>
    <col min="16" max="16" width="11.140625" style="4" customWidth="1"/>
    <col min="17" max="17" width="12.42578125" style="4" customWidth="1"/>
    <col min="18" max="37" width="10.7109375" style="4" customWidth="1"/>
    <col min="38" max="38" width="11.140625" style="4" customWidth="1"/>
    <col min="39" max="50" width="10.7109375" style="4" customWidth="1"/>
    <col min="51" max="51" width="12.85546875" style="4" customWidth="1"/>
    <col min="52" max="53" width="10.7109375" style="4" customWidth="1"/>
    <col min="54" max="54" width="13.5703125" style="4" customWidth="1"/>
    <col min="55" max="56" width="10.7109375" style="4" customWidth="1"/>
    <col min="57" max="57" width="13.7109375" style="4" customWidth="1"/>
    <col min="58" max="58" width="13.5703125" style="4" customWidth="1"/>
    <col min="59" max="59" width="11.140625" style="4" customWidth="1"/>
    <col min="60" max="60" width="10.7109375" style="4" customWidth="1"/>
    <col min="61" max="61" width="11.85546875" style="4" customWidth="1"/>
    <col min="62" max="62" width="12.85546875" style="4" customWidth="1"/>
    <col min="63" max="69" width="10.7109375" style="4" customWidth="1"/>
    <col min="70" max="70" width="12.28515625" style="4" customWidth="1"/>
    <col min="71" max="71" width="11.85546875" style="4" customWidth="1"/>
    <col min="72" max="73" width="10.7109375" style="4" customWidth="1"/>
    <col min="74" max="74" width="15" style="4" customWidth="1"/>
    <col min="75" max="75" width="13.42578125" style="4" customWidth="1"/>
    <col min="76" max="78" width="10.7109375" style="4" customWidth="1"/>
    <col min="79" max="79" width="13.42578125" style="4" customWidth="1"/>
    <col min="80" max="81" width="12.7109375" style="4" customWidth="1"/>
    <col min="82" max="84" width="10.7109375" style="4" customWidth="1"/>
    <col min="85" max="85" width="11.85546875" style="4" customWidth="1"/>
    <col min="86" max="90" width="10.7109375" style="4" customWidth="1"/>
    <col min="91" max="91" width="13.28515625" style="4" customWidth="1"/>
    <col min="92" max="92" width="12.140625" style="4" customWidth="1"/>
    <col min="93" max="93" width="11.42578125" style="4" customWidth="1"/>
    <col min="94" max="95" width="10.7109375" style="4" customWidth="1"/>
    <col min="96" max="96" width="9.7109375" customWidth="1"/>
    <col min="97" max="97" width="10.85546875" customWidth="1"/>
    <col min="98" max="98" width="9.140625" customWidth="1"/>
    <col min="99" max="99" width="9.5703125" customWidth="1"/>
    <col min="101" max="101" width="13.5703125" bestFit="1" customWidth="1"/>
    <col min="102" max="102" width="12.7109375" bestFit="1" customWidth="1"/>
  </cols>
  <sheetData>
    <row r="1" spans="1:102" ht="15.75" x14ac:dyDescent="0.25">
      <c r="A1" s="51">
        <v>1800</v>
      </c>
      <c r="B1"/>
      <c r="C1"/>
      <c r="D1"/>
      <c r="E1"/>
      <c r="F1"/>
      <c r="G1"/>
      <c r="I1"/>
      <c r="J1" s="5" t="s">
        <v>485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</row>
    <row r="2" spans="1:102" ht="15.75" x14ac:dyDescent="0.25">
      <c r="A2"/>
      <c r="B2"/>
      <c r="C2"/>
      <c r="D2"/>
      <c r="E2"/>
      <c r="F2"/>
      <c r="G2"/>
      <c r="I2"/>
      <c r="J2" s="5" t="s">
        <v>486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</row>
    <row r="3" spans="1:102" ht="15.75" x14ac:dyDescent="0.25">
      <c r="A3"/>
      <c r="B3"/>
      <c r="C3"/>
      <c r="D3"/>
      <c r="E3"/>
      <c r="F3"/>
      <c r="G3"/>
      <c r="I3"/>
      <c r="J3" s="5" t="s">
        <v>489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</row>
    <row r="5" spans="1:102" ht="16.5" customHeight="1" x14ac:dyDescent="0.25">
      <c r="B5" s="38"/>
      <c r="C5" s="38"/>
      <c r="D5" s="38"/>
      <c r="E5" s="39" t="s">
        <v>487</v>
      </c>
      <c r="F5" s="38"/>
      <c r="G5" s="38"/>
      <c r="H5" s="38"/>
      <c r="I5" s="38"/>
      <c r="J5" s="3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</row>
    <row r="6" spans="1:102" ht="16.5" thickBot="1" x14ac:dyDescent="0.3">
      <c r="J6" s="37" t="s">
        <v>544</v>
      </c>
      <c r="CR6" s="4"/>
      <c r="CS6" s="4"/>
      <c r="CT6" s="4"/>
      <c r="CU6" s="4"/>
      <c r="CV6" s="4"/>
      <c r="CW6" s="4"/>
    </row>
    <row r="7" spans="1:102" ht="20.100000000000001" customHeight="1" x14ac:dyDescent="0.25">
      <c r="A7" s="62" t="s">
        <v>317</v>
      </c>
      <c r="B7" s="63"/>
      <c r="C7" s="63" t="s">
        <v>319</v>
      </c>
      <c r="D7" s="68" t="s">
        <v>320</v>
      </c>
      <c r="E7" s="71" t="s">
        <v>321</v>
      </c>
      <c r="F7" s="60" t="s">
        <v>322</v>
      </c>
      <c r="G7" s="60" t="s">
        <v>324</v>
      </c>
      <c r="H7" s="60" t="s">
        <v>326</v>
      </c>
      <c r="I7" s="60" t="s">
        <v>328</v>
      </c>
      <c r="J7" s="60" t="s">
        <v>330</v>
      </c>
      <c r="K7" s="60" t="s">
        <v>332</v>
      </c>
      <c r="L7" s="60" t="s">
        <v>334</v>
      </c>
      <c r="M7" s="60" t="s">
        <v>336</v>
      </c>
      <c r="N7" s="60" t="s">
        <v>338</v>
      </c>
      <c r="O7" s="60" t="s">
        <v>340</v>
      </c>
      <c r="P7" s="60" t="s">
        <v>342</v>
      </c>
      <c r="Q7" s="60" t="s">
        <v>492</v>
      </c>
      <c r="R7" s="60" t="s">
        <v>345</v>
      </c>
      <c r="S7" s="60" t="s">
        <v>347</v>
      </c>
      <c r="T7" s="60" t="s">
        <v>349</v>
      </c>
      <c r="U7" s="60" t="s">
        <v>351</v>
      </c>
      <c r="V7" s="60" t="s">
        <v>353</v>
      </c>
      <c r="W7" s="60" t="s">
        <v>355</v>
      </c>
      <c r="X7" s="60" t="s">
        <v>357</v>
      </c>
      <c r="Y7" s="60" t="s">
        <v>359</v>
      </c>
      <c r="Z7" s="60" t="s">
        <v>361</v>
      </c>
      <c r="AA7" s="60" t="s">
        <v>363</v>
      </c>
      <c r="AB7" s="60" t="s">
        <v>365</v>
      </c>
      <c r="AC7" s="60" t="s">
        <v>367</v>
      </c>
      <c r="AD7" s="60" t="s">
        <v>369</v>
      </c>
      <c r="AE7" s="60" t="s">
        <v>371</v>
      </c>
      <c r="AF7" s="60" t="s">
        <v>373</v>
      </c>
      <c r="AG7" s="60" t="s">
        <v>375</v>
      </c>
      <c r="AH7" s="60" t="s">
        <v>377</v>
      </c>
      <c r="AI7" s="60" t="s">
        <v>379</v>
      </c>
      <c r="AJ7" s="60" t="s">
        <v>381</v>
      </c>
      <c r="AK7" s="60" t="s">
        <v>383</v>
      </c>
      <c r="AL7" s="60" t="s">
        <v>385</v>
      </c>
      <c r="AM7" s="60" t="s">
        <v>387</v>
      </c>
      <c r="AN7" s="60" t="s">
        <v>389</v>
      </c>
      <c r="AO7" s="60" t="s">
        <v>391</v>
      </c>
      <c r="AP7" s="60" t="s">
        <v>535</v>
      </c>
      <c r="AQ7" s="60" t="s">
        <v>393</v>
      </c>
      <c r="AR7" s="60" t="s">
        <v>395</v>
      </c>
      <c r="AS7" s="60" t="s">
        <v>397</v>
      </c>
      <c r="AT7" s="60" t="s">
        <v>399</v>
      </c>
      <c r="AU7" s="60" t="s">
        <v>401</v>
      </c>
      <c r="AV7" s="60" t="s">
        <v>490</v>
      </c>
      <c r="AW7" s="60" t="s">
        <v>404</v>
      </c>
      <c r="AX7" s="60" t="s">
        <v>491</v>
      </c>
      <c r="AY7" s="60" t="s">
        <v>536</v>
      </c>
      <c r="AZ7" s="60" t="s">
        <v>407</v>
      </c>
      <c r="BA7" s="60" t="s">
        <v>409</v>
      </c>
      <c r="BB7" s="60" t="s">
        <v>411</v>
      </c>
      <c r="BC7" s="60" t="s">
        <v>413</v>
      </c>
      <c r="BD7" s="60" t="s">
        <v>415</v>
      </c>
      <c r="BE7" s="60" t="s">
        <v>417</v>
      </c>
      <c r="BF7" s="60" t="s">
        <v>419</v>
      </c>
      <c r="BG7" s="60" t="s">
        <v>421</v>
      </c>
      <c r="BH7" s="60" t="s">
        <v>517</v>
      </c>
      <c r="BI7" s="60" t="s">
        <v>546</v>
      </c>
      <c r="BJ7" s="60" t="s">
        <v>518</v>
      </c>
      <c r="BK7" s="60" t="s">
        <v>426</v>
      </c>
      <c r="BL7" s="60" t="s">
        <v>428</v>
      </c>
      <c r="BM7" s="60" t="s">
        <v>430</v>
      </c>
      <c r="BN7" s="60" t="s">
        <v>432</v>
      </c>
      <c r="BO7" s="60" t="s">
        <v>434</v>
      </c>
      <c r="BP7" s="60" t="s">
        <v>436</v>
      </c>
      <c r="BQ7" s="60" t="s">
        <v>220</v>
      </c>
      <c r="BR7" s="60" t="s">
        <v>439</v>
      </c>
      <c r="BS7" s="60" t="s">
        <v>441</v>
      </c>
      <c r="BT7" s="60" t="s">
        <v>217</v>
      </c>
      <c r="BU7" s="60" t="s">
        <v>444</v>
      </c>
      <c r="BV7" s="60" t="s">
        <v>446</v>
      </c>
      <c r="BW7" s="60" t="s">
        <v>448</v>
      </c>
      <c r="BX7" s="60" t="s">
        <v>450</v>
      </c>
      <c r="BY7" s="60" t="s">
        <v>547</v>
      </c>
      <c r="BZ7" s="60" t="s">
        <v>453</v>
      </c>
      <c r="CA7" s="60" t="s">
        <v>455</v>
      </c>
      <c r="CB7" s="60" t="s">
        <v>457</v>
      </c>
      <c r="CC7" s="60" t="s">
        <v>459</v>
      </c>
      <c r="CD7" s="60" t="s">
        <v>461</v>
      </c>
      <c r="CE7" s="60" t="s">
        <v>463</v>
      </c>
      <c r="CF7" s="60" t="s">
        <v>533</v>
      </c>
      <c r="CG7" s="60" t="s">
        <v>548</v>
      </c>
      <c r="CH7" s="60" t="s">
        <v>466</v>
      </c>
      <c r="CI7" s="60" t="s">
        <v>468</v>
      </c>
      <c r="CJ7" s="60" t="s">
        <v>556</v>
      </c>
      <c r="CK7" s="60" t="s">
        <v>470</v>
      </c>
      <c r="CL7" s="60" t="s">
        <v>559</v>
      </c>
      <c r="CM7" s="60" t="s">
        <v>560</v>
      </c>
      <c r="CN7" s="60" t="s">
        <v>561</v>
      </c>
      <c r="CO7" s="60" t="s">
        <v>562</v>
      </c>
      <c r="CP7" s="60" t="s">
        <v>563</v>
      </c>
      <c r="CQ7" s="60" t="s">
        <v>549</v>
      </c>
      <c r="CR7" s="60" t="s">
        <v>537</v>
      </c>
      <c r="CS7" s="60" t="s">
        <v>476</v>
      </c>
      <c r="CT7" s="60" t="s">
        <v>519</v>
      </c>
      <c r="CU7" s="60" t="s">
        <v>479</v>
      </c>
      <c r="CV7" s="60" t="s">
        <v>481</v>
      </c>
      <c r="CW7" s="74" t="s">
        <v>483</v>
      </c>
    </row>
    <row r="8" spans="1:102" ht="85.5" customHeight="1" x14ac:dyDescent="0.25">
      <c r="A8" s="64" t="s">
        <v>318</v>
      </c>
      <c r="B8" s="66" t="s">
        <v>493</v>
      </c>
      <c r="C8" s="66"/>
      <c r="D8" s="69"/>
      <c r="E8" s="72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75"/>
    </row>
    <row r="9" spans="1:102" ht="15.75" thickBot="1" x14ac:dyDescent="0.3">
      <c r="A9" s="65"/>
      <c r="B9" s="67"/>
      <c r="C9" s="67"/>
      <c r="D9" s="70"/>
      <c r="E9" s="73"/>
      <c r="F9" s="6" t="s">
        <v>323</v>
      </c>
      <c r="G9" s="6" t="s">
        <v>325</v>
      </c>
      <c r="H9" s="6" t="s">
        <v>327</v>
      </c>
      <c r="I9" s="6" t="s">
        <v>329</v>
      </c>
      <c r="J9" s="6" t="s">
        <v>331</v>
      </c>
      <c r="K9" s="6" t="s">
        <v>333</v>
      </c>
      <c r="L9" s="6" t="s">
        <v>335</v>
      </c>
      <c r="M9" s="6" t="s">
        <v>337</v>
      </c>
      <c r="N9" s="6" t="s">
        <v>339</v>
      </c>
      <c r="O9" s="6" t="s">
        <v>341</v>
      </c>
      <c r="P9" s="6" t="s">
        <v>343</v>
      </c>
      <c r="Q9" s="6" t="s">
        <v>344</v>
      </c>
      <c r="R9" s="6" t="s">
        <v>346</v>
      </c>
      <c r="S9" s="6" t="s">
        <v>348</v>
      </c>
      <c r="T9" s="6" t="s">
        <v>350</v>
      </c>
      <c r="U9" s="6" t="s">
        <v>352</v>
      </c>
      <c r="V9" s="6" t="s">
        <v>354</v>
      </c>
      <c r="W9" s="6" t="s">
        <v>356</v>
      </c>
      <c r="X9" s="6" t="s">
        <v>358</v>
      </c>
      <c r="Y9" s="6" t="s">
        <v>360</v>
      </c>
      <c r="Z9" s="6" t="s">
        <v>362</v>
      </c>
      <c r="AA9" s="6" t="s">
        <v>364</v>
      </c>
      <c r="AB9" s="6" t="s">
        <v>366</v>
      </c>
      <c r="AC9" s="6" t="s">
        <v>368</v>
      </c>
      <c r="AD9" s="6" t="s">
        <v>370</v>
      </c>
      <c r="AE9" s="6" t="s">
        <v>372</v>
      </c>
      <c r="AF9" s="6" t="s">
        <v>374</v>
      </c>
      <c r="AG9" s="6" t="s">
        <v>376</v>
      </c>
      <c r="AH9" s="6" t="s">
        <v>378</v>
      </c>
      <c r="AI9" s="6" t="s">
        <v>380</v>
      </c>
      <c r="AJ9" s="6" t="s">
        <v>382</v>
      </c>
      <c r="AK9" s="6" t="s">
        <v>384</v>
      </c>
      <c r="AL9" s="6" t="s">
        <v>386</v>
      </c>
      <c r="AM9" s="6" t="s">
        <v>388</v>
      </c>
      <c r="AN9" s="6" t="s">
        <v>390</v>
      </c>
      <c r="AO9" s="6" t="s">
        <v>392</v>
      </c>
      <c r="AP9" s="6" t="s">
        <v>539</v>
      </c>
      <c r="AQ9" s="6" t="s">
        <v>394</v>
      </c>
      <c r="AR9" s="6" t="s">
        <v>396</v>
      </c>
      <c r="AS9" s="6" t="s">
        <v>398</v>
      </c>
      <c r="AT9" s="6" t="s">
        <v>400</v>
      </c>
      <c r="AU9" s="6" t="s">
        <v>402</v>
      </c>
      <c r="AV9" s="6" t="s">
        <v>403</v>
      </c>
      <c r="AW9" s="6" t="s">
        <v>405</v>
      </c>
      <c r="AX9" s="6" t="s">
        <v>406</v>
      </c>
      <c r="AY9" s="6" t="s">
        <v>540</v>
      </c>
      <c r="AZ9" s="6" t="s">
        <v>408</v>
      </c>
      <c r="BA9" s="6" t="s">
        <v>410</v>
      </c>
      <c r="BB9" s="6" t="s">
        <v>412</v>
      </c>
      <c r="BC9" s="6" t="s">
        <v>414</v>
      </c>
      <c r="BD9" s="6" t="s">
        <v>416</v>
      </c>
      <c r="BE9" s="6" t="s">
        <v>418</v>
      </c>
      <c r="BF9" s="6" t="s">
        <v>420</v>
      </c>
      <c r="BG9" s="6" t="s">
        <v>422</v>
      </c>
      <c r="BH9" s="6" t="s">
        <v>423</v>
      </c>
      <c r="BI9" s="6" t="s">
        <v>424</v>
      </c>
      <c r="BJ9" s="6" t="s">
        <v>425</v>
      </c>
      <c r="BK9" s="6" t="s">
        <v>427</v>
      </c>
      <c r="BL9" s="6" t="s">
        <v>429</v>
      </c>
      <c r="BM9" s="6" t="s">
        <v>431</v>
      </c>
      <c r="BN9" s="6" t="s">
        <v>433</v>
      </c>
      <c r="BO9" s="6" t="s">
        <v>435</v>
      </c>
      <c r="BP9" s="6" t="s">
        <v>437</v>
      </c>
      <c r="BQ9" s="6" t="s">
        <v>438</v>
      </c>
      <c r="BR9" s="6" t="s">
        <v>440</v>
      </c>
      <c r="BS9" s="6" t="s">
        <v>442</v>
      </c>
      <c r="BT9" s="6" t="s">
        <v>443</v>
      </c>
      <c r="BU9" s="6" t="s">
        <v>445</v>
      </c>
      <c r="BV9" s="6" t="s">
        <v>447</v>
      </c>
      <c r="BW9" s="6" t="s">
        <v>449</v>
      </c>
      <c r="BX9" s="6" t="s">
        <v>451</v>
      </c>
      <c r="BY9" s="6" t="s">
        <v>452</v>
      </c>
      <c r="BZ9" s="6" t="s">
        <v>454</v>
      </c>
      <c r="CA9" s="6" t="s">
        <v>456</v>
      </c>
      <c r="CB9" s="6" t="s">
        <v>458</v>
      </c>
      <c r="CC9" s="6" t="s">
        <v>460</v>
      </c>
      <c r="CD9" s="6" t="s">
        <v>462</v>
      </c>
      <c r="CE9" s="6" t="s">
        <v>464</v>
      </c>
      <c r="CF9" s="6" t="s">
        <v>532</v>
      </c>
      <c r="CG9" s="6" t="s">
        <v>465</v>
      </c>
      <c r="CH9" s="6" t="s">
        <v>467</v>
      </c>
      <c r="CI9" s="6" t="s">
        <v>469</v>
      </c>
      <c r="CJ9" s="6" t="s">
        <v>550</v>
      </c>
      <c r="CK9" s="6" t="s">
        <v>471</v>
      </c>
      <c r="CL9" s="6" t="s">
        <v>472</v>
      </c>
      <c r="CM9" s="6" t="s">
        <v>534</v>
      </c>
      <c r="CN9" s="6" t="s">
        <v>473</v>
      </c>
      <c r="CO9" s="6" t="s">
        <v>474</v>
      </c>
      <c r="CP9" s="6" t="s">
        <v>475</v>
      </c>
      <c r="CQ9" s="6" t="s">
        <v>541</v>
      </c>
      <c r="CR9" s="6" t="s">
        <v>542</v>
      </c>
      <c r="CS9" s="6" t="s">
        <v>477</v>
      </c>
      <c r="CT9" s="6" t="s">
        <v>478</v>
      </c>
      <c r="CU9" s="6" t="s">
        <v>480</v>
      </c>
      <c r="CV9" s="6" t="s">
        <v>482</v>
      </c>
      <c r="CW9" s="7" t="s">
        <v>484</v>
      </c>
    </row>
    <row r="10" spans="1:102" ht="31.5" hidden="1" x14ac:dyDescent="0.25">
      <c r="A10" s="8" t="s">
        <v>0</v>
      </c>
      <c r="B10" s="9" t="s">
        <v>1</v>
      </c>
      <c r="C10" s="9" t="s">
        <v>1</v>
      </c>
      <c r="D10" s="29" t="s">
        <v>2</v>
      </c>
      <c r="E10" s="10">
        <f t="shared" ref="E10:AJ10" si="0">SUM(E11+E13+E17+E34+E36+E42+E44)</f>
        <v>207420012</v>
      </c>
      <c r="F10" s="11">
        <f t="shared" si="0"/>
        <v>196104707</v>
      </c>
      <c r="G10" s="11">
        <f t="shared" si="0"/>
        <v>190998701</v>
      </c>
      <c r="H10" s="11">
        <f t="shared" si="0"/>
        <v>128131752</v>
      </c>
      <c r="I10" s="11">
        <f t="shared" si="0"/>
        <v>26944737</v>
      </c>
      <c r="J10" s="11">
        <f t="shared" si="0"/>
        <v>12056737</v>
      </c>
      <c r="K10" s="11">
        <f t="shared" si="0"/>
        <v>0</v>
      </c>
      <c r="L10" s="11">
        <f t="shared" si="0"/>
        <v>1550107</v>
      </c>
      <c r="M10" s="11">
        <f t="shared" si="0"/>
        <v>0</v>
      </c>
      <c r="N10" s="11">
        <f t="shared" si="0"/>
        <v>0</v>
      </c>
      <c r="O10" s="11">
        <f t="shared" si="0"/>
        <v>7459255</v>
      </c>
      <c r="P10" s="11">
        <f t="shared" si="0"/>
        <v>3047375</v>
      </c>
      <c r="Q10" s="11">
        <f t="shared" si="0"/>
        <v>3331327</v>
      </c>
      <c r="R10" s="11">
        <f t="shared" si="0"/>
        <v>19859</v>
      </c>
      <c r="S10" s="11">
        <f t="shared" si="0"/>
        <v>3311468</v>
      </c>
      <c r="T10" s="11">
        <f t="shared" si="0"/>
        <v>0</v>
      </c>
      <c r="U10" s="11">
        <f t="shared" si="0"/>
        <v>5593497</v>
      </c>
      <c r="V10" s="11">
        <f t="shared" si="0"/>
        <v>2669990</v>
      </c>
      <c r="W10" s="11">
        <f t="shared" si="0"/>
        <v>687931</v>
      </c>
      <c r="X10" s="11">
        <f t="shared" si="0"/>
        <v>470444</v>
      </c>
      <c r="Y10" s="11">
        <f t="shared" si="0"/>
        <v>653527</v>
      </c>
      <c r="Z10" s="11">
        <f t="shared" si="0"/>
        <v>92021</v>
      </c>
      <c r="AA10" s="11">
        <f t="shared" si="0"/>
        <v>124578</v>
      </c>
      <c r="AB10" s="11">
        <f t="shared" si="0"/>
        <v>585464</v>
      </c>
      <c r="AC10" s="11">
        <f t="shared" si="0"/>
        <v>0</v>
      </c>
      <c r="AD10" s="11">
        <f t="shared" ref="AD10" si="1">SUM(AD11+AD13+AD17+AD34+AD36+AD42+AD44)</f>
        <v>56025</v>
      </c>
      <c r="AE10" s="11">
        <f t="shared" si="0"/>
        <v>12270661</v>
      </c>
      <c r="AF10" s="11">
        <f t="shared" si="0"/>
        <v>0</v>
      </c>
      <c r="AG10" s="11">
        <f t="shared" si="0"/>
        <v>462605</v>
      </c>
      <c r="AH10" s="11">
        <f t="shared" si="0"/>
        <v>570150</v>
      </c>
      <c r="AI10" s="11">
        <f t="shared" si="0"/>
        <v>0</v>
      </c>
      <c r="AJ10" s="11">
        <f t="shared" si="0"/>
        <v>151849</v>
      </c>
      <c r="AK10" s="11">
        <f t="shared" ref="AK10:BP10" si="2">SUM(AK11+AK13+AK17+AK34+AK36+AK42+AK44)</f>
        <v>1000740</v>
      </c>
      <c r="AL10" s="11">
        <f t="shared" si="2"/>
        <v>1185706</v>
      </c>
      <c r="AM10" s="11">
        <f t="shared" si="2"/>
        <v>702099</v>
      </c>
      <c r="AN10" s="11">
        <f t="shared" si="2"/>
        <v>4173146</v>
      </c>
      <c r="AO10" s="11">
        <f t="shared" si="2"/>
        <v>120688</v>
      </c>
      <c r="AP10" s="11">
        <f t="shared" si="2"/>
        <v>0</v>
      </c>
      <c r="AQ10" s="11">
        <f t="shared" si="2"/>
        <v>0</v>
      </c>
      <c r="AR10" s="11">
        <f t="shared" si="2"/>
        <v>569729</v>
      </c>
      <c r="AS10" s="11">
        <f t="shared" si="2"/>
        <v>122513</v>
      </c>
      <c r="AT10" s="11">
        <f t="shared" si="2"/>
        <v>0</v>
      </c>
      <c r="AU10" s="11">
        <f t="shared" si="2"/>
        <v>0</v>
      </c>
      <c r="AV10" s="11">
        <f t="shared" si="2"/>
        <v>0</v>
      </c>
      <c r="AW10" s="11">
        <f t="shared" si="2"/>
        <v>1351409</v>
      </c>
      <c r="AX10" s="11">
        <f t="shared" si="2"/>
        <v>0</v>
      </c>
      <c r="AY10" s="11">
        <f t="shared" si="2"/>
        <v>43660</v>
      </c>
      <c r="AZ10" s="11">
        <f t="shared" si="2"/>
        <v>1816367</v>
      </c>
      <c r="BA10" s="11">
        <f t="shared" si="2"/>
        <v>5106006</v>
      </c>
      <c r="BB10" s="11">
        <f t="shared" si="2"/>
        <v>0</v>
      </c>
      <c r="BC10" s="11">
        <f t="shared" si="2"/>
        <v>0</v>
      </c>
      <c r="BD10" s="11">
        <f t="shared" si="2"/>
        <v>0</v>
      </c>
      <c r="BE10" s="11">
        <f t="shared" si="2"/>
        <v>0</v>
      </c>
      <c r="BF10" s="11">
        <f t="shared" si="2"/>
        <v>0</v>
      </c>
      <c r="BG10" s="11">
        <f t="shared" si="2"/>
        <v>0</v>
      </c>
      <c r="BH10" s="11">
        <f t="shared" si="2"/>
        <v>0</v>
      </c>
      <c r="BI10" s="11">
        <f t="shared" si="2"/>
        <v>0</v>
      </c>
      <c r="BJ10" s="11">
        <f t="shared" si="2"/>
        <v>0</v>
      </c>
      <c r="BK10" s="11">
        <f t="shared" si="2"/>
        <v>0</v>
      </c>
      <c r="BL10" s="11">
        <f t="shared" si="2"/>
        <v>0</v>
      </c>
      <c r="BM10" s="11">
        <f t="shared" si="2"/>
        <v>5106006</v>
      </c>
      <c r="BN10" s="11">
        <f t="shared" si="2"/>
        <v>0</v>
      </c>
      <c r="BO10" s="11">
        <f t="shared" si="2"/>
        <v>0</v>
      </c>
      <c r="BP10" s="11">
        <f t="shared" si="2"/>
        <v>0</v>
      </c>
      <c r="BQ10" s="11">
        <f t="shared" ref="BQ10:CW10" si="3">SUM(BQ11+BQ13+BQ17+BQ34+BQ36+BQ42+BQ44)</f>
        <v>0</v>
      </c>
      <c r="BR10" s="11">
        <f t="shared" si="3"/>
        <v>0</v>
      </c>
      <c r="BS10" s="11">
        <f t="shared" si="3"/>
        <v>0</v>
      </c>
      <c r="BT10" s="11">
        <f t="shared" si="3"/>
        <v>0</v>
      </c>
      <c r="BU10" s="11">
        <f t="shared" si="3"/>
        <v>0</v>
      </c>
      <c r="BV10" s="11">
        <f t="shared" si="3"/>
        <v>0</v>
      </c>
      <c r="BW10" s="11">
        <f t="shared" si="3"/>
        <v>5106006</v>
      </c>
      <c r="BX10" s="11">
        <f t="shared" si="3"/>
        <v>0</v>
      </c>
      <c r="BY10" s="11">
        <f t="shared" si="3"/>
        <v>11315305</v>
      </c>
      <c r="BZ10" s="11">
        <f t="shared" si="3"/>
        <v>11315305</v>
      </c>
      <c r="CA10" s="11">
        <f t="shared" si="3"/>
        <v>4588410</v>
      </c>
      <c r="CB10" s="11">
        <f t="shared" si="3"/>
        <v>0</v>
      </c>
      <c r="CC10" s="11">
        <f t="shared" si="3"/>
        <v>4588410</v>
      </c>
      <c r="CD10" s="11">
        <f t="shared" si="3"/>
        <v>5227875</v>
      </c>
      <c r="CE10" s="11">
        <f t="shared" si="3"/>
        <v>1267875</v>
      </c>
      <c r="CF10" s="11">
        <f t="shared" si="3"/>
        <v>0</v>
      </c>
      <c r="CG10" s="11">
        <f t="shared" si="3"/>
        <v>0</v>
      </c>
      <c r="CH10" s="11">
        <f t="shared" si="3"/>
        <v>3960000</v>
      </c>
      <c r="CI10" s="11">
        <f t="shared" si="3"/>
        <v>0</v>
      </c>
      <c r="CJ10" s="11">
        <f t="shared" ref="CJ10" si="4">SUM(CJ11+CJ13+CJ17+CJ34+CJ36+CJ42+CJ44)</f>
        <v>0</v>
      </c>
      <c r="CK10" s="11">
        <f t="shared" si="3"/>
        <v>1499020</v>
      </c>
      <c r="CL10" s="11">
        <f t="shared" si="3"/>
        <v>0</v>
      </c>
      <c r="CM10" s="11">
        <f t="shared" si="3"/>
        <v>0</v>
      </c>
      <c r="CN10" s="11">
        <f t="shared" si="3"/>
        <v>0</v>
      </c>
      <c r="CO10" s="11">
        <f t="shared" si="3"/>
        <v>1499020</v>
      </c>
      <c r="CP10" s="11">
        <f t="shared" si="3"/>
        <v>0</v>
      </c>
      <c r="CQ10" s="11">
        <f t="shared" si="3"/>
        <v>0</v>
      </c>
      <c r="CR10" s="11">
        <f t="shared" si="3"/>
        <v>0</v>
      </c>
      <c r="CS10" s="11">
        <f t="shared" si="3"/>
        <v>0</v>
      </c>
      <c r="CT10" s="11">
        <f t="shared" si="3"/>
        <v>0</v>
      </c>
      <c r="CU10" s="11">
        <f t="shared" si="3"/>
        <v>0</v>
      </c>
      <c r="CV10" s="11">
        <f t="shared" si="3"/>
        <v>0</v>
      </c>
      <c r="CW10" s="12">
        <f t="shared" si="3"/>
        <v>0</v>
      </c>
      <c r="CX10" s="40"/>
    </row>
    <row r="11" spans="1:102" ht="31.5" hidden="1" x14ac:dyDescent="0.25">
      <c r="A11" s="13" t="s">
        <v>3</v>
      </c>
      <c r="B11" s="14" t="s">
        <v>3</v>
      </c>
      <c r="C11" s="14" t="s">
        <v>1</v>
      </c>
      <c r="D11" s="30" t="s">
        <v>4</v>
      </c>
      <c r="E11" s="15">
        <f>SUM(E12)</f>
        <v>20869636</v>
      </c>
      <c r="F11" s="16">
        <f t="shared" ref="F11:BS11" si="5">SUM(F12)</f>
        <v>19317055</v>
      </c>
      <c r="G11" s="16">
        <f t="shared" si="5"/>
        <v>19285233</v>
      </c>
      <c r="H11" s="16">
        <f t="shared" si="5"/>
        <v>8640021</v>
      </c>
      <c r="I11" s="16">
        <f t="shared" si="5"/>
        <v>2061842</v>
      </c>
      <c r="J11" s="16">
        <f t="shared" si="5"/>
        <v>2455362</v>
      </c>
      <c r="K11" s="16">
        <f t="shared" si="5"/>
        <v>0</v>
      </c>
      <c r="L11" s="16">
        <f t="shared" si="5"/>
        <v>19272</v>
      </c>
      <c r="M11" s="16">
        <f t="shared" si="5"/>
        <v>0</v>
      </c>
      <c r="N11" s="16">
        <f t="shared" si="5"/>
        <v>0</v>
      </c>
      <c r="O11" s="16">
        <f t="shared" si="5"/>
        <v>1876650</v>
      </c>
      <c r="P11" s="16">
        <f t="shared" si="5"/>
        <v>559440</v>
      </c>
      <c r="Q11" s="16">
        <f t="shared" si="5"/>
        <v>435133</v>
      </c>
      <c r="R11" s="16">
        <f t="shared" si="5"/>
        <v>856</v>
      </c>
      <c r="S11" s="16">
        <f t="shared" si="5"/>
        <v>434277</v>
      </c>
      <c r="T11" s="16">
        <f t="shared" si="5"/>
        <v>0</v>
      </c>
      <c r="U11" s="16">
        <f t="shared" si="5"/>
        <v>868840</v>
      </c>
      <c r="V11" s="16">
        <f t="shared" si="5"/>
        <v>324994</v>
      </c>
      <c r="W11" s="16">
        <f t="shared" si="5"/>
        <v>114772</v>
      </c>
      <c r="X11" s="16">
        <f t="shared" si="5"/>
        <v>32396</v>
      </c>
      <c r="Y11" s="16">
        <f t="shared" si="5"/>
        <v>112439</v>
      </c>
      <c r="Z11" s="16">
        <f t="shared" si="5"/>
        <v>17150</v>
      </c>
      <c r="AA11" s="16">
        <f t="shared" si="5"/>
        <v>30451</v>
      </c>
      <c r="AB11" s="16">
        <f t="shared" si="5"/>
        <v>0</v>
      </c>
      <c r="AC11" s="16">
        <f t="shared" si="5"/>
        <v>0</v>
      </c>
      <c r="AD11" s="16">
        <f t="shared" si="5"/>
        <v>17786</v>
      </c>
      <c r="AE11" s="16">
        <f t="shared" si="5"/>
        <v>4499041</v>
      </c>
      <c r="AF11" s="16">
        <f t="shared" si="5"/>
        <v>0</v>
      </c>
      <c r="AG11" s="16">
        <f t="shared" si="5"/>
        <v>41883</v>
      </c>
      <c r="AH11" s="16">
        <f t="shared" si="5"/>
        <v>51101</v>
      </c>
      <c r="AI11" s="16">
        <f t="shared" si="5"/>
        <v>0</v>
      </c>
      <c r="AJ11" s="16">
        <f t="shared" si="5"/>
        <v>21455</v>
      </c>
      <c r="AK11" s="16">
        <f t="shared" si="5"/>
        <v>980574</v>
      </c>
      <c r="AL11" s="16">
        <f t="shared" si="5"/>
        <v>77747</v>
      </c>
      <c r="AM11" s="16">
        <f t="shared" si="5"/>
        <v>137000</v>
      </c>
      <c r="AN11" s="16">
        <f t="shared" si="5"/>
        <v>2574685</v>
      </c>
      <c r="AO11" s="16">
        <f t="shared" si="5"/>
        <v>7326</v>
      </c>
      <c r="AP11" s="16">
        <f t="shared" si="5"/>
        <v>0</v>
      </c>
      <c r="AQ11" s="16">
        <f t="shared" si="5"/>
        <v>0</v>
      </c>
      <c r="AR11" s="16">
        <f t="shared" si="5"/>
        <v>0</v>
      </c>
      <c r="AS11" s="16">
        <f t="shared" si="5"/>
        <v>13574</v>
      </c>
      <c r="AT11" s="16">
        <f t="shared" si="5"/>
        <v>0</v>
      </c>
      <c r="AU11" s="16">
        <f t="shared" si="5"/>
        <v>0</v>
      </c>
      <c r="AV11" s="16">
        <f t="shared" si="5"/>
        <v>0</v>
      </c>
      <c r="AW11" s="16">
        <f t="shared" si="5"/>
        <v>0</v>
      </c>
      <c r="AX11" s="16">
        <f t="shared" si="5"/>
        <v>0</v>
      </c>
      <c r="AY11" s="16">
        <f t="shared" si="5"/>
        <v>0</v>
      </c>
      <c r="AZ11" s="16">
        <f t="shared" si="5"/>
        <v>593696</v>
      </c>
      <c r="BA11" s="16">
        <f t="shared" si="5"/>
        <v>31822</v>
      </c>
      <c r="BB11" s="16">
        <f t="shared" si="5"/>
        <v>0</v>
      </c>
      <c r="BC11" s="16">
        <f t="shared" si="5"/>
        <v>0</v>
      </c>
      <c r="BD11" s="16">
        <f t="shared" si="5"/>
        <v>0</v>
      </c>
      <c r="BE11" s="16">
        <f t="shared" si="5"/>
        <v>0</v>
      </c>
      <c r="BF11" s="16">
        <f t="shared" si="5"/>
        <v>0</v>
      </c>
      <c r="BG11" s="16">
        <f t="shared" si="5"/>
        <v>0</v>
      </c>
      <c r="BH11" s="16">
        <f t="shared" si="5"/>
        <v>0</v>
      </c>
      <c r="BI11" s="16">
        <f t="shared" si="5"/>
        <v>0</v>
      </c>
      <c r="BJ11" s="16">
        <f t="shared" si="5"/>
        <v>0</v>
      </c>
      <c r="BK11" s="16">
        <f t="shared" si="5"/>
        <v>0</v>
      </c>
      <c r="BL11" s="16">
        <f t="shared" si="5"/>
        <v>0</v>
      </c>
      <c r="BM11" s="16">
        <f t="shared" si="5"/>
        <v>31822</v>
      </c>
      <c r="BN11" s="16">
        <f t="shared" si="5"/>
        <v>0</v>
      </c>
      <c r="BO11" s="16">
        <f t="shared" si="5"/>
        <v>0</v>
      </c>
      <c r="BP11" s="16">
        <f t="shared" si="5"/>
        <v>0</v>
      </c>
      <c r="BQ11" s="16">
        <f t="shared" si="5"/>
        <v>0</v>
      </c>
      <c r="BR11" s="16">
        <f t="shared" si="5"/>
        <v>0</v>
      </c>
      <c r="BS11" s="16">
        <f t="shared" si="5"/>
        <v>0</v>
      </c>
      <c r="BT11" s="16">
        <f t="shared" ref="BT11:CW11" si="6">SUM(BT12)</f>
        <v>0</v>
      </c>
      <c r="BU11" s="16">
        <f t="shared" si="6"/>
        <v>0</v>
      </c>
      <c r="BV11" s="16">
        <f t="shared" si="6"/>
        <v>0</v>
      </c>
      <c r="BW11" s="16">
        <f t="shared" si="6"/>
        <v>31822</v>
      </c>
      <c r="BX11" s="16">
        <f t="shared" si="6"/>
        <v>0</v>
      </c>
      <c r="BY11" s="16">
        <f t="shared" si="6"/>
        <v>1552581</v>
      </c>
      <c r="BZ11" s="16">
        <f t="shared" si="6"/>
        <v>1552581</v>
      </c>
      <c r="CA11" s="16">
        <f t="shared" si="6"/>
        <v>777466</v>
      </c>
      <c r="CB11" s="16">
        <f t="shared" si="6"/>
        <v>0</v>
      </c>
      <c r="CC11" s="16">
        <f t="shared" si="6"/>
        <v>777466</v>
      </c>
      <c r="CD11" s="16">
        <f t="shared" si="6"/>
        <v>0</v>
      </c>
      <c r="CE11" s="16">
        <f t="shared" si="6"/>
        <v>0</v>
      </c>
      <c r="CF11" s="16">
        <f t="shared" si="6"/>
        <v>0</v>
      </c>
      <c r="CG11" s="16">
        <f t="shared" si="6"/>
        <v>0</v>
      </c>
      <c r="CH11" s="16">
        <f t="shared" si="6"/>
        <v>0</v>
      </c>
      <c r="CI11" s="16">
        <f t="shared" si="6"/>
        <v>0</v>
      </c>
      <c r="CJ11" s="16">
        <f t="shared" si="6"/>
        <v>0</v>
      </c>
      <c r="CK11" s="16">
        <f t="shared" si="6"/>
        <v>775115</v>
      </c>
      <c r="CL11" s="16">
        <f t="shared" si="6"/>
        <v>0</v>
      </c>
      <c r="CM11" s="16">
        <f t="shared" si="6"/>
        <v>0</v>
      </c>
      <c r="CN11" s="16">
        <f t="shared" si="6"/>
        <v>0</v>
      </c>
      <c r="CO11" s="16">
        <f t="shared" si="6"/>
        <v>775115</v>
      </c>
      <c r="CP11" s="16">
        <f t="shared" si="6"/>
        <v>0</v>
      </c>
      <c r="CQ11" s="16">
        <f t="shared" si="6"/>
        <v>0</v>
      </c>
      <c r="CR11" s="16">
        <f t="shared" si="6"/>
        <v>0</v>
      </c>
      <c r="CS11" s="16">
        <f t="shared" si="6"/>
        <v>0</v>
      </c>
      <c r="CT11" s="16">
        <f t="shared" si="6"/>
        <v>0</v>
      </c>
      <c r="CU11" s="16">
        <f t="shared" si="6"/>
        <v>0</v>
      </c>
      <c r="CV11" s="16">
        <f t="shared" si="6"/>
        <v>0</v>
      </c>
      <c r="CW11" s="17">
        <f t="shared" si="6"/>
        <v>0</v>
      </c>
      <c r="CX11" s="40"/>
    </row>
    <row r="12" spans="1:102" ht="15.75" hidden="1" x14ac:dyDescent="0.25">
      <c r="A12" s="13" t="s">
        <v>1</v>
      </c>
      <c r="B12" s="14" t="s">
        <v>1</v>
      </c>
      <c r="C12" s="14" t="s">
        <v>5</v>
      </c>
      <c r="D12" s="30" t="s">
        <v>6</v>
      </c>
      <c r="E12" s="15">
        <f>SUM(F12+BY12+CT12)</f>
        <v>20869636</v>
      </c>
      <c r="F12" s="16">
        <f>SUM(G12+BA12)</f>
        <v>19317055</v>
      </c>
      <c r="G12" s="16">
        <f>SUM(H12+I12+J12+Q12+T12+U12+V12+AE12)</f>
        <v>19285233</v>
      </c>
      <c r="H12" s="16">
        <v>8640021</v>
      </c>
      <c r="I12" s="16">
        <v>2061842</v>
      </c>
      <c r="J12" s="16">
        <f t="shared" ref="J12:J74" si="7">SUM(K12:P12)</f>
        <v>2455362</v>
      </c>
      <c r="K12" s="16">
        <v>0</v>
      </c>
      <c r="L12" s="16">
        <v>19272</v>
      </c>
      <c r="M12" s="16">
        <v>0</v>
      </c>
      <c r="N12" s="16">
        <v>0</v>
      </c>
      <c r="O12" s="16">
        <v>1876650</v>
      </c>
      <c r="P12" s="16">
        <v>559440</v>
      </c>
      <c r="Q12" s="16">
        <f t="shared" ref="Q12:Q74" si="8">SUM(R12:S12)</f>
        <v>435133</v>
      </c>
      <c r="R12" s="16">
        <v>856</v>
      </c>
      <c r="S12" s="16">
        <v>434277</v>
      </c>
      <c r="T12" s="16">
        <v>0</v>
      </c>
      <c r="U12" s="16">
        <v>868840</v>
      </c>
      <c r="V12" s="16">
        <f>SUM(W12:AD12)</f>
        <v>324994</v>
      </c>
      <c r="W12" s="16">
        <v>114772</v>
      </c>
      <c r="X12" s="16">
        <v>32396</v>
      </c>
      <c r="Y12" s="16">
        <v>112439</v>
      </c>
      <c r="Z12" s="16">
        <v>17150</v>
      </c>
      <c r="AA12" s="16">
        <v>30451</v>
      </c>
      <c r="AB12" s="16">
        <v>0</v>
      </c>
      <c r="AC12" s="16">
        <v>0</v>
      </c>
      <c r="AD12" s="16">
        <v>17786</v>
      </c>
      <c r="AE12" s="16">
        <f>SUM(AF12:AZ12)</f>
        <v>4499041</v>
      </c>
      <c r="AF12" s="16">
        <v>0</v>
      </c>
      <c r="AG12" s="16">
        <v>41883</v>
      </c>
      <c r="AH12" s="16">
        <v>51101</v>
      </c>
      <c r="AI12" s="16">
        <v>0</v>
      </c>
      <c r="AJ12" s="16">
        <v>21455</v>
      </c>
      <c r="AK12" s="16">
        <v>980574</v>
      </c>
      <c r="AL12" s="16">
        <v>77747</v>
      </c>
      <c r="AM12" s="16">
        <v>137000</v>
      </c>
      <c r="AN12" s="16">
        <v>2574685</v>
      </c>
      <c r="AO12" s="16">
        <v>7326</v>
      </c>
      <c r="AP12" s="16"/>
      <c r="AQ12" s="16">
        <v>0</v>
      </c>
      <c r="AR12" s="16">
        <v>0</v>
      </c>
      <c r="AS12" s="16">
        <v>13574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/>
      <c r="AZ12" s="16">
        <v>593696</v>
      </c>
      <c r="BA12" s="16">
        <f>SUM(BB12+BF12+BI12+BK12+BM12)</f>
        <v>31822</v>
      </c>
      <c r="BB12" s="16">
        <f>SUM(BC12:BE12)</f>
        <v>0</v>
      </c>
      <c r="BC12" s="16">
        <v>0</v>
      </c>
      <c r="BD12" s="16">
        <v>0</v>
      </c>
      <c r="BE12" s="16">
        <v>0</v>
      </c>
      <c r="BF12" s="16">
        <f t="shared" ref="BF12:BF74" si="9">SUM(BG12:BH12)</f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f t="shared" ref="BK12:BK74" si="10">SUM(BL12)</f>
        <v>0</v>
      </c>
      <c r="BL12" s="16">
        <v>0</v>
      </c>
      <c r="BM12" s="16">
        <f t="shared" ref="BM12:BM74" si="11">SUM(BN12:BX12)</f>
        <v>31822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31822</v>
      </c>
      <c r="BX12" s="16">
        <v>0</v>
      </c>
      <c r="BY12" s="16">
        <f>SUM(BZ12+CS12)</f>
        <v>1552581</v>
      </c>
      <c r="BZ12" s="16">
        <f>SUM(CA12+CD12+CK12)</f>
        <v>1552581</v>
      </c>
      <c r="CA12" s="16">
        <f t="shared" ref="CA12:CA74" si="12">SUM(CB12:CC12)</f>
        <v>777466</v>
      </c>
      <c r="CB12" s="16">
        <v>0</v>
      </c>
      <c r="CC12" s="16">
        <v>777466</v>
      </c>
      <c r="CD12" s="16">
        <f t="shared" ref="CD12:CD74" si="13">SUM(CE12:CI12)</f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16">
        <f t="shared" ref="CK12:CK74" si="14">SUM(CL12:CP12)</f>
        <v>775115</v>
      </c>
      <c r="CL12" s="16">
        <v>0</v>
      </c>
      <c r="CM12" s="16">
        <v>0</v>
      </c>
      <c r="CN12" s="16">
        <v>0</v>
      </c>
      <c r="CO12" s="16">
        <v>775115</v>
      </c>
      <c r="CP12" s="16">
        <v>0</v>
      </c>
      <c r="CQ12" s="16">
        <f>SUM(CR12)</f>
        <v>0</v>
      </c>
      <c r="CR12" s="16"/>
      <c r="CS12" s="16">
        <v>0</v>
      </c>
      <c r="CT12" s="16">
        <f t="shared" ref="CT12:CT74" si="15">SUM(CU12)</f>
        <v>0</v>
      </c>
      <c r="CU12" s="16">
        <f t="shared" ref="CU12:CU74" si="16">SUM(CV12:CW12)</f>
        <v>0</v>
      </c>
      <c r="CV12" s="16">
        <v>0</v>
      </c>
      <c r="CW12" s="17">
        <v>0</v>
      </c>
      <c r="CX12" s="40"/>
    </row>
    <row r="13" spans="1:102" ht="31.5" hidden="1" x14ac:dyDescent="0.25">
      <c r="A13" s="13" t="s">
        <v>3</v>
      </c>
      <c r="B13" s="14" t="s">
        <v>7</v>
      </c>
      <c r="C13" s="14" t="s">
        <v>1</v>
      </c>
      <c r="D13" s="30" t="s">
        <v>8</v>
      </c>
      <c r="E13" s="15">
        <f>SUM(E14:E16)</f>
        <v>39071659</v>
      </c>
      <c r="F13" s="16">
        <f t="shared" ref="F13:BS13" si="17">SUM(F14:F16)</f>
        <v>36215312</v>
      </c>
      <c r="G13" s="16">
        <f t="shared" si="17"/>
        <v>33810594</v>
      </c>
      <c r="H13" s="16">
        <f t="shared" si="17"/>
        <v>21975058</v>
      </c>
      <c r="I13" s="16">
        <f t="shared" si="17"/>
        <v>5268641</v>
      </c>
      <c r="J13" s="16">
        <f t="shared" si="17"/>
        <v>3193895</v>
      </c>
      <c r="K13" s="16">
        <f t="shared" si="17"/>
        <v>0</v>
      </c>
      <c r="L13" s="16">
        <f t="shared" si="17"/>
        <v>87018</v>
      </c>
      <c r="M13" s="16">
        <f t="shared" si="17"/>
        <v>0</v>
      </c>
      <c r="N13" s="16">
        <f t="shared" si="17"/>
        <v>0</v>
      </c>
      <c r="O13" s="16">
        <f t="shared" si="17"/>
        <v>2135643</v>
      </c>
      <c r="P13" s="16">
        <f t="shared" si="17"/>
        <v>971234</v>
      </c>
      <c r="Q13" s="16">
        <f t="shared" si="17"/>
        <v>720002</v>
      </c>
      <c r="R13" s="16">
        <f t="shared" si="17"/>
        <v>0</v>
      </c>
      <c r="S13" s="16">
        <f t="shared" si="17"/>
        <v>720002</v>
      </c>
      <c r="T13" s="16">
        <f t="shared" si="17"/>
        <v>0</v>
      </c>
      <c r="U13" s="16">
        <f t="shared" si="17"/>
        <v>970685</v>
      </c>
      <c r="V13" s="16">
        <f t="shared" si="17"/>
        <v>83043</v>
      </c>
      <c r="W13" s="16">
        <f t="shared" si="17"/>
        <v>3606</v>
      </c>
      <c r="X13" s="16">
        <f t="shared" si="17"/>
        <v>14960</v>
      </c>
      <c r="Y13" s="16">
        <f t="shared" si="17"/>
        <v>41904</v>
      </c>
      <c r="Z13" s="16">
        <f t="shared" si="17"/>
        <v>7858</v>
      </c>
      <c r="AA13" s="16">
        <f t="shared" si="17"/>
        <v>5156</v>
      </c>
      <c r="AB13" s="16">
        <f t="shared" si="17"/>
        <v>648</v>
      </c>
      <c r="AC13" s="16">
        <f t="shared" si="17"/>
        <v>0</v>
      </c>
      <c r="AD13" s="16">
        <f t="shared" ref="AD13" si="18">SUM(AD14:AD16)</f>
        <v>8911</v>
      </c>
      <c r="AE13" s="16">
        <f t="shared" si="17"/>
        <v>1599270</v>
      </c>
      <c r="AF13" s="16">
        <f t="shared" si="17"/>
        <v>0</v>
      </c>
      <c r="AG13" s="16">
        <f t="shared" si="17"/>
        <v>87752</v>
      </c>
      <c r="AH13" s="16">
        <f t="shared" si="17"/>
        <v>116813</v>
      </c>
      <c r="AI13" s="16">
        <f t="shared" si="17"/>
        <v>0</v>
      </c>
      <c r="AJ13" s="16">
        <f t="shared" si="17"/>
        <v>40495</v>
      </c>
      <c r="AK13" s="16">
        <f t="shared" si="17"/>
        <v>0</v>
      </c>
      <c r="AL13" s="16">
        <f t="shared" si="17"/>
        <v>227044</v>
      </c>
      <c r="AM13" s="16">
        <f t="shared" si="17"/>
        <v>70164</v>
      </c>
      <c r="AN13" s="16">
        <f t="shared" si="17"/>
        <v>903693</v>
      </c>
      <c r="AO13" s="16">
        <f t="shared" si="17"/>
        <v>0</v>
      </c>
      <c r="AP13" s="16"/>
      <c r="AQ13" s="16">
        <f t="shared" si="17"/>
        <v>0</v>
      </c>
      <c r="AR13" s="16">
        <f t="shared" si="17"/>
        <v>42153</v>
      </c>
      <c r="AS13" s="16">
        <f t="shared" si="17"/>
        <v>27042</v>
      </c>
      <c r="AT13" s="16">
        <f t="shared" si="17"/>
        <v>0</v>
      </c>
      <c r="AU13" s="16">
        <f t="shared" si="17"/>
        <v>0</v>
      </c>
      <c r="AV13" s="16">
        <f t="shared" si="17"/>
        <v>0</v>
      </c>
      <c r="AW13" s="16">
        <f t="shared" si="17"/>
        <v>0</v>
      </c>
      <c r="AX13" s="16">
        <f t="shared" si="17"/>
        <v>0</v>
      </c>
      <c r="AY13" s="16"/>
      <c r="AZ13" s="16">
        <f t="shared" si="17"/>
        <v>84114</v>
      </c>
      <c r="BA13" s="16">
        <f t="shared" si="17"/>
        <v>2404718</v>
      </c>
      <c r="BB13" s="16">
        <f t="shared" si="17"/>
        <v>0</v>
      </c>
      <c r="BC13" s="16">
        <f t="shared" si="17"/>
        <v>0</v>
      </c>
      <c r="BD13" s="16">
        <f t="shared" si="17"/>
        <v>0</v>
      </c>
      <c r="BE13" s="16">
        <f t="shared" si="17"/>
        <v>0</v>
      </c>
      <c r="BF13" s="16">
        <f t="shared" si="17"/>
        <v>0</v>
      </c>
      <c r="BG13" s="16">
        <f t="shared" si="17"/>
        <v>0</v>
      </c>
      <c r="BH13" s="16">
        <f t="shared" si="17"/>
        <v>0</v>
      </c>
      <c r="BI13" s="16">
        <f t="shared" si="17"/>
        <v>0</v>
      </c>
      <c r="BJ13" s="16">
        <f t="shared" si="17"/>
        <v>0</v>
      </c>
      <c r="BK13" s="16">
        <f t="shared" si="17"/>
        <v>0</v>
      </c>
      <c r="BL13" s="16">
        <f t="shared" si="17"/>
        <v>0</v>
      </c>
      <c r="BM13" s="16">
        <f t="shared" si="17"/>
        <v>2404718</v>
      </c>
      <c r="BN13" s="16">
        <f t="shared" si="17"/>
        <v>0</v>
      </c>
      <c r="BO13" s="16">
        <f t="shared" si="17"/>
        <v>0</v>
      </c>
      <c r="BP13" s="16">
        <f t="shared" si="17"/>
        <v>0</v>
      </c>
      <c r="BQ13" s="16">
        <f t="shared" si="17"/>
        <v>0</v>
      </c>
      <c r="BR13" s="16">
        <f t="shared" si="17"/>
        <v>0</v>
      </c>
      <c r="BS13" s="16">
        <f t="shared" si="17"/>
        <v>0</v>
      </c>
      <c r="BT13" s="16">
        <f t="shared" ref="BT13:CW13" si="19">SUM(BT14:BT16)</f>
        <v>0</v>
      </c>
      <c r="BU13" s="16">
        <f t="shared" si="19"/>
        <v>0</v>
      </c>
      <c r="BV13" s="16">
        <f t="shared" si="19"/>
        <v>0</v>
      </c>
      <c r="BW13" s="16">
        <f t="shared" si="19"/>
        <v>2404718</v>
      </c>
      <c r="BX13" s="16">
        <f t="shared" si="19"/>
        <v>0</v>
      </c>
      <c r="BY13" s="16">
        <f t="shared" si="19"/>
        <v>2856347</v>
      </c>
      <c r="BZ13" s="16">
        <f t="shared" si="19"/>
        <v>2856347</v>
      </c>
      <c r="CA13" s="16">
        <f t="shared" si="19"/>
        <v>1588472</v>
      </c>
      <c r="CB13" s="16">
        <f t="shared" si="19"/>
        <v>0</v>
      </c>
      <c r="CC13" s="16">
        <f t="shared" si="19"/>
        <v>1588472</v>
      </c>
      <c r="CD13" s="16">
        <f t="shared" si="19"/>
        <v>1267875</v>
      </c>
      <c r="CE13" s="16">
        <f t="shared" si="19"/>
        <v>1267875</v>
      </c>
      <c r="CF13" s="16">
        <f>SUM(CF14:CF16)</f>
        <v>0</v>
      </c>
      <c r="CG13" s="16">
        <f t="shared" si="19"/>
        <v>0</v>
      </c>
      <c r="CH13" s="16">
        <f t="shared" si="19"/>
        <v>0</v>
      </c>
      <c r="CI13" s="16">
        <f t="shared" si="19"/>
        <v>0</v>
      </c>
      <c r="CJ13" s="16">
        <f t="shared" ref="CJ13" si="20">SUM(CJ14:CJ16)</f>
        <v>0</v>
      </c>
      <c r="CK13" s="16">
        <f t="shared" si="19"/>
        <v>0</v>
      </c>
      <c r="CL13" s="16">
        <f t="shared" si="19"/>
        <v>0</v>
      </c>
      <c r="CM13" s="16">
        <f>SUM(CM14:CM16)</f>
        <v>0</v>
      </c>
      <c r="CN13" s="16">
        <f t="shared" si="19"/>
        <v>0</v>
      </c>
      <c r="CO13" s="16">
        <f t="shared" si="19"/>
        <v>0</v>
      </c>
      <c r="CP13" s="16">
        <f t="shared" si="19"/>
        <v>0</v>
      </c>
      <c r="CQ13" s="16">
        <f>SUM(CR13)</f>
        <v>0</v>
      </c>
      <c r="CR13" s="16"/>
      <c r="CS13" s="16">
        <f t="shared" si="19"/>
        <v>0</v>
      </c>
      <c r="CT13" s="16">
        <f t="shared" si="19"/>
        <v>0</v>
      </c>
      <c r="CU13" s="16">
        <f t="shared" si="19"/>
        <v>0</v>
      </c>
      <c r="CV13" s="16">
        <f t="shared" si="19"/>
        <v>0</v>
      </c>
      <c r="CW13" s="17">
        <f t="shared" si="19"/>
        <v>0</v>
      </c>
      <c r="CX13" s="40"/>
    </row>
    <row r="14" spans="1:102" ht="15.75" hidden="1" x14ac:dyDescent="0.25">
      <c r="A14" s="13" t="s">
        <v>1</v>
      </c>
      <c r="B14" s="14" t="s">
        <v>1</v>
      </c>
      <c r="C14" s="14" t="s">
        <v>9</v>
      </c>
      <c r="D14" s="30" t="s">
        <v>10</v>
      </c>
      <c r="E14" s="15">
        <f>SUM(F14+BY14+CT14)</f>
        <v>26690585</v>
      </c>
      <c r="F14" s="16">
        <f>SUM(G14+BA14)</f>
        <v>24498869</v>
      </c>
      <c r="G14" s="16">
        <f>SUM(H14+I14+J14+Q14+T14+U14+V14+AE14)</f>
        <v>22107177</v>
      </c>
      <c r="H14" s="16">
        <v>13873375</v>
      </c>
      <c r="I14" s="16">
        <v>3336840</v>
      </c>
      <c r="J14" s="16">
        <f t="shared" si="7"/>
        <v>2271467</v>
      </c>
      <c r="K14" s="16">
        <v>0</v>
      </c>
      <c r="L14" s="16">
        <v>0</v>
      </c>
      <c r="M14" s="16">
        <v>0</v>
      </c>
      <c r="N14" s="16">
        <v>0</v>
      </c>
      <c r="O14" s="16">
        <v>1658609</v>
      </c>
      <c r="P14" s="16">
        <v>612858</v>
      </c>
      <c r="Q14" s="16">
        <f t="shared" si="8"/>
        <v>640000</v>
      </c>
      <c r="R14" s="16">
        <v>0</v>
      </c>
      <c r="S14" s="16">
        <v>640000</v>
      </c>
      <c r="T14" s="16">
        <v>0</v>
      </c>
      <c r="U14" s="16">
        <v>797759</v>
      </c>
      <c r="V14" s="16">
        <f>SUM(W14:AD14)</f>
        <v>2882</v>
      </c>
      <c r="W14" s="16">
        <v>0</v>
      </c>
      <c r="X14" s="16">
        <v>0</v>
      </c>
      <c r="Y14" s="16">
        <v>1548</v>
      </c>
      <c r="Z14" s="16">
        <v>964</v>
      </c>
      <c r="AA14" s="16">
        <v>370</v>
      </c>
      <c r="AB14" s="16">
        <v>0</v>
      </c>
      <c r="AC14" s="16">
        <v>0</v>
      </c>
      <c r="AD14" s="16">
        <v>0</v>
      </c>
      <c r="AE14" s="16">
        <f>SUM(AF14:AZ14)</f>
        <v>1184854</v>
      </c>
      <c r="AF14" s="16">
        <v>0</v>
      </c>
      <c r="AG14" s="16">
        <v>72672</v>
      </c>
      <c r="AH14" s="16">
        <v>100000</v>
      </c>
      <c r="AI14" s="16">
        <v>0</v>
      </c>
      <c r="AJ14" s="16">
        <v>9558</v>
      </c>
      <c r="AK14" s="16">
        <v>0</v>
      </c>
      <c r="AL14" s="16">
        <v>122572</v>
      </c>
      <c r="AM14" s="16">
        <v>62208</v>
      </c>
      <c r="AN14" s="16">
        <v>785400</v>
      </c>
      <c r="AO14" s="16">
        <v>0</v>
      </c>
      <c r="AP14" s="16">
        <v>0</v>
      </c>
      <c r="AQ14" s="16">
        <v>0</v>
      </c>
      <c r="AR14" s="16">
        <v>13008</v>
      </c>
      <c r="AS14" s="16">
        <v>15842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3594</v>
      </c>
      <c r="BA14" s="16">
        <f>SUM(BB14+BF14+BI14+BK14+BM14)</f>
        <v>2391692</v>
      </c>
      <c r="BB14" s="16">
        <f>SUM(BC14:BE14)</f>
        <v>0</v>
      </c>
      <c r="BC14" s="16">
        <v>0</v>
      </c>
      <c r="BD14" s="16">
        <v>0</v>
      </c>
      <c r="BE14" s="16">
        <v>0</v>
      </c>
      <c r="BF14" s="16">
        <f t="shared" si="9"/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f t="shared" si="10"/>
        <v>0</v>
      </c>
      <c r="BL14" s="16">
        <v>0</v>
      </c>
      <c r="BM14" s="16">
        <f t="shared" si="11"/>
        <v>2391692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2391692</v>
      </c>
      <c r="BX14" s="16">
        <v>0</v>
      </c>
      <c r="BY14" s="16">
        <f>SUM(BZ14+CS14)</f>
        <v>2191716</v>
      </c>
      <c r="BZ14" s="16">
        <f>SUM(CA14+CD14+CK14)</f>
        <v>2191716</v>
      </c>
      <c r="CA14" s="16">
        <f t="shared" si="12"/>
        <v>1225716</v>
      </c>
      <c r="CB14" s="16">
        <v>0</v>
      </c>
      <c r="CC14" s="16">
        <v>1225716</v>
      </c>
      <c r="CD14" s="16">
        <f t="shared" si="13"/>
        <v>966000</v>
      </c>
      <c r="CE14" s="16">
        <v>966000</v>
      </c>
      <c r="CF14" s="16"/>
      <c r="CG14" s="16">
        <v>0</v>
      </c>
      <c r="CH14" s="16">
        <v>0</v>
      </c>
      <c r="CI14" s="16">
        <v>0</v>
      </c>
      <c r="CJ14" s="16">
        <v>0</v>
      </c>
      <c r="CK14" s="16">
        <f t="shared" si="14"/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16">
        <f>SUM(CR14)</f>
        <v>0</v>
      </c>
      <c r="CR14" s="16">
        <v>0</v>
      </c>
      <c r="CS14" s="16">
        <v>0</v>
      </c>
      <c r="CT14" s="16">
        <f t="shared" si="15"/>
        <v>0</v>
      </c>
      <c r="CU14" s="16">
        <f t="shared" si="16"/>
        <v>0</v>
      </c>
      <c r="CV14" s="16">
        <v>0</v>
      </c>
      <c r="CW14" s="17">
        <v>0</v>
      </c>
      <c r="CX14" s="40"/>
    </row>
    <row r="15" spans="1:102" ht="15.75" hidden="1" x14ac:dyDescent="0.25">
      <c r="A15" s="13" t="s">
        <v>1</v>
      </c>
      <c r="B15" s="14" t="s">
        <v>1</v>
      </c>
      <c r="C15" s="14" t="s">
        <v>11</v>
      </c>
      <c r="D15" s="30" t="s">
        <v>12</v>
      </c>
      <c r="E15" s="15">
        <f>SUM(F15+BY15+CT15)</f>
        <v>10783642</v>
      </c>
      <c r="F15" s="16">
        <f>SUM(G15+BA15)</f>
        <v>10139599</v>
      </c>
      <c r="G15" s="16">
        <f>SUM(H15+I15+J15+Q15+T15+U15+V15+AE15)</f>
        <v>10132324</v>
      </c>
      <c r="H15" s="16">
        <v>7005911</v>
      </c>
      <c r="I15" s="16">
        <v>1667464</v>
      </c>
      <c r="J15" s="16">
        <f t="shared" si="7"/>
        <v>851847</v>
      </c>
      <c r="K15" s="16">
        <v>0</v>
      </c>
      <c r="L15" s="16">
        <v>87018</v>
      </c>
      <c r="M15" s="16">
        <v>0</v>
      </c>
      <c r="N15" s="16">
        <v>0</v>
      </c>
      <c r="O15" s="16">
        <v>422661</v>
      </c>
      <c r="P15" s="16">
        <v>342168</v>
      </c>
      <c r="Q15" s="16">
        <f t="shared" si="8"/>
        <v>65755</v>
      </c>
      <c r="R15" s="16">
        <v>0</v>
      </c>
      <c r="S15" s="16">
        <v>65755</v>
      </c>
      <c r="T15" s="16">
        <v>0</v>
      </c>
      <c r="U15" s="16">
        <v>110927</v>
      </c>
      <c r="V15" s="16">
        <f>SUM(W15:AD15)</f>
        <v>73046</v>
      </c>
      <c r="W15" s="16">
        <f>16979-13373</f>
        <v>3606</v>
      </c>
      <c r="X15" s="16">
        <v>12125</v>
      </c>
      <c r="Y15" s="16">
        <f>40799-180-3983</f>
        <v>36636</v>
      </c>
      <c r="Z15" s="16">
        <v>6334</v>
      </c>
      <c r="AA15" s="16">
        <v>4786</v>
      </c>
      <c r="AB15" s="16">
        <v>648</v>
      </c>
      <c r="AC15" s="16">
        <v>0</v>
      </c>
      <c r="AD15" s="16">
        <v>8911</v>
      </c>
      <c r="AE15" s="16">
        <f>SUM(AF15:AZ15)</f>
        <v>357374</v>
      </c>
      <c r="AF15" s="16">
        <v>0</v>
      </c>
      <c r="AG15" s="16">
        <v>13978</v>
      </c>
      <c r="AH15" s="16">
        <v>15587</v>
      </c>
      <c r="AI15" s="16">
        <v>0</v>
      </c>
      <c r="AJ15" s="16">
        <v>30937</v>
      </c>
      <c r="AK15" s="16">
        <v>0</v>
      </c>
      <c r="AL15" s="16">
        <v>104472</v>
      </c>
      <c r="AM15" s="16">
        <v>0</v>
      </c>
      <c r="AN15" s="16">
        <v>100680</v>
      </c>
      <c r="AO15" s="16">
        <v>0</v>
      </c>
      <c r="AP15" s="16">
        <v>0</v>
      </c>
      <c r="AQ15" s="16">
        <v>0</v>
      </c>
      <c r="AR15" s="16">
        <v>0</v>
      </c>
      <c r="AS15" s="16">
        <v>11200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80520</v>
      </c>
      <c r="BA15" s="16">
        <f>SUM(BB15+BF15+BI15+BK15+BM15)</f>
        <v>7275</v>
      </c>
      <c r="BB15" s="16">
        <f>SUM(BC15:BE15)</f>
        <v>0</v>
      </c>
      <c r="BC15" s="16">
        <v>0</v>
      </c>
      <c r="BD15" s="16">
        <v>0</v>
      </c>
      <c r="BE15" s="16">
        <v>0</v>
      </c>
      <c r="BF15" s="16">
        <f t="shared" si="9"/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f t="shared" si="10"/>
        <v>0</v>
      </c>
      <c r="BL15" s="16">
        <v>0</v>
      </c>
      <c r="BM15" s="16">
        <f t="shared" si="11"/>
        <v>7275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7275</v>
      </c>
      <c r="BX15" s="16">
        <v>0</v>
      </c>
      <c r="BY15" s="16">
        <f>SUM(BZ15+CS15)</f>
        <v>644043</v>
      </c>
      <c r="BZ15" s="16">
        <f>SUM(CA15+CD15+CK15)</f>
        <v>644043</v>
      </c>
      <c r="CA15" s="16">
        <f t="shared" si="12"/>
        <v>342168</v>
      </c>
      <c r="CB15" s="16">
        <v>0</v>
      </c>
      <c r="CC15" s="16">
        <v>342168</v>
      </c>
      <c r="CD15" s="16">
        <f t="shared" si="13"/>
        <v>301875</v>
      </c>
      <c r="CE15" s="16">
        <v>301875</v>
      </c>
      <c r="CF15" s="16"/>
      <c r="CG15" s="16">
        <v>0</v>
      </c>
      <c r="CH15" s="16">
        <v>0</v>
      </c>
      <c r="CI15" s="16">
        <v>0</v>
      </c>
      <c r="CJ15" s="16">
        <v>0</v>
      </c>
      <c r="CK15" s="16">
        <f t="shared" si="14"/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6">
        <v>0</v>
      </c>
      <c r="CS15" s="16">
        <v>0</v>
      </c>
      <c r="CT15" s="16">
        <f t="shared" si="15"/>
        <v>0</v>
      </c>
      <c r="CU15" s="16">
        <f t="shared" si="16"/>
        <v>0</v>
      </c>
      <c r="CV15" s="16">
        <v>0</v>
      </c>
      <c r="CW15" s="17">
        <v>0</v>
      </c>
      <c r="CX15" s="40"/>
    </row>
    <row r="16" spans="1:102" ht="31.5" hidden="1" x14ac:dyDescent="0.25">
      <c r="A16" s="13" t="s">
        <v>1</v>
      </c>
      <c r="B16" s="14" t="s">
        <v>1</v>
      </c>
      <c r="C16" s="14" t="s">
        <v>13</v>
      </c>
      <c r="D16" s="30" t="s">
        <v>14</v>
      </c>
      <c r="E16" s="15">
        <f>SUM(F16+BY16+CT16)</f>
        <v>1597432</v>
      </c>
      <c r="F16" s="16">
        <f>SUM(G16+BA16)</f>
        <v>1576844</v>
      </c>
      <c r="G16" s="16">
        <f>SUM(H16+I16+J16+Q16+T16+U16+V16+AE16)</f>
        <v>1571093</v>
      </c>
      <c r="H16" s="16">
        <v>1095772</v>
      </c>
      <c r="I16" s="16">
        <v>264337</v>
      </c>
      <c r="J16" s="16">
        <f t="shared" si="7"/>
        <v>70581</v>
      </c>
      <c r="K16" s="16">
        <v>0</v>
      </c>
      <c r="L16" s="16">
        <v>0</v>
      </c>
      <c r="M16" s="16">
        <v>0</v>
      </c>
      <c r="N16" s="16">
        <v>0</v>
      </c>
      <c r="O16" s="16">
        <v>54373</v>
      </c>
      <c r="P16" s="16">
        <v>16208</v>
      </c>
      <c r="Q16" s="16">
        <f t="shared" si="8"/>
        <v>14247</v>
      </c>
      <c r="R16" s="16">
        <v>0</v>
      </c>
      <c r="S16" s="16">
        <f>15043-796</f>
        <v>14247</v>
      </c>
      <c r="T16" s="16">
        <v>0</v>
      </c>
      <c r="U16" s="16">
        <v>61999</v>
      </c>
      <c r="V16" s="16">
        <f>SUM(W16:AD16)</f>
        <v>7115</v>
      </c>
      <c r="W16" s="16">
        <v>0</v>
      </c>
      <c r="X16" s="16">
        <v>2835</v>
      </c>
      <c r="Y16" s="16">
        <v>3720</v>
      </c>
      <c r="Z16" s="16">
        <v>560</v>
      </c>
      <c r="AA16" s="16">
        <v>0</v>
      </c>
      <c r="AB16" s="16">
        <v>0</v>
      </c>
      <c r="AC16" s="16">
        <v>0</v>
      </c>
      <c r="AD16" s="16">
        <v>0</v>
      </c>
      <c r="AE16" s="16">
        <f>SUM(AF16:AZ16)</f>
        <v>57042</v>
      </c>
      <c r="AF16" s="16">
        <v>0</v>
      </c>
      <c r="AG16" s="16">
        <v>1102</v>
      </c>
      <c r="AH16" s="16">
        <v>1226</v>
      </c>
      <c r="AI16" s="16">
        <v>0</v>
      </c>
      <c r="AJ16" s="16">
        <v>0</v>
      </c>
      <c r="AK16" s="16">
        <v>0</v>
      </c>
      <c r="AL16" s="16">
        <v>0</v>
      </c>
      <c r="AM16" s="16">
        <v>7956</v>
      </c>
      <c r="AN16" s="16">
        <v>17613</v>
      </c>
      <c r="AO16" s="16">
        <v>0</v>
      </c>
      <c r="AP16" s="16">
        <v>0</v>
      </c>
      <c r="AQ16" s="16">
        <v>0</v>
      </c>
      <c r="AR16" s="16">
        <v>29145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f>SUM(BB16+BF16+BI16+BK16+BM16)</f>
        <v>5751</v>
      </c>
      <c r="BB16" s="16">
        <f>SUM(BC16:BE16)</f>
        <v>0</v>
      </c>
      <c r="BC16" s="16">
        <v>0</v>
      </c>
      <c r="BD16" s="16">
        <v>0</v>
      </c>
      <c r="BE16" s="16">
        <v>0</v>
      </c>
      <c r="BF16" s="16">
        <f t="shared" si="9"/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f t="shared" si="10"/>
        <v>0</v>
      </c>
      <c r="BL16" s="16">
        <v>0</v>
      </c>
      <c r="BM16" s="16">
        <f t="shared" si="11"/>
        <v>5751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5751</v>
      </c>
      <c r="BX16" s="16">
        <v>0</v>
      </c>
      <c r="BY16" s="16">
        <f>SUM(BZ16+CS16)</f>
        <v>20588</v>
      </c>
      <c r="BZ16" s="16">
        <f>SUM(CA16+CD16+CK16)</f>
        <v>20588</v>
      </c>
      <c r="CA16" s="16">
        <f t="shared" si="12"/>
        <v>20588</v>
      </c>
      <c r="CB16" s="16">
        <v>0</v>
      </c>
      <c r="CC16" s="16">
        <v>20588</v>
      </c>
      <c r="CD16" s="16">
        <f t="shared" si="13"/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16">
        <f t="shared" si="14"/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f t="shared" si="15"/>
        <v>0</v>
      </c>
      <c r="CU16" s="16">
        <f t="shared" si="16"/>
        <v>0</v>
      </c>
      <c r="CV16" s="16">
        <v>0</v>
      </c>
      <c r="CW16" s="17">
        <v>0</v>
      </c>
      <c r="CX16" s="40"/>
    </row>
    <row r="17" spans="1:102" ht="31.5" hidden="1" x14ac:dyDescent="0.25">
      <c r="A17" s="13" t="s">
        <v>3</v>
      </c>
      <c r="B17" s="14" t="s">
        <v>15</v>
      </c>
      <c r="C17" s="14" t="s">
        <v>1</v>
      </c>
      <c r="D17" s="30" t="s">
        <v>16</v>
      </c>
      <c r="E17" s="15">
        <f>SUM(E18:E33)</f>
        <v>86949744</v>
      </c>
      <c r="F17" s="16">
        <f t="shared" ref="F17:BS17" si="21">SUM(F18:F33)</f>
        <v>81701909</v>
      </c>
      <c r="G17" s="16">
        <f t="shared" si="21"/>
        <v>81155163</v>
      </c>
      <c r="H17" s="16">
        <f t="shared" si="21"/>
        <v>57968274</v>
      </c>
      <c r="I17" s="16">
        <f t="shared" si="21"/>
        <v>13099556</v>
      </c>
      <c r="J17" s="16">
        <f t="shared" si="21"/>
        <v>3388360</v>
      </c>
      <c r="K17" s="16">
        <f t="shared" si="21"/>
        <v>0</v>
      </c>
      <c r="L17" s="16">
        <f t="shared" si="21"/>
        <v>145393</v>
      </c>
      <c r="M17" s="16">
        <f t="shared" si="21"/>
        <v>0</v>
      </c>
      <c r="N17" s="16">
        <f t="shared" si="21"/>
        <v>0</v>
      </c>
      <c r="O17" s="16">
        <f t="shared" si="21"/>
        <v>2409030</v>
      </c>
      <c r="P17" s="16">
        <f t="shared" si="21"/>
        <v>833937</v>
      </c>
      <c r="Q17" s="16">
        <f t="shared" si="21"/>
        <v>1118720</v>
      </c>
      <c r="R17" s="16">
        <f t="shared" si="21"/>
        <v>15447</v>
      </c>
      <c r="S17" s="16">
        <f t="shared" si="21"/>
        <v>1103273</v>
      </c>
      <c r="T17" s="16">
        <f t="shared" si="21"/>
        <v>0</v>
      </c>
      <c r="U17" s="16">
        <f t="shared" si="21"/>
        <v>2152198</v>
      </c>
      <c r="V17" s="16">
        <f t="shared" si="21"/>
        <v>808918</v>
      </c>
      <c r="W17" s="16">
        <f t="shared" si="21"/>
        <v>126311</v>
      </c>
      <c r="X17" s="16">
        <f t="shared" si="21"/>
        <v>244742</v>
      </c>
      <c r="Y17" s="16">
        <f t="shared" si="21"/>
        <v>320961</v>
      </c>
      <c r="Z17" s="16">
        <f t="shared" si="21"/>
        <v>37834</v>
      </c>
      <c r="AA17" s="16">
        <f t="shared" si="21"/>
        <v>58205</v>
      </c>
      <c r="AB17" s="16">
        <f t="shared" si="21"/>
        <v>0</v>
      </c>
      <c r="AC17" s="16">
        <f t="shared" si="21"/>
        <v>0</v>
      </c>
      <c r="AD17" s="16">
        <f t="shared" ref="AD17" si="22">SUM(AD18:AD33)</f>
        <v>20865</v>
      </c>
      <c r="AE17" s="16">
        <f t="shared" si="21"/>
        <v>2619137</v>
      </c>
      <c r="AF17" s="16">
        <f t="shared" si="21"/>
        <v>0</v>
      </c>
      <c r="AG17" s="16">
        <f t="shared" si="21"/>
        <v>112930</v>
      </c>
      <c r="AH17" s="16">
        <f t="shared" si="21"/>
        <v>159835</v>
      </c>
      <c r="AI17" s="16">
        <f t="shared" si="21"/>
        <v>0</v>
      </c>
      <c r="AJ17" s="16">
        <f t="shared" si="21"/>
        <v>32233</v>
      </c>
      <c r="AK17" s="16">
        <f t="shared" si="21"/>
        <v>0</v>
      </c>
      <c r="AL17" s="16">
        <f t="shared" si="21"/>
        <v>496058</v>
      </c>
      <c r="AM17" s="16">
        <f t="shared" si="21"/>
        <v>205946</v>
      </c>
      <c r="AN17" s="16">
        <f t="shared" si="21"/>
        <v>409989</v>
      </c>
      <c r="AO17" s="16">
        <f t="shared" si="21"/>
        <v>113362</v>
      </c>
      <c r="AP17" s="16">
        <f>SUM(AP18:AP33)</f>
        <v>0</v>
      </c>
      <c r="AQ17" s="16">
        <f t="shared" si="21"/>
        <v>0</v>
      </c>
      <c r="AR17" s="16">
        <f t="shared" si="21"/>
        <v>454967</v>
      </c>
      <c r="AS17" s="16">
        <f t="shared" si="21"/>
        <v>60047</v>
      </c>
      <c r="AT17" s="16">
        <f t="shared" si="21"/>
        <v>0</v>
      </c>
      <c r="AU17" s="16">
        <f t="shared" si="21"/>
        <v>0</v>
      </c>
      <c r="AV17" s="16">
        <f t="shared" si="21"/>
        <v>0</v>
      </c>
      <c r="AW17" s="16">
        <f t="shared" si="21"/>
        <v>93469</v>
      </c>
      <c r="AX17" s="16">
        <f t="shared" si="21"/>
        <v>0</v>
      </c>
      <c r="AY17" s="16">
        <f t="shared" si="21"/>
        <v>0</v>
      </c>
      <c r="AZ17" s="16">
        <f t="shared" si="21"/>
        <v>480301</v>
      </c>
      <c r="BA17" s="16">
        <f t="shared" si="21"/>
        <v>546746</v>
      </c>
      <c r="BB17" s="16">
        <f t="shared" si="21"/>
        <v>0</v>
      </c>
      <c r="BC17" s="16">
        <f t="shared" si="21"/>
        <v>0</v>
      </c>
      <c r="BD17" s="16">
        <f t="shared" si="21"/>
        <v>0</v>
      </c>
      <c r="BE17" s="16">
        <f t="shared" si="21"/>
        <v>0</v>
      </c>
      <c r="BF17" s="16">
        <f t="shared" si="21"/>
        <v>0</v>
      </c>
      <c r="BG17" s="16">
        <f t="shared" si="21"/>
        <v>0</v>
      </c>
      <c r="BH17" s="16">
        <f t="shared" si="21"/>
        <v>0</v>
      </c>
      <c r="BI17" s="16">
        <f t="shared" si="21"/>
        <v>0</v>
      </c>
      <c r="BJ17" s="16">
        <f t="shared" si="21"/>
        <v>0</v>
      </c>
      <c r="BK17" s="16">
        <f t="shared" si="21"/>
        <v>0</v>
      </c>
      <c r="BL17" s="16">
        <f t="shared" si="21"/>
        <v>0</v>
      </c>
      <c r="BM17" s="16">
        <f t="shared" si="21"/>
        <v>546746</v>
      </c>
      <c r="BN17" s="16">
        <f t="shared" si="21"/>
        <v>0</v>
      </c>
      <c r="BO17" s="16">
        <f t="shared" si="21"/>
        <v>0</v>
      </c>
      <c r="BP17" s="16">
        <f t="shared" si="21"/>
        <v>0</v>
      </c>
      <c r="BQ17" s="16">
        <f t="shared" si="21"/>
        <v>0</v>
      </c>
      <c r="BR17" s="16">
        <f t="shared" si="21"/>
        <v>0</v>
      </c>
      <c r="BS17" s="16">
        <f t="shared" si="21"/>
        <v>0</v>
      </c>
      <c r="BT17" s="16">
        <f t="shared" ref="BT17:CW17" si="23">SUM(BT18:BT33)</f>
        <v>0</v>
      </c>
      <c r="BU17" s="16">
        <f t="shared" si="23"/>
        <v>0</v>
      </c>
      <c r="BV17" s="16">
        <f t="shared" si="23"/>
        <v>0</v>
      </c>
      <c r="BW17" s="16">
        <f t="shared" si="23"/>
        <v>546746</v>
      </c>
      <c r="BX17" s="16">
        <f t="shared" si="23"/>
        <v>0</v>
      </c>
      <c r="BY17" s="16">
        <f t="shared" si="23"/>
        <v>5247835</v>
      </c>
      <c r="BZ17" s="16">
        <f t="shared" si="23"/>
        <v>5247835</v>
      </c>
      <c r="CA17" s="16">
        <f t="shared" si="23"/>
        <v>1287835</v>
      </c>
      <c r="CB17" s="16">
        <f t="shared" si="23"/>
        <v>0</v>
      </c>
      <c r="CC17" s="16">
        <f t="shared" si="23"/>
        <v>1287835</v>
      </c>
      <c r="CD17" s="16">
        <f t="shared" si="23"/>
        <v>3960000</v>
      </c>
      <c r="CE17" s="16">
        <f t="shared" si="23"/>
        <v>0</v>
      </c>
      <c r="CF17" s="16">
        <f>SUM(CF18:CF33)</f>
        <v>0</v>
      </c>
      <c r="CG17" s="16">
        <f t="shared" si="23"/>
        <v>0</v>
      </c>
      <c r="CH17" s="16">
        <f t="shared" si="23"/>
        <v>3960000</v>
      </c>
      <c r="CI17" s="16">
        <f t="shared" si="23"/>
        <v>0</v>
      </c>
      <c r="CJ17" s="16">
        <f t="shared" ref="CJ17" si="24">SUM(CJ18:CJ33)</f>
        <v>0</v>
      </c>
      <c r="CK17" s="16">
        <f t="shared" si="23"/>
        <v>0</v>
      </c>
      <c r="CL17" s="16">
        <f t="shared" si="23"/>
        <v>0</v>
      </c>
      <c r="CM17" s="16">
        <f>SUM(CM18:CM33)</f>
        <v>0</v>
      </c>
      <c r="CN17" s="16">
        <f t="shared" si="23"/>
        <v>0</v>
      </c>
      <c r="CO17" s="16">
        <f t="shared" si="23"/>
        <v>0</v>
      </c>
      <c r="CP17" s="16">
        <f t="shared" si="23"/>
        <v>0</v>
      </c>
      <c r="CQ17" s="16">
        <f t="shared" si="23"/>
        <v>0</v>
      </c>
      <c r="CR17" s="16">
        <f t="shared" si="23"/>
        <v>0</v>
      </c>
      <c r="CS17" s="16">
        <f t="shared" si="23"/>
        <v>0</v>
      </c>
      <c r="CT17" s="16">
        <f t="shared" si="23"/>
        <v>0</v>
      </c>
      <c r="CU17" s="16">
        <f t="shared" si="23"/>
        <v>0</v>
      </c>
      <c r="CV17" s="16">
        <f t="shared" si="23"/>
        <v>0</v>
      </c>
      <c r="CW17" s="17">
        <f t="shared" si="23"/>
        <v>0</v>
      </c>
      <c r="CX17" s="40"/>
    </row>
    <row r="18" spans="1:102" ht="31.5" hidden="1" x14ac:dyDescent="0.25">
      <c r="A18" s="13" t="s">
        <v>1</v>
      </c>
      <c r="B18" s="14" t="s">
        <v>1</v>
      </c>
      <c r="C18" s="14" t="s">
        <v>17</v>
      </c>
      <c r="D18" s="30" t="s">
        <v>18</v>
      </c>
      <c r="E18" s="15">
        <f t="shared" ref="E18:E33" si="25">SUM(F18+BY18+CT18)</f>
        <v>15171431</v>
      </c>
      <c r="F18" s="16">
        <f t="shared" ref="F18:F33" si="26">SUM(G18+BA18)</f>
        <v>14961919</v>
      </c>
      <c r="G18" s="16">
        <f t="shared" ref="G18:G33" si="27">SUM(H18+I18+J18+Q18+T18+U18+V18+AE18)</f>
        <v>14937381</v>
      </c>
      <c r="H18" s="16">
        <f>10618629-40230</f>
        <v>10578399</v>
      </c>
      <c r="I18" s="16">
        <f>2500339-10058</f>
        <v>2490281</v>
      </c>
      <c r="J18" s="16">
        <f t="shared" si="7"/>
        <v>686643</v>
      </c>
      <c r="K18" s="16">
        <v>0</v>
      </c>
      <c r="L18" s="16">
        <v>0</v>
      </c>
      <c r="M18" s="16">
        <v>0</v>
      </c>
      <c r="N18" s="16">
        <v>0</v>
      </c>
      <c r="O18" s="16">
        <v>567038</v>
      </c>
      <c r="P18" s="16">
        <f>121755-2150</f>
        <v>119605</v>
      </c>
      <c r="Q18" s="16">
        <f t="shared" si="8"/>
        <v>129260</v>
      </c>
      <c r="R18" s="16">
        <v>0</v>
      </c>
      <c r="S18" s="16">
        <v>129260</v>
      </c>
      <c r="T18" s="16">
        <v>0</v>
      </c>
      <c r="U18" s="16">
        <v>358366</v>
      </c>
      <c r="V18" s="16">
        <f t="shared" ref="V18:V33" si="28">SUM(W18:AD18)</f>
        <v>200188</v>
      </c>
      <c r="W18" s="16">
        <v>9330</v>
      </c>
      <c r="X18" s="16">
        <v>48559</v>
      </c>
      <c r="Y18" s="16">
        <v>110760</v>
      </c>
      <c r="Z18" s="16">
        <v>9104</v>
      </c>
      <c r="AA18" s="16">
        <v>12913</v>
      </c>
      <c r="AB18" s="16">
        <v>0</v>
      </c>
      <c r="AC18" s="16">
        <v>0</v>
      </c>
      <c r="AD18" s="16">
        <v>9522</v>
      </c>
      <c r="AE18" s="16">
        <f t="shared" ref="AE18:AE33" si="29">SUM(AF18:AZ18)</f>
        <v>494244</v>
      </c>
      <c r="AF18" s="16">
        <v>0</v>
      </c>
      <c r="AG18" s="16">
        <v>21659</v>
      </c>
      <c r="AH18" s="16">
        <v>20105</v>
      </c>
      <c r="AI18" s="16">
        <v>0</v>
      </c>
      <c r="AJ18" s="16">
        <v>1591</v>
      </c>
      <c r="AK18" s="16">
        <v>0</v>
      </c>
      <c r="AL18" s="16">
        <v>53093</v>
      </c>
      <c r="AM18" s="16">
        <v>45000</v>
      </c>
      <c r="AN18" s="16">
        <v>45674</v>
      </c>
      <c r="AO18" s="16">
        <v>0</v>
      </c>
      <c r="AP18" s="16">
        <v>0</v>
      </c>
      <c r="AQ18" s="16">
        <v>0</v>
      </c>
      <c r="AR18" s="16">
        <v>182054</v>
      </c>
      <c r="AS18" s="16">
        <v>10600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f>114611-143</f>
        <v>114468</v>
      </c>
      <c r="BA18" s="16">
        <f t="shared" ref="BA18:BA33" si="30">SUM(BB18+BF18+BI18+BK18+BM18)</f>
        <v>24538</v>
      </c>
      <c r="BB18" s="16">
        <f t="shared" ref="BB18:BB33" si="31">SUM(BC18:BE18)</f>
        <v>0</v>
      </c>
      <c r="BC18" s="16">
        <v>0</v>
      </c>
      <c r="BD18" s="16">
        <v>0</v>
      </c>
      <c r="BE18" s="16">
        <v>0</v>
      </c>
      <c r="BF18" s="16">
        <f t="shared" si="9"/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f t="shared" si="10"/>
        <v>0</v>
      </c>
      <c r="BL18" s="16">
        <v>0</v>
      </c>
      <c r="BM18" s="16">
        <f t="shared" si="11"/>
        <v>24538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24538</v>
      </c>
      <c r="BX18" s="16">
        <v>0</v>
      </c>
      <c r="BY18" s="16">
        <f t="shared" ref="BY18:BY33" si="32">SUM(BZ18+CS18)</f>
        <v>209512</v>
      </c>
      <c r="BZ18" s="16">
        <f t="shared" ref="BZ18:BZ33" si="33">SUM(CA18+CD18+CK18)</f>
        <v>209512</v>
      </c>
      <c r="CA18" s="16">
        <f t="shared" si="12"/>
        <v>209512</v>
      </c>
      <c r="CB18" s="16">
        <v>0</v>
      </c>
      <c r="CC18" s="16">
        <f>212373-2861</f>
        <v>209512</v>
      </c>
      <c r="CD18" s="16">
        <f t="shared" si="13"/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f t="shared" si="14"/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f t="shared" si="15"/>
        <v>0</v>
      </c>
      <c r="CU18" s="16">
        <f t="shared" si="16"/>
        <v>0</v>
      </c>
      <c r="CV18" s="16">
        <v>0</v>
      </c>
      <c r="CW18" s="17">
        <v>0</v>
      </c>
      <c r="CX18" s="40"/>
    </row>
    <row r="19" spans="1:102" ht="31.5" hidden="1" x14ac:dyDescent="0.25">
      <c r="A19" s="13" t="s">
        <v>1</v>
      </c>
      <c r="B19" s="14" t="s">
        <v>1</v>
      </c>
      <c r="C19" s="14" t="s">
        <v>19</v>
      </c>
      <c r="D19" s="30" t="s">
        <v>20</v>
      </c>
      <c r="E19" s="15">
        <f t="shared" si="25"/>
        <v>5914007</v>
      </c>
      <c r="F19" s="16">
        <f t="shared" si="26"/>
        <v>5831189</v>
      </c>
      <c r="G19" s="16">
        <f t="shared" si="27"/>
        <v>5823904</v>
      </c>
      <c r="H19" s="16">
        <v>4140900</v>
      </c>
      <c r="I19" s="16">
        <v>1035760</v>
      </c>
      <c r="J19" s="16">
        <f t="shared" si="7"/>
        <v>176297</v>
      </c>
      <c r="K19" s="16">
        <v>0</v>
      </c>
      <c r="L19" s="16">
        <v>0</v>
      </c>
      <c r="M19" s="16">
        <v>0</v>
      </c>
      <c r="N19" s="16">
        <v>0</v>
      </c>
      <c r="O19" s="16">
        <v>124124</v>
      </c>
      <c r="P19" s="16">
        <f>52173</f>
        <v>52173</v>
      </c>
      <c r="Q19" s="16">
        <f t="shared" si="8"/>
        <v>45926</v>
      </c>
      <c r="R19" s="16">
        <v>0</v>
      </c>
      <c r="S19" s="16">
        <v>45926</v>
      </c>
      <c r="T19" s="16">
        <v>0</v>
      </c>
      <c r="U19" s="16">
        <v>144803</v>
      </c>
      <c r="V19" s="16">
        <f t="shared" si="28"/>
        <v>23778</v>
      </c>
      <c r="W19" s="16">
        <v>0</v>
      </c>
      <c r="X19" s="16">
        <v>10648</v>
      </c>
      <c r="Y19" s="16">
        <v>9433</v>
      </c>
      <c r="Z19" s="16">
        <v>1338</v>
      </c>
      <c r="AA19" s="16">
        <v>2359</v>
      </c>
      <c r="AB19" s="16">
        <v>0</v>
      </c>
      <c r="AC19" s="16">
        <v>0</v>
      </c>
      <c r="AD19" s="16">
        <v>0</v>
      </c>
      <c r="AE19" s="16">
        <f t="shared" si="29"/>
        <v>256440</v>
      </c>
      <c r="AF19" s="16">
        <v>0</v>
      </c>
      <c r="AG19" s="16">
        <v>1877</v>
      </c>
      <c r="AH19" s="16">
        <v>4919</v>
      </c>
      <c r="AI19" s="16">
        <v>0</v>
      </c>
      <c r="AJ19" s="16">
        <v>9925</v>
      </c>
      <c r="AK19" s="16">
        <v>0</v>
      </c>
      <c r="AL19" s="16">
        <v>41409</v>
      </c>
      <c r="AM19" s="16">
        <v>11782</v>
      </c>
      <c r="AN19" s="16">
        <v>14550</v>
      </c>
      <c r="AO19" s="16">
        <v>113362</v>
      </c>
      <c r="AP19" s="16"/>
      <c r="AQ19" s="16">
        <v>0</v>
      </c>
      <c r="AR19" s="16">
        <v>30733</v>
      </c>
      <c r="AS19" s="16">
        <v>24000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/>
      <c r="AZ19" s="16">
        <f>3883</f>
        <v>3883</v>
      </c>
      <c r="BA19" s="16">
        <f t="shared" si="30"/>
        <v>7285</v>
      </c>
      <c r="BB19" s="16">
        <f t="shared" si="31"/>
        <v>0</v>
      </c>
      <c r="BC19" s="16">
        <v>0</v>
      </c>
      <c r="BD19" s="16">
        <v>0</v>
      </c>
      <c r="BE19" s="16">
        <v>0</v>
      </c>
      <c r="BF19" s="16">
        <f t="shared" si="9"/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f t="shared" si="10"/>
        <v>0</v>
      </c>
      <c r="BL19" s="16">
        <v>0</v>
      </c>
      <c r="BM19" s="16">
        <f t="shared" si="11"/>
        <v>7285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7285</v>
      </c>
      <c r="BX19" s="16">
        <v>0</v>
      </c>
      <c r="BY19" s="16">
        <f t="shared" si="32"/>
        <v>82818</v>
      </c>
      <c r="BZ19" s="16">
        <f t="shared" si="33"/>
        <v>82818</v>
      </c>
      <c r="CA19" s="16">
        <f t="shared" si="12"/>
        <v>82818</v>
      </c>
      <c r="CB19" s="16">
        <v>0</v>
      </c>
      <c r="CC19" s="16">
        <f>82818</f>
        <v>82818</v>
      </c>
      <c r="CD19" s="16">
        <f t="shared" si="13"/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f t="shared" si="14"/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/>
      <c r="CR19" s="16"/>
      <c r="CS19" s="16">
        <v>0</v>
      </c>
      <c r="CT19" s="16">
        <f t="shared" si="15"/>
        <v>0</v>
      </c>
      <c r="CU19" s="16">
        <f t="shared" si="16"/>
        <v>0</v>
      </c>
      <c r="CV19" s="16">
        <v>0</v>
      </c>
      <c r="CW19" s="17">
        <v>0</v>
      </c>
      <c r="CX19" s="40"/>
    </row>
    <row r="20" spans="1:102" ht="18" hidden="1" customHeight="1" x14ac:dyDescent="0.25">
      <c r="A20" s="13" t="s">
        <v>1</v>
      </c>
      <c r="B20" s="14" t="s">
        <v>1</v>
      </c>
      <c r="C20" s="14" t="s">
        <v>21</v>
      </c>
      <c r="D20" s="30" t="s">
        <v>22</v>
      </c>
      <c r="E20" s="15">
        <f t="shared" si="25"/>
        <v>7359591</v>
      </c>
      <c r="F20" s="16">
        <f t="shared" si="26"/>
        <v>7109591</v>
      </c>
      <c r="G20" s="16">
        <f t="shared" si="27"/>
        <v>7103840</v>
      </c>
      <c r="H20" s="16">
        <f>5294006+10000</f>
        <v>5304006</v>
      </c>
      <c r="I20" s="16">
        <v>1256226</v>
      </c>
      <c r="J20" s="16">
        <f t="shared" si="7"/>
        <v>74654</v>
      </c>
      <c r="K20" s="16">
        <v>0</v>
      </c>
      <c r="L20" s="16">
        <v>0</v>
      </c>
      <c r="M20" s="16">
        <v>0</v>
      </c>
      <c r="N20" s="16">
        <v>0</v>
      </c>
      <c r="O20" s="16">
        <v>68809</v>
      </c>
      <c r="P20" s="16">
        <v>5845</v>
      </c>
      <c r="Q20" s="16">
        <f t="shared" si="8"/>
        <v>31830</v>
      </c>
      <c r="R20" s="16">
        <v>0</v>
      </c>
      <c r="S20" s="16">
        <v>31830</v>
      </c>
      <c r="T20" s="16">
        <v>0</v>
      </c>
      <c r="U20" s="16">
        <v>110689</v>
      </c>
      <c r="V20" s="16">
        <f t="shared" si="28"/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f t="shared" si="29"/>
        <v>326435</v>
      </c>
      <c r="AF20" s="16">
        <v>0</v>
      </c>
      <c r="AG20" s="16">
        <v>0</v>
      </c>
      <c r="AH20" s="16">
        <v>11428</v>
      </c>
      <c r="AI20" s="16">
        <v>0</v>
      </c>
      <c r="AJ20" s="16">
        <v>1591</v>
      </c>
      <c r="AK20" s="16">
        <v>0</v>
      </c>
      <c r="AL20" s="16">
        <v>52940</v>
      </c>
      <c r="AM20" s="16">
        <v>0</v>
      </c>
      <c r="AN20" s="16">
        <v>10476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250000</v>
      </c>
      <c r="BA20" s="16">
        <f t="shared" si="30"/>
        <v>5751</v>
      </c>
      <c r="BB20" s="16">
        <f t="shared" si="31"/>
        <v>0</v>
      </c>
      <c r="BC20" s="16">
        <v>0</v>
      </c>
      <c r="BD20" s="16">
        <v>0</v>
      </c>
      <c r="BE20" s="16">
        <v>0</v>
      </c>
      <c r="BF20" s="16">
        <f t="shared" si="9"/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f t="shared" si="10"/>
        <v>0</v>
      </c>
      <c r="BL20" s="16">
        <v>0</v>
      </c>
      <c r="BM20" s="16">
        <f t="shared" si="11"/>
        <v>5751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5751</v>
      </c>
      <c r="BX20" s="16">
        <v>0</v>
      </c>
      <c r="BY20" s="16">
        <f t="shared" si="32"/>
        <v>250000</v>
      </c>
      <c r="BZ20" s="16">
        <f t="shared" si="33"/>
        <v>250000</v>
      </c>
      <c r="CA20" s="16">
        <f t="shared" si="12"/>
        <v>250000</v>
      </c>
      <c r="CB20" s="16">
        <v>0</v>
      </c>
      <c r="CC20" s="16">
        <v>250000</v>
      </c>
      <c r="CD20" s="16">
        <f t="shared" si="13"/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f t="shared" si="14"/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f t="shared" si="15"/>
        <v>0</v>
      </c>
      <c r="CU20" s="16">
        <f t="shared" si="16"/>
        <v>0</v>
      </c>
      <c r="CV20" s="16">
        <v>0</v>
      </c>
      <c r="CW20" s="17">
        <v>0</v>
      </c>
      <c r="CX20" s="40"/>
    </row>
    <row r="21" spans="1:102" ht="15.75" hidden="1" x14ac:dyDescent="0.25">
      <c r="A21" s="13" t="s">
        <v>1</v>
      </c>
      <c r="B21" s="14" t="s">
        <v>1</v>
      </c>
      <c r="C21" s="14" t="s">
        <v>23</v>
      </c>
      <c r="D21" s="30" t="s">
        <v>24</v>
      </c>
      <c r="E21" s="15">
        <f t="shared" si="25"/>
        <v>4572204</v>
      </c>
      <c r="F21" s="16">
        <f t="shared" si="26"/>
        <v>4513793</v>
      </c>
      <c r="G21" s="16">
        <f t="shared" si="27"/>
        <v>4509959</v>
      </c>
      <c r="H21" s="16">
        <f>2920544-29959+349824</f>
        <v>3240409</v>
      </c>
      <c r="I21" s="16">
        <f>696986-7106+82971</f>
        <v>772851</v>
      </c>
      <c r="J21" s="16">
        <f t="shared" si="7"/>
        <v>138022</v>
      </c>
      <c r="K21" s="16">
        <v>0</v>
      </c>
      <c r="L21" s="16">
        <v>0</v>
      </c>
      <c r="M21" s="16">
        <v>0</v>
      </c>
      <c r="N21" s="16">
        <v>0</v>
      </c>
      <c r="O21" s="16">
        <f>117440+10218</f>
        <v>127658</v>
      </c>
      <c r="P21" s="16">
        <v>10364</v>
      </c>
      <c r="Q21" s="16">
        <f t="shared" si="8"/>
        <v>50232</v>
      </c>
      <c r="R21" s="16">
        <v>0</v>
      </c>
      <c r="S21" s="16">
        <v>50232</v>
      </c>
      <c r="T21" s="16">
        <v>0</v>
      </c>
      <c r="U21" s="16">
        <f>55073+121700</f>
        <v>176773</v>
      </c>
      <c r="V21" s="16">
        <f t="shared" si="28"/>
        <v>67616</v>
      </c>
      <c r="W21" s="16">
        <v>0</v>
      </c>
      <c r="X21" s="16">
        <v>48800</v>
      </c>
      <c r="Y21" s="16">
        <v>13507</v>
      </c>
      <c r="Z21" s="16">
        <v>2048</v>
      </c>
      <c r="AA21" s="16">
        <v>3261</v>
      </c>
      <c r="AB21" s="16">
        <v>0</v>
      </c>
      <c r="AC21" s="16">
        <v>0</v>
      </c>
      <c r="AD21" s="16">
        <v>0</v>
      </c>
      <c r="AE21" s="16">
        <f t="shared" si="29"/>
        <v>64056</v>
      </c>
      <c r="AF21" s="16">
        <v>0</v>
      </c>
      <c r="AG21" s="16">
        <v>690</v>
      </c>
      <c r="AH21" s="16">
        <v>8680</v>
      </c>
      <c r="AI21" s="16">
        <v>0</v>
      </c>
      <c r="AJ21" s="16">
        <v>1591</v>
      </c>
      <c r="AK21" s="16">
        <v>0</v>
      </c>
      <c r="AL21" s="16">
        <f>29205-29205</f>
        <v>0</v>
      </c>
      <c r="AM21" s="16">
        <v>0</v>
      </c>
      <c r="AN21" s="16">
        <v>13386</v>
      </c>
      <c r="AO21" s="16">
        <v>0</v>
      </c>
      <c r="AP21" s="16">
        <v>0</v>
      </c>
      <c r="AQ21" s="16">
        <v>0</v>
      </c>
      <c r="AR21" s="16">
        <f>0+18617</f>
        <v>18617</v>
      </c>
      <c r="AS21" s="16">
        <f>0+18987</f>
        <v>18987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2105</v>
      </c>
      <c r="BA21" s="16">
        <f t="shared" si="30"/>
        <v>3834</v>
      </c>
      <c r="BB21" s="16">
        <f t="shared" si="31"/>
        <v>0</v>
      </c>
      <c r="BC21" s="16">
        <v>0</v>
      </c>
      <c r="BD21" s="16">
        <v>0</v>
      </c>
      <c r="BE21" s="16">
        <v>0</v>
      </c>
      <c r="BF21" s="16">
        <f t="shared" si="9"/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f t="shared" si="10"/>
        <v>0</v>
      </c>
      <c r="BL21" s="16">
        <v>0</v>
      </c>
      <c r="BM21" s="16">
        <f t="shared" si="11"/>
        <v>3834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3834</v>
      </c>
      <c r="BX21" s="16">
        <v>0</v>
      </c>
      <c r="BY21" s="16">
        <f t="shared" si="32"/>
        <v>58411</v>
      </c>
      <c r="BZ21" s="16">
        <f t="shared" si="33"/>
        <v>58411</v>
      </c>
      <c r="CA21" s="16">
        <f t="shared" si="12"/>
        <v>58411</v>
      </c>
      <c r="CB21" s="16">
        <v>0</v>
      </c>
      <c r="CC21" s="16">
        <v>58411</v>
      </c>
      <c r="CD21" s="16">
        <f t="shared" si="13"/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16">
        <f t="shared" si="14"/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6">
        <v>0</v>
      </c>
      <c r="CT21" s="16">
        <f t="shared" si="15"/>
        <v>0</v>
      </c>
      <c r="CU21" s="16">
        <f t="shared" si="16"/>
        <v>0</v>
      </c>
      <c r="CV21" s="16">
        <v>0</v>
      </c>
      <c r="CW21" s="17">
        <v>0</v>
      </c>
      <c r="CX21" s="40"/>
    </row>
    <row r="22" spans="1:102" ht="15.75" hidden="1" x14ac:dyDescent="0.25">
      <c r="A22" s="13" t="s">
        <v>1</v>
      </c>
      <c r="B22" s="14" t="s">
        <v>1</v>
      </c>
      <c r="C22" s="14" t="s">
        <v>25</v>
      </c>
      <c r="D22" s="30" t="s">
        <v>26</v>
      </c>
      <c r="E22" s="15">
        <f t="shared" si="25"/>
        <v>5063393</v>
      </c>
      <c r="F22" s="16">
        <f t="shared" si="26"/>
        <v>4983536</v>
      </c>
      <c r="G22" s="16">
        <f t="shared" si="27"/>
        <v>4976251</v>
      </c>
      <c r="H22" s="16">
        <v>3634112</v>
      </c>
      <c r="I22" s="16">
        <v>746860</v>
      </c>
      <c r="J22" s="16">
        <f t="shared" si="7"/>
        <v>250153</v>
      </c>
      <c r="K22" s="16">
        <v>0</v>
      </c>
      <c r="L22" s="16">
        <v>18838</v>
      </c>
      <c r="M22" s="16">
        <v>0</v>
      </c>
      <c r="N22" s="16">
        <v>0</v>
      </c>
      <c r="O22" s="16">
        <v>177504</v>
      </c>
      <c r="P22" s="16">
        <v>53811</v>
      </c>
      <c r="Q22" s="16">
        <f t="shared" si="8"/>
        <v>9295</v>
      </c>
      <c r="R22" s="16">
        <v>0</v>
      </c>
      <c r="S22" s="16">
        <v>9295</v>
      </c>
      <c r="T22" s="16">
        <v>0</v>
      </c>
      <c r="U22" s="16">
        <v>178501</v>
      </c>
      <c r="V22" s="16">
        <f t="shared" si="28"/>
        <v>46577</v>
      </c>
      <c r="W22" s="16">
        <v>6178</v>
      </c>
      <c r="X22" s="16">
        <v>11405</v>
      </c>
      <c r="Y22" s="16">
        <v>20174</v>
      </c>
      <c r="Z22" s="16">
        <v>4074</v>
      </c>
      <c r="AA22" s="16">
        <v>2508</v>
      </c>
      <c r="AB22" s="16">
        <v>0</v>
      </c>
      <c r="AC22" s="16">
        <v>0</v>
      </c>
      <c r="AD22" s="16">
        <v>2238</v>
      </c>
      <c r="AE22" s="16">
        <f t="shared" si="29"/>
        <v>110753</v>
      </c>
      <c r="AF22" s="16">
        <v>0</v>
      </c>
      <c r="AG22" s="16">
        <v>7411</v>
      </c>
      <c r="AH22" s="16">
        <v>13849</v>
      </c>
      <c r="AI22" s="16">
        <v>0</v>
      </c>
      <c r="AJ22" s="16">
        <v>1591</v>
      </c>
      <c r="AK22" s="16">
        <v>0</v>
      </c>
      <c r="AL22" s="16">
        <v>39929</v>
      </c>
      <c r="AM22" s="16">
        <v>5405</v>
      </c>
      <c r="AN22" s="16">
        <v>25026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17542</v>
      </c>
      <c r="BA22" s="16">
        <f t="shared" si="30"/>
        <v>7285</v>
      </c>
      <c r="BB22" s="16">
        <f t="shared" si="31"/>
        <v>0</v>
      </c>
      <c r="BC22" s="16">
        <v>0</v>
      </c>
      <c r="BD22" s="16">
        <v>0</v>
      </c>
      <c r="BE22" s="16">
        <v>0</v>
      </c>
      <c r="BF22" s="16">
        <f t="shared" si="9"/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f t="shared" si="10"/>
        <v>0</v>
      </c>
      <c r="BL22" s="16">
        <v>0</v>
      </c>
      <c r="BM22" s="16">
        <f t="shared" si="11"/>
        <v>7285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7285</v>
      </c>
      <c r="BX22" s="16">
        <v>0</v>
      </c>
      <c r="BY22" s="16">
        <f t="shared" si="32"/>
        <v>79857</v>
      </c>
      <c r="BZ22" s="16">
        <f t="shared" si="33"/>
        <v>79857</v>
      </c>
      <c r="CA22" s="16">
        <f t="shared" si="12"/>
        <v>79857</v>
      </c>
      <c r="CB22" s="16">
        <v>0</v>
      </c>
      <c r="CC22" s="16">
        <v>79857</v>
      </c>
      <c r="CD22" s="16">
        <f t="shared" si="13"/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f t="shared" si="14"/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f t="shared" si="15"/>
        <v>0</v>
      </c>
      <c r="CU22" s="16">
        <f t="shared" si="16"/>
        <v>0</v>
      </c>
      <c r="CV22" s="16">
        <v>0</v>
      </c>
      <c r="CW22" s="17">
        <v>0</v>
      </c>
      <c r="CX22" s="40"/>
    </row>
    <row r="23" spans="1:102" ht="21.75" hidden="1" customHeight="1" x14ac:dyDescent="0.25">
      <c r="A23" s="13" t="s">
        <v>1</v>
      </c>
      <c r="B23" s="14" t="s">
        <v>1</v>
      </c>
      <c r="C23" s="14" t="s">
        <v>27</v>
      </c>
      <c r="D23" s="30" t="s">
        <v>28</v>
      </c>
      <c r="E23" s="15">
        <f t="shared" si="25"/>
        <v>6700861</v>
      </c>
      <c r="F23" s="16">
        <f t="shared" si="26"/>
        <v>6626590</v>
      </c>
      <c r="G23" s="16">
        <f t="shared" si="27"/>
        <v>6365065</v>
      </c>
      <c r="H23" s="16">
        <v>3929040</v>
      </c>
      <c r="I23" s="16">
        <v>954496</v>
      </c>
      <c r="J23" s="16">
        <f t="shared" si="7"/>
        <v>246562</v>
      </c>
      <c r="K23" s="16">
        <v>0</v>
      </c>
      <c r="L23" s="16">
        <v>3836</v>
      </c>
      <c r="M23" s="16">
        <v>0</v>
      </c>
      <c r="N23" s="16">
        <v>0</v>
      </c>
      <c r="O23" s="16">
        <v>206852</v>
      </c>
      <c r="P23" s="16">
        <v>35874</v>
      </c>
      <c r="Q23" s="16">
        <f t="shared" si="8"/>
        <v>649674</v>
      </c>
      <c r="R23" s="16">
        <v>0</v>
      </c>
      <c r="S23" s="16">
        <v>649674</v>
      </c>
      <c r="T23" s="16">
        <v>0</v>
      </c>
      <c r="U23" s="16">
        <v>132675</v>
      </c>
      <c r="V23" s="16">
        <f t="shared" si="28"/>
        <v>64255</v>
      </c>
      <c r="W23" s="16">
        <v>43045</v>
      </c>
      <c r="X23" s="16">
        <v>0</v>
      </c>
      <c r="Y23" s="16">
        <v>11866</v>
      </c>
      <c r="Z23" s="16">
        <v>1603</v>
      </c>
      <c r="AA23" s="16">
        <v>4786</v>
      </c>
      <c r="AB23" s="16">
        <v>0</v>
      </c>
      <c r="AC23" s="16">
        <v>0</v>
      </c>
      <c r="AD23" s="16">
        <v>2955</v>
      </c>
      <c r="AE23" s="16">
        <f t="shared" si="29"/>
        <v>388363</v>
      </c>
      <c r="AF23" s="16">
        <v>0</v>
      </c>
      <c r="AG23" s="16">
        <v>4077</v>
      </c>
      <c r="AH23" s="16">
        <v>9036</v>
      </c>
      <c r="AI23" s="16">
        <v>0</v>
      </c>
      <c r="AJ23" s="16">
        <v>1625</v>
      </c>
      <c r="AK23" s="16">
        <v>0</v>
      </c>
      <c r="AL23" s="16">
        <v>39290</v>
      </c>
      <c r="AM23" s="16">
        <v>112000</v>
      </c>
      <c r="AN23" s="16">
        <v>191752</v>
      </c>
      <c r="AO23" s="16">
        <v>0</v>
      </c>
      <c r="AP23" s="16">
        <v>0</v>
      </c>
      <c r="AQ23" s="16">
        <v>0</v>
      </c>
      <c r="AR23" s="16">
        <v>8910</v>
      </c>
      <c r="AS23" s="16">
        <v>2220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19453</v>
      </c>
      <c r="BA23" s="16">
        <f t="shared" si="30"/>
        <v>261525</v>
      </c>
      <c r="BB23" s="16">
        <f t="shared" si="31"/>
        <v>0</v>
      </c>
      <c r="BC23" s="16">
        <v>0</v>
      </c>
      <c r="BD23" s="16">
        <v>0</v>
      </c>
      <c r="BE23" s="16">
        <v>0</v>
      </c>
      <c r="BF23" s="16">
        <f t="shared" si="9"/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f t="shared" si="10"/>
        <v>0</v>
      </c>
      <c r="BL23" s="16">
        <v>0</v>
      </c>
      <c r="BM23" s="16">
        <f t="shared" si="11"/>
        <v>261525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261525</v>
      </c>
      <c r="BX23" s="16">
        <v>0</v>
      </c>
      <c r="BY23" s="16">
        <f t="shared" si="32"/>
        <v>74271</v>
      </c>
      <c r="BZ23" s="16">
        <f t="shared" si="33"/>
        <v>74271</v>
      </c>
      <c r="CA23" s="16">
        <f t="shared" si="12"/>
        <v>74271</v>
      </c>
      <c r="CB23" s="16">
        <v>0</v>
      </c>
      <c r="CC23" s="16">
        <v>74271</v>
      </c>
      <c r="CD23" s="16">
        <f t="shared" si="13"/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f t="shared" si="14"/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6">
        <v>0</v>
      </c>
      <c r="CT23" s="16">
        <f t="shared" si="15"/>
        <v>0</v>
      </c>
      <c r="CU23" s="16">
        <f t="shared" si="16"/>
        <v>0</v>
      </c>
      <c r="CV23" s="16">
        <v>0</v>
      </c>
      <c r="CW23" s="17">
        <v>0</v>
      </c>
      <c r="CX23" s="40"/>
    </row>
    <row r="24" spans="1:102" ht="31.5" hidden="1" x14ac:dyDescent="0.25">
      <c r="A24" s="13" t="s">
        <v>1</v>
      </c>
      <c r="B24" s="14" t="s">
        <v>1</v>
      </c>
      <c r="C24" s="14" t="s">
        <v>29</v>
      </c>
      <c r="D24" s="30" t="s">
        <v>30</v>
      </c>
      <c r="E24" s="15">
        <f t="shared" si="25"/>
        <v>8908972</v>
      </c>
      <c r="F24" s="16">
        <f t="shared" si="26"/>
        <v>8780110</v>
      </c>
      <c r="G24" s="16">
        <f t="shared" si="27"/>
        <v>8772825</v>
      </c>
      <c r="H24" s="16">
        <v>6443099</v>
      </c>
      <c r="I24" s="16">
        <v>1537621</v>
      </c>
      <c r="J24" s="16">
        <f t="shared" si="7"/>
        <v>433608</v>
      </c>
      <c r="K24" s="16">
        <v>0</v>
      </c>
      <c r="L24" s="16">
        <v>0</v>
      </c>
      <c r="M24" s="16">
        <v>0</v>
      </c>
      <c r="N24" s="16">
        <v>0</v>
      </c>
      <c r="O24" s="16">
        <v>293511</v>
      </c>
      <c r="P24" s="16">
        <v>140097</v>
      </c>
      <c r="Q24" s="16">
        <f t="shared" si="8"/>
        <v>93575</v>
      </c>
      <c r="R24" s="16">
        <v>752</v>
      </c>
      <c r="S24" s="16">
        <v>92823</v>
      </c>
      <c r="T24" s="16">
        <v>0</v>
      </c>
      <c r="U24" s="16">
        <v>49950</v>
      </c>
      <c r="V24" s="16">
        <f t="shared" si="28"/>
        <v>93832</v>
      </c>
      <c r="W24" s="16">
        <v>0</v>
      </c>
      <c r="X24" s="16">
        <v>62908</v>
      </c>
      <c r="Y24" s="16">
        <v>20212</v>
      </c>
      <c r="Z24" s="16">
        <v>4190</v>
      </c>
      <c r="AA24" s="16">
        <v>6522</v>
      </c>
      <c r="AB24" s="16">
        <v>0</v>
      </c>
      <c r="AC24" s="16">
        <v>0</v>
      </c>
      <c r="AD24" s="16">
        <v>0</v>
      </c>
      <c r="AE24" s="16">
        <f t="shared" si="29"/>
        <v>121140</v>
      </c>
      <c r="AF24" s="16">
        <v>0</v>
      </c>
      <c r="AG24" s="16">
        <v>20000</v>
      </c>
      <c r="AH24" s="16">
        <v>17568</v>
      </c>
      <c r="AI24" s="16">
        <v>0</v>
      </c>
      <c r="AJ24" s="16">
        <v>1591</v>
      </c>
      <c r="AK24" s="16">
        <v>0</v>
      </c>
      <c r="AL24" s="16">
        <v>64431</v>
      </c>
      <c r="AM24" s="16">
        <v>0</v>
      </c>
      <c r="AN24" s="16">
        <v>14550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3000</v>
      </c>
      <c r="BA24" s="16">
        <f t="shared" si="30"/>
        <v>7285</v>
      </c>
      <c r="BB24" s="16">
        <f t="shared" si="31"/>
        <v>0</v>
      </c>
      <c r="BC24" s="16">
        <v>0</v>
      </c>
      <c r="BD24" s="16">
        <v>0</v>
      </c>
      <c r="BE24" s="16">
        <v>0</v>
      </c>
      <c r="BF24" s="16">
        <f t="shared" si="9"/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f t="shared" si="10"/>
        <v>0</v>
      </c>
      <c r="BL24" s="16">
        <v>0</v>
      </c>
      <c r="BM24" s="16">
        <f t="shared" si="11"/>
        <v>7285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7285</v>
      </c>
      <c r="BX24" s="16">
        <v>0</v>
      </c>
      <c r="BY24" s="16">
        <f t="shared" si="32"/>
        <v>128862</v>
      </c>
      <c r="BZ24" s="16">
        <f t="shared" si="33"/>
        <v>128862</v>
      </c>
      <c r="CA24" s="16">
        <f t="shared" si="12"/>
        <v>128862</v>
      </c>
      <c r="CB24" s="16">
        <v>0</v>
      </c>
      <c r="CC24" s="16">
        <v>128862</v>
      </c>
      <c r="CD24" s="16">
        <f t="shared" si="13"/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f t="shared" si="14"/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f t="shared" si="15"/>
        <v>0</v>
      </c>
      <c r="CU24" s="16">
        <f t="shared" si="16"/>
        <v>0</v>
      </c>
      <c r="CV24" s="16">
        <v>0</v>
      </c>
      <c r="CW24" s="17">
        <v>0</v>
      </c>
      <c r="CX24" s="40"/>
    </row>
    <row r="25" spans="1:102" ht="15.75" hidden="1" x14ac:dyDescent="0.25">
      <c r="A25" s="13" t="s">
        <v>1</v>
      </c>
      <c r="B25" s="14" t="s">
        <v>1</v>
      </c>
      <c r="C25" s="14" t="s">
        <v>31</v>
      </c>
      <c r="D25" s="30" t="s">
        <v>32</v>
      </c>
      <c r="E25" s="15">
        <f t="shared" si="25"/>
        <v>1176958</v>
      </c>
      <c r="F25" s="16">
        <f t="shared" si="26"/>
        <v>1158528</v>
      </c>
      <c r="G25" s="16">
        <f t="shared" si="27"/>
        <v>1153927</v>
      </c>
      <c r="H25" s="16">
        <v>862618</v>
      </c>
      <c r="I25" s="16">
        <v>203349</v>
      </c>
      <c r="J25" s="16">
        <f t="shared" si="7"/>
        <v>45964</v>
      </c>
      <c r="K25" s="16">
        <v>0</v>
      </c>
      <c r="L25" s="16">
        <v>0</v>
      </c>
      <c r="M25" s="16">
        <v>0</v>
      </c>
      <c r="N25" s="16">
        <v>0</v>
      </c>
      <c r="O25" s="16">
        <v>12540</v>
      </c>
      <c r="P25" s="16">
        <v>33424</v>
      </c>
      <c r="Q25" s="16">
        <f t="shared" si="8"/>
        <v>0</v>
      </c>
      <c r="R25" s="16">
        <v>0</v>
      </c>
      <c r="S25" s="16">
        <v>0</v>
      </c>
      <c r="T25" s="16">
        <v>0</v>
      </c>
      <c r="U25" s="16">
        <v>17067</v>
      </c>
      <c r="V25" s="16">
        <f t="shared" si="28"/>
        <v>5093</v>
      </c>
      <c r="W25" s="16">
        <v>0</v>
      </c>
      <c r="X25" s="16">
        <v>2794</v>
      </c>
      <c r="Y25" s="16">
        <v>1876</v>
      </c>
      <c r="Z25" s="16">
        <v>423</v>
      </c>
      <c r="AA25" s="16">
        <v>0</v>
      </c>
      <c r="AB25" s="16">
        <v>0</v>
      </c>
      <c r="AC25" s="16">
        <v>0</v>
      </c>
      <c r="AD25" s="16">
        <v>0</v>
      </c>
      <c r="AE25" s="16">
        <f t="shared" si="29"/>
        <v>19836</v>
      </c>
      <c r="AF25" s="16">
        <v>0</v>
      </c>
      <c r="AG25" s="16">
        <v>106</v>
      </c>
      <c r="AH25" s="16">
        <v>0</v>
      </c>
      <c r="AI25" s="16">
        <v>0</v>
      </c>
      <c r="AJ25" s="16">
        <v>0</v>
      </c>
      <c r="AK25" s="16">
        <v>0</v>
      </c>
      <c r="AL25" s="16">
        <v>9215</v>
      </c>
      <c r="AM25" s="16">
        <v>0</v>
      </c>
      <c r="AN25" s="16">
        <v>9894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621</v>
      </c>
      <c r="BA25" s="16">
        <f t="shared" si="30"/>
        <v>4601</v>
      </c>
      <c r="BB25" s="16">
        <f t="shared" si="31"/>
        <v>0</v>
      </c>
      <c r="BC25" s="16">
        <v>0</v>
      </c>
      <c r="BD25" s="16">
        <v>0</v>
      </c>
      <c r="BE25" s="16">
        <v>0</v>
      </c>
      <c r="BF25" s="16">
        <f t="shared" si="9"/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f t="shared" si="10"/>
        <v>0</v>
      </c>
      <c r="BL25" s="16">
        <v>0</v>
      </c>
      <c r="BM25" s="16">
        <f t="shared" si="11"/>
        <v>4601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4601</v>
      </c>
      <c r="BX25" s="16">
        <v>0</v>
      </c>
      <c r="BY25" s="16">
        <f t="shared" si="32"/>
        <v>18430</v>
      </c>
      <c r="BZ25" s="16">
        <f t="shared" si="33"/>
        <v>18430</v>
      </c>
      <c r="CA25" s="16">
        <f t="shared" si="12"/>
        <v>18430</v>
      </c>
      <c r="CB25" s="16">
        <v>0</v>
      </c>
      <c r="CC25" s="16">
        <v>18430</v>
      </c>
      <c r="CD25" s="16">
        <f t="shared" si="13"/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f t="shared" si="14"/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f t="shared" si="15"/>
        <v>0</v>
      </c>
      <c r="CU25" s="16">
        <f t="shared" si="16"/>
        <v>0</v>
      </c>
      <c r="CV25" s="16">
        <v>0</v>
      </c>
      <c r="CW25" s="17">
        <v>0</v>
      </c>
      <c r="CX25" s="40"/>
    </row>
    <row r="26" spans="1:102" ht="31.5" hidden="1" x14ac:dyDescent="0.25">
      <c r="A26" s="13" t="s">
        <v>1</v>
      </c>
      <c r="B26" s="14" t="s">
        <v>1</v>
      </c>
      <c r="C26" s="14" t="s">
        <v>33</v>
      </c>
      <c r="D26" s="30" t="s">
        <v>494</v>
      </c>
      <c r="E26" s="15">
        <f t="shared" si="25"/>
        <v>1294426</v>
      </c>
      <c r="F26" s="16">
        <f t="shared" si="26"/>
        <v>1273347</v>
      </c>
      <c r="G26" s="16">
        <f t="shared" si="27"/>
        <v>1270663</v>
      </c>
      <c r="H26" s="16">
        <v>961267</v>
      </c>
      <c r="I26" s="16">
        <v>229237</v>
      </c>
      <c r="J26" s="16">
        <f t="shared" si="7"/>
        <v>37914</v>
      </c>
      <c r="K26" s="16">
        <v>0</v>
      </c>
      <c r="L26" s="16">
        <v>0</v>
      </c>
      <c r="M26" s="16">
        <v>0</v>
      </c>
      <c r="N26" s="16">
        <v>0</v>
      </c>
      <c r="O26" s="16">
        <v>25434</v>
      </c>
      <c r="P26" s="16">
        <v>12480</v>
      </c>
      <c r="Q26" s="16">
        <f t="shared" si="8"/>
        <v>0</v>
      </c>
      <c r="R26" s="16">
        <v>0</v>
      </c>
      <c r="S26" s="16">
        <v>0</v>
      </c>
      <c r="T26" s="16">
        <v>0</v>
      </c>
      <c r="U26" s="16">
        <v>24877</v>
      </c>
      <c r="V26" s="16">
        <f t="shared" si="28"/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f t="shared" si="29"/>
        <v>17368</v>
      </c>
      <c r="AF26" s="16">
        <v>0</v>
      </c>
      <c r="AG26" s="16">
        <v>0</v>
      </c>
      <c r="AH26" s="16">
        <v>0</v>
      </c>
      <c r="AI26" s="16">
        <v>0</v>
      </c>
      <c r="AJ26" s="16">
        <v>1591</v>
      </c>
      <c r="AK26" s="16">
        <v>0</v>
      </c>
      <c r="AL26" s="16">
        <v>10539</v>
      </c>
      <c r="AM26" s="16">
        <v>0</v>
      </c>
      <c r="AN26" s="16">
        <v>5238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f t="shared" si="30"/>
        <v>2684</v>
      </c>
      <c r="BB26" s="16">
        <f t="shared" si="31"/>
        <v>0</v>
      </c>
      <c r="BC26" s="16">
        <v>0</v>
      </c>
      <c r="BD26" s="16">
        <v>0</v>
      </c>
      <c r="BE26" s="16">
        <v>0</v>
      </c>
      <c r="BF26" s="16">
        <f t="shared" si="9"/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f t="shared" si="10"/>
        <v>0</v>
      </c>
      <c r="BL26" s="16">
        <v>0</v>
      </c>
      <c r="BM26" s="16">
        <f t="shared" si="11"/>
        <v>2684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2684</v>
      </c>
      <c r="BX26" s="16">
        <v>0</v>
      </c>
      <c r="BY26" s="16">
        <f t="shared" si="32"/>
        <v>21079</v>
      </c>
      <c r="BZ26" s="16">
        <f t="shared" si="33"/>
        <v>21079</v>
      </c>
      <c r="CA26" s="16">
        <f t="shared" si="12"/>
        <v>21079</v>
      </c>
      <c r="CB26" s="16">
        <v>0</v>
      </c>
      <c r="CC26" s="16">
        <v>21079</v>
      </c>
      <c r="CD26" s="16">
        <f t="shared" si="13"/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f t="shared" si="14"/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f t="shared" si="15"/>
        <v>0</v>
      </c>
      <c r="CU26" s="16">
        <f t="shared" si="16"/>
        <v>0</v>
      </c>
      <c r="CV26" s="16">
        <v>0</v>
      </c>
      <c r="CW26" s="17">
        <v>0</v>
      </c>
      <c r="CX26" s="40"/>
    </row>
    <row r="27" spans="1:102" ht="31.5" hidden="1" x14ac:dyDescent="0.25">
      <c r="A27" s="13" t="s">
        <v>1</v>
      </c>
      <c r="B27" s="14" t="s">
        <v>1</v>
      </c>
      <c r="C27" s="14" t="s">
        <v>34</v>
      </c>
      <c r="D27" s="30" t="s">
        <v>35</v>
      </c>
      <c r="E27" s="15">
        <f t="shared" si="25"/>
        <v>2337692</v>
      </c>
      <c r="F27" s="16">
        <f t="shared" si="26"/>
        <v>2309853</v>
      </c>
      <c r="G27" s="16">
        <f t="shared" si="27"/>
        <v>2306083</v>
      </c>
      <c r="H27" s="16">
        <v>1610574</v>
      </c>
      <c r="I27" s="16">
        <v>379734</v>
      </c>
      <c r="J27" s="16">
        <f t="shared" si="7"/>
        <v>161648</v>
      </c>
      <c r="K27" s="16">
        <v>0</v>
      </c>
      <c r="L27" s="16">
        <v>0</v>
      </c>
      <c r="M27" s="16">
        <v>0</v>
      </c>
      <c r="N27" s="16">
        <v>0</v>
      </c>
      <c r="O27" s="16">
        <v>134320</v>
      </c>
      <c r="P27" s="16">
        <v>27328</v>
      </c>
      <c r="Q27" s="16">
        <f t="shared" si="8"/>
        <v>35844</v>
      </c>
      <c r="R27" s="16">
        <v>0</v>
      </c>
      <c r="S27" s="16">
        <v>35844</v>
      </c>
      <c r="T27" s="16">
        <v>0</v>
      </c>
      <c r="U27" s="16">
        <v>41898</v>
      </c>
      <c r="V27" s="16">
        <f t="shared" si="28"/>
        <v>35579</v>
      </c>
      <c r="W27" s="16">
        <v>0</v>
      </c>
      <c r="X27" s="16">
        <v>21473</v>
      </c>
      <c r="Y27" s="16">
        <v>11824</v>
      </c>
      <c r="Z27" s="16">
        <v>1279</v>
      </c>
      <c r="AA27" s="16">
        <v>1003</v>
      </c>
      <c r="AB27" s="16">
        <v>0</v>
      </c>
      <c r="AC27" s="16">
        <v>0</v>
      </c>
      <c r="AD27" s="16">
        <v>0</v>
      </c>
      <c r="AE27" s="16">
        <f t="shared" si="29"/>
        <v>40806</v>
      </c>
      <c r="AF27" s="16">
        <v>0</v>
      </c>
      <c r="AG27" s="16">
        <v>4200</v>
      </c>
      <c r="AH27" s="16">
        <v>4235</v>
      </c>
      <c r="AI27" s="16">
        <v>0</v>
      </c>
      <c r="AJ27" s="16">
        <v>1591</v>
      </c>
      <c r="AK27" s="16">
        <v>0</v>
      </c>
      <c r="AL27" s="16">
        <v>14050</v>
      </c>
      <c r="AM27" s="16">
        <v>0</v>
      </c>
      <c r="AN27" s="16">
        <v>8730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8000</v>
      </c>
      <c r="BA27" s="16">
        <f t="shared" si="30"/>
        <v>3770</v>
      </c>
      <c r="BB27" s="16">
        <f t="shared" si="31"/>
        <v>0</v>
      </c>
      <c r="BC27" s="16">
        <v>0</v>
      </c>
      <c r="BD27" s="16">
        <v>0</v>
      </c>
      <c r="BE27" s="16">
        <v>0</v>
      </c>
      <c r="BF27" s="16">
        <f t="shared" si="9"/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f t="shared" si="10"/>
        <v>0</v>
      </c>
      <c r="BL27" s="16">
        <v>0</v>
      </c>
      <c r="BM27" s="16">
        <f t="shared" si="11"/>
        <v>3770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3770</v>
      </c>
      <c r="BX27" s="16">
        <v>0</v>
      </c>
      <c r="BY27" s="16">
        <f t="shared" si="32"/>
        <v>27839</v>
      </c>
      <c r="BZ27" s="16">
        <f t="shared" si="33"/>
        <v>27839</v>
      </c>
      <c r="CA27" s="16">
        <f t="shared" si="12"/>
        <v>27839</v>
      </c>
      <c r="CB27" s="16">
        <v>0</v>
      </c>
      <c r="CC27" s="16">
        <v>27839</v>
      </c>
      <c r="CD27" s="16">
        <f t="shared" si="13"/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f t="shared" si="14"/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f t="shared" si="15"/>
        <v>0</v>
      </c>
      <c r="CU27" s="16">
        <f t="shared" si="16"/>
        <v>0</v>
      </c>
      <c r="CV27" s="16">
        <v>0</v>
      </c>
      <c r="CW27" s="17">
        <v>0</v>
      </c>
      <c r="CX27" s="40"/>
    </row>
    <row r="28" spans="1:102" ht="15.75" hidden="1" x14ac:dyDescent="0.25">
      <c r="A28" s="13" t="s">
        <v>1</v>
      </c>
      <c r="B28" s="14" t="s">
        <v>1</v>
      </c>
      <c r="C28" s="14" t="s">
        <v>36</v>
      </c>
      <c r="D28" s="30" t="s">
        <v>37</v>
      </c>
      <c r="E28" s="15">
        <f t="shared" si="25"/>
        <v>3060309</v>
      </c>
      <c r="F28" s="16">
        <f t="shared" si="26"/>
        <v>3021855</v>
      </c>
      <c r="G28" s="16">
        <f t="shared" si="27"/>
        <v>3021855</v>
      </c>
      <c r="H28" s="16">
        <v>2051344</v>
      </c>
      <c r="I28" s="16">
        <v>484749</v>
      </c>
      <c r="J28" s="16">
        <f t="shared" si="7"/>
        <v>88857</v>
      </c>
      <c r="K28" s="16">
        <v>0</v>
      </c>
      <c r="L28" s="16">
        <v>0</v>
      </c>
      <c r="M28" s="16">
        <v>0</v>
      </c>
      <c r="N28" s="16">
        <v>0</v>
      </c>
      <c r="O28" s="16">
        <v>65936</v>
      </c>
      <c r="P28" s="16">
        <v>22921</v>
      </c>
      <c r="Q28" s="16">
        <f t="shared" si="8"/>
        <v>12361</v>
      </c>
      <c r="R28" s="16">
        <v>12361</v>
      </c>
      <c r="S28" s="16">
        <v>0</v>
      </c>
      <c r="T28" s="16">
        <v>0</v>
      </c>
      <c r="U28" s="16">
        <v>166058</v>
      </c>
      <c r="V28" s="16">
        <f t="shared" si="28"/>
        <v>52782</v>
      </c>
      <c r="W28" s="16">
        <v>0</v>
      </c>
      <c r="X28" s="16">
        <v>19249</v>
      </c>
      <c r="Y28" s="16">
        <v>27513</v>
      </c>
      <c r="Z28" s="16">
        <v>2759</v>
      </c>
      <c r="AA28" s="16">
        <v>3261</v>
      </c>
      <c r="AB28" s="16">
        <v>0</v>
      </c>
      <c r="AC28" s="16">
        <v>0</v>
      </c>
      <c r="AD28" s="16">
        <v>0</v>
      </c>
      <c r="AE28" s="16">
        <f t="shared" si="29"/>
        <v>165704</v>
      </c>
      <c r="AF28" s="16">
        <v>0</v>
      </c>
      <c r="AG28" s="16">
        <v>2211</v>
      </c>
      <c r="AH28" s="16">
        <v>6860</v>
      </c>
      <c r="AI28" s="16">
        <v>0</v>
      </c>
      <c r="AJ28" s="16">
        <v>1591</v>
      </c>
      <c r="AK28" s="16">
        <v>0</v>
      </c>
      <c r="AL28" s="16">
        <v>19227</v>
      </c>
      <c r="AM28" s="16">
        <v>0</v>
      </c>
      <c r="AN28" s="16">
        <v>16878</v>
      </c>
      <c r="AO28" s="16">
        <v>0</v>
      </c>
      <c r="AP28" s="16">
        <v>0</v>
      </c>
      <c r="AQ28" s="16">
        <v>0</v>
      </c>
      <c r="AR28" s="16">
        <v>118614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323</v>
      </c>
      <c r="BA28" s="16">
        <f t="shared" si="30"/>
        <v>0</v>
      </c>
      <c r="BB28" s="16">
        <f t="shared" si="31"/>
        <v>0</v>
      </c>
      <c r="BC28" s="16">
        <v>0</v>
      </c>
      <c r="BD28" s="16">
        <v>0</v>
      </c>
      <c r="BE28" s="16">
        <v>0</v>
      </c>
      <c r="BF28" s="16">
        <f t="shared" si="9"/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f t="shared" si="10"/>
        <v>0</v>
      </c>
      <c r="BL28" s="16">
        <v>0</v>
      </c>
      <c r="BM28" s="16">
        <f t="shared" si="11"/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f t="shared" si="32"/>
        <v>38454</v>
      </c>
      <c r="BZ28" s="16">
        <f t="shared" si="33"/>
        <v>38454</v>
      </c>
      <c r="CA28" s="16">
        <f t="shared" si="12"/>
        <v>38454</v>
      </c>
      <c r="CB28" s="16">
        <v>0</v>
      </c>
      <c r="CC28" s="16">
        <v>38454</v>
      </c>
      <c r="CD28" s="16">
        <f t="shared" si="13"/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f t="shared" si="14"/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f t="shared" si="15"/>
        <v>0</v>
      </c>
      <c r="CU28" s="16">
        <f t="shared" si="16"/>
        <v>0</v>
      </c>
      <c r="CV28" s="16">
        <v>0</v>
      </c>
      <c r="CW28" s="17">
        <v>0</v>
      </c>
      <c r="CX28" s="40"/>
    </row>
    <row r="29" spans="1:102" ht="31.5" hidden="1" x14ac:dyDescent="0.25">
      <c r="A29" s="13" t="s">
        <v>1</v>
      </c>
      <c r="B29" s="14" t="s">
        <v>1</v>
      </c>
      <c r="C29" s="14" t="s">
        <v>38</v>
      </c>
      <c r="D29" s="30" t="s">
        <v>495</v>
      </c>
      <c r="E29" s="15">
        <f t="shared" si="25"/>
        <v>1919208</v>
      </c>
      <c r="F29" s="16">
        <f t="shared" si="26"/>
        <v>1890541</v>
      </c>
      <c r="G29" s="16">
        <f t="shared" si="27"/>
        <v>1885940</v>
      </c>
      <c r="H29" s="16">
        <v>1354535</v>
      </c>
      <c r="I29" s="16">
        <v>325500</v>
      </c>
      <c r="J29" s="16">
        <f t="shared" si="7"/>
        <v>40264</v>
      </c>
      <c r="K29" s="16">
        <v>0</v>
      </c>
      <c r="L29" s="16">
        <v>0</v>
      </c>
      <c r="M29" s="16">
        <v>0</v>
      </c>
      <c r="N29" s="16">
        <v>0</v>
      </c>
      <c r="O29" s="16">
        <v>26957</v>
      </c>
      <c r="P29" s="16">
        <v>13307</v>
      </c>
      <c r="Q29" s="16">
        <f t="shared" si="8"/>
        <v>12870</v>
      </c>
      <c r="R29" s="16">
        <v>0</v>
      </c>
      <c r="S29" s="16">
        <v>12870</v>
      </c>
      <c r="T29" s="16">
        <v>0</v>
      </c>
      <c r="U29" s="16">
        <v>25798</v>
      </c>
      <c r="V29" s="16">
        <f t="shared" si="28"/>
        <v>19311</v>
      </c>
      <c r="W29" s="16">
        <v>0</v>
      </c>
      <c r="X29" s="16">
        <v>10871</v>
      </c>
      <c r="Y29" s="16">
        <v>3599</v>
      </c>
      <c r="Z29" s="16">
        <v>1065</v>
      </c>
      <c r="AA29" s="16">
        <v>3776</v>
      </c>
      <c r="AB29" s="16">
        <v>0</v>
      </c>
      <c r="AC29" s="16">
        <v>0</v>
      </c>
      <c r="AD29" s="16">
        <v>0</v>
      </c>
      <c r="AE29" s="16">
        <f t="shared" si="29"/>
        <v>107662</v>
      </c>
      <c r="AF29" s="16">
        <v>0</v>
      </c>
      <c r="AG29" s="16">
        <v>2218</v>
      </c>
      <c r="AH29" s="16">
        <v>5147</v>
      </c>
      <c r="AI29" s="16">
        <v>0</v>
      </c>
      <c r="AJ29" s="16">
        <v>1591</v>
      </c>
      <c r="AK29" s="16">
        <v>0</v>
      </c>
      <c r="AL29" s="16">
        <v>14334</v>
      </c>
      <c r="AM29" s="16">
        <v>0</v>
      </c>
      <c r="AN29" s="16">
        <v>8730</v>
      </c>
      <c r="AO29" s="16">
        <v>0</v>
      </c>
      <c r="AP29" s="16">
        <v>0</v>
      </c>
      <c r="AQ29" s="16">
        <v>0</v>
      </c>
      <c r="AR29" s="16">
        <v>75642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f t="shared" si="30"/>
        <v>4601</v>
      </c>
      <c r="BB29" s="16">
        <f t="shared" si="31"/>
        <v>0</v>
      </c>
      <c r="BC29" s="16">
        <v>0</v>
      </c>
      <c r="BD29" s="16">
        <v>0</v>
      </c>
      <c r="BE29" s="16">
        <v>0</v>
      </c>
      <c r="BF29" s="16">
        <f t="shared" si="9"/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f t="shared" si="10"/>
        <v>0</v>
      </c>
      <c r="BL29" s="16">
        <v>0</v>
      </c>
      <c r="BM29" s="16">
        <f t="shared" si="11"/>
        <v>4601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4601</v>
      </c>
      <c r="BX29" s="16">
        <v>0</v>
      </c>
      <c r="BY29" s="16">
        <f t="shared" si="32"/>
        <v>28667</v>
      </c>
      <c r="BZ29" s="16">
        <f t="shared" si="33"/>
        <v>28667</v>
      </c>
      <c r="CA29" s="16">
        <f t="shared" si="12"/>
        <v>28667</v>
      </c>
      <c r="CB29" s="16">
        <v>0</v>
      </c>
      <c r="CC29" s="16">
        <v>28667</v>
      </c>
      <c r="CD29" s="16">
        <f t="shared" si="13"/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f t="shared" si="14"/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f t="shared" si="15"/>
        <v>0</v>
      </c>
      <c r="CU29" s="16">
        <f t="shared" si="16"/>
        <v>0</v>
      </c>
      <c r="CV29" s="16">
        <v>0</v>
      </c>
      <c r="CW29" s="17">
        <v>0</v>
      </c>
      <c r="CX29" s="40"/>
    </row>
    <row r="30" spans="1:102" ht="31.5" hidden="1" x14ac:dyDescent="0.25">
      <c r="A30" s="13" t="s">
        <v>1</v>
      </c>
      <c r="B30" s="14" t="s">
        <v>1</v>
      </c>
      <c r="C30" s="14" t="s">
        <v>39</v>
      </c>
      <c r="D30" s="30" t="s">
        <v>40</v>
      </c>
      <c r="E30" s="15">
        <f t="shared" si="25"/>
        <v>3800962</v>
      </c>
      <c r="F30" s="16">
        <f t="shared" si="26"/>
        <v>3759435</v>
      </c>
      <c r="G30" s="16">
        <f t="shared" si="27"/>
        <v>3759435</v>
      </c>
      <c r="H30" s="16">
        <f>2433251+196643</f>
        <v>2629894</v>
      </c>
      <c r="I30" s="16">
        <f>590797+52032</f>
        <v>642829</v>
      </c>
      <c r="J30" s="16">
        <f t="shared" si="7"/>
        <v>402238</v>
      </c>
      <c r="K30" s="16">
        <v>0</v>
      </c>
      <c r="L30" s="16">
        <v>0</v>
      </c>
      <c r="M30" s="16">
        <v>0</v>
      </c>
      <c r="N30" s="16">
        <v>0</v>
      </c>
      <c r="O30" s="16">
        <v>315388</v>
      </c>
      <c r="P30" s="16">
        <f>96005-9155</f>
        <v>86850</v>
      </c>
      <c r="Q30" s="16">
        <f t="shared" si="8"/>
        <v>0</v>
      </c>
      <c r="R30" s="16">
        <v>0</v>
      </c>
      <c r="S30" s="16">
        <v>0</v>
      </c>
      <c r="T30" s="16">
        <v>0</v>
      </c>
      <c r="U30" s="16">
        <v>26719</v>
      </c>
      <c r="V30" s="16">
        <f t="shared" si="28"/>
        <v>11621</v>
      </c>
      <c r="W30" s="16">
        <v>0</v>
      </c>
      <c r="X30" s="16">
        <v>1547</v>
      </c>
      <c r="Y30" s="16">
        <v>6817</v>
      </c>
      <c r="Z30" s="16">
        <v>360</v>
      </c>
      <c r="AA30" s="16">
        <f>3261-364</f>
        <v>2897</v>
      </c>
      <c r="AB30" s="16">
        <v>0</v>
      </c>
      <c r="AC30" s="16">
        <v>0</v>
      </c>
      <c r="AD30" s="16">
        <v>0</v>
      </c>
      <c r="AE30" s="16">
        <f t="shared" si="29"/>
        <v>46134</v>
      </c>
      <c r="AF30" s="16">
        <v>0</v>
      </c>
      <c r="AG30" s="16">
        <v>397</v>
      </c>
      <c r="AH30" s="16">
        <v>6020</v>
      </c>
      <c r="AI30" s="16">
        <v>0</v>
      </c>
      <c r="AJ30" s="16">
        <v>1591</v>
      </c>
      <c r="AK30" s="16">
        <v>0</v>
      </c>
      <c r="AL30" s="16">
        <v>23547</v>
      </c>
      <c r="AM30" s="16">
        <v>0</v>
      </c>
      <c r="AN30" s="16">
        <v>8730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5849</v>
      </c>
      <c r="BA30" s="16">
        <f t="shared" si="30"/>
        <v>0</v>
      </c>
      <c r="BB30" s="16">
        <f t="shared" si="31"/>
        <v>0</v>
      </c>
      <c r="BC30" s="16">
        <v>0</v>
      </c>
      <c r="BD30" s="16">
        <v>0</v>
      </c>
      <c r="BE30" s="16">
        <v>0</v>
      </c>
      <c r="BF30" s="16">
        <f t="shared" si="9"/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f t="shared" si="10"/>
        <v>0</v>
      </c>
      <c r="BL30" s="16">
        <v>0</v>
      </c>
      <c r="BM30" s="16">
        <f t="shared" si="11"/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f t="shared" si="32"/>
        <v>41527</v>
      </c>
      <c r="BZ30" s="16">
        <f t="shared" si="33"/>
        <v>41527</v>
      </c>
      <c r="CA30" s="16">
        <f t="shared" si="12"/>
        <v>41527</v>
      </c>
      <c r="CB30" s="16">
        <v>0</v>
      </c>
      <c r="CC30" s="16">
        <f>47095-5568</f>
        <v>41527</v>
      </c>
      <c r="CD30" s="16">
        <f t="shared" si="13"/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f t="shared" si="14"/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f t="shared" si="15"/>
        <v>0</v>
      </c>
      <c r="CU30" s="16">
        <f t="shared" si="16"/>
        <v>0</v>
      </c>
      <c r="CV30" s="16">
        <v>0</v>
      </c>
      <c r="CW30" s="17">
        <v>0</v>
      </c>
      <c r="CX30" s="40"/>
    </row>
    <row r="31" spans="1:102" ht="20.25" hidden="1" customHeight="1" x14ac:dyDescent="0.25">
      <c r="A31" s="13" t="s">
        <v>1</v>
      </c>
      <c r="B31" s="14" t="s">
        <v>1</v>
      </c>
      <c r="C31" s="14" t="s">
        <v>41</v>
      </c>
      <c r="D31" s="30" t="s">
        <v>42</v>
      </c>
      <c r="E31" s="15">
        <f t="shared" si="25"/>
        <v>936818</v>
      </c>
      <c r="F31" s="16">
        <f t="shared" si="26"/>
        <v>921007</v>
      </c>
      <c r="G31" s="16">
        <f t="shared" si="27"/>
        <v>916406</v>
      </c>
      <c r="H31" s="16">
        <v>645800</v>
      </c>
      <c r="I31" s="16">
        <v>152523</v>
      </c>
      <c r="J31" s="16">
        <f t="shared" si="7"/>
        <v>48606</v>
      </c>
      <c r="K31" s="16">
        <v>0</v>
      </c>
      <c r="L31" s="16">
        <v>0</v>
      </c>
      <c r="M31" s="16">
        <v>0</v>
      </c>
      <c r="N31" s="16">
        <v>0</v>
      </c>
      <c r="O31" s="16">
        <v>40381</v>
      </c>
      <c r="P31" s="16">
        <v>8225</v>
      </c>
      <c r="Q31" s="16">
        <f t="shared" si="8"/>
        <v>0</v>
      </c>
      <c r="R31" s="16">
        <v>0</v>
      </c>
      <c r="S31" s="16">
        <v>0</v>
      </c>
      <c r="T31" s="16">
        <v>0</v>
      </c>
      <c r="U31" s="16">
        <v>21536</v>
      </c>
      <c r="V31" s="16">
        <f t="shared" si="28"/>
        <v>4324</v>
      </c>
      <c r="W31" s="16">
        <v>0</v>
      </c>
      <c r="X31" s="16">
        <v>1979</v>
      </c>
      <c r="Y31" s="16">
        <v>1500</v>
      </c>
      <c r="Z31" s="16">
        <v>273</v>
      </c>
      <c r="AA31" s="16">
        <v>572</v>
      </c>
      <c r="AB31" s="16">
        <v>0</v>
      </c>
      <c r="AC31" s="16">
        <v>0</v>
      </c>
      <c r="AD31" s="16">
        <v>0</v>
      </c>
      <c r="AE31" s="16">
        <f t="shared" si="29"/>
        <v>43617</v>
      </c>
      <c r="AF31" s="16">
        <v>0</v>
      </c>
      <c r="AG31" s="16">
        <v>3200</v>
      </c>
      <c r="AH31" s="16">
        <v>21766</v>
      </c>
      <c r="AI31" s="16">
        <v>0</v>
      </c>
      <c r="AJ31" s="16">
        <v>1591</v>
      </c>
      <c r="AK31" s="16">
        <v>0</v>
      </c>
      <c r="AL31" s="16">
        <v>7906</v>
      </c>
      <c r="AM31" s="16">
        <v>0</v>
      </c>
      <c r="AN31" s="16">
        <v>8730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424</v>
      </c>
      <c r="BA31" s="16">
        <f t="shared" si="30"/>
        <v>4601</v>
      </c>
      <c r="BB31" s="16">
        <f t="shared" si="31"/>
        <v>0</v>
      </c>
      <c r="BC31" s="16">
        <v>0</v>
      </c>
      <c r="BD31" s="16">
        <v>0</v>
      </c>
      <c r="BE31" s="16">
        <v>0</v>
      </c>
      <c r="BF31" s="16">
        <f t="shared" si="9"/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f t="shared" si="10"/>
        <v>0</v>
      </c>
      <c r="BL31" s="16">
        <v>0</v>
      </c>
      <c r="BM31" s="16">
        <f t="shared" si="11"/>
        <v>4601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4601</v>
      </c>
      <c r="BX31" s="16">
        <v>0</v>
      </c>
      <c r="BY31" s="16">
        <f t="shared" si="32"/>
        <v>15811</v>
      </c>
      <c r="BZ31" s="16">
        <f t="shared" si="33"/>
        <v>15811</v>
      </c>
      <c r="CA31" s="16">
        <f t="shared" si="12"/>
        <v>15811</v>
      </c>
      <c r="CB31" s="16">
        <v>0</v>
      </c>
      <c r="CC31" s="16">
        <v>15811</v>
      </c>
      <c r="CD31" s="16">
        <f t="shared" si="13"/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f t="shared" si="14"/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f t="shared" si="15"/>
        <v>0</v>
      </c>
      <c r="CU31" s="16">
        <f t="shared" si="16"/>
        <v>0</v>
      </c>
      <c r="CV31" s="16">
        <v>0</v>
      </c>
      <c r="CW31" s="17">
        <v>0</v>
      </c>
      <c r="CX31" s="40"/>
    </row>
    <row r="32" spans="1:102" ht="15.75" hidden="1" x14ac:dyDescent="0.25">
      <c r="A32" s="13" t="s">
        <v>1</v>
      </c>
      <c r="B32" s="14" t="s">
        <v>1</v>
      </c>
      <c r="C32" s="14" t="s">
        <v>43</v>
      </c>
      <c r="D32" s="30" t="s">
        <v>44</v>
      </c>
      <c r="E32" s="15">
        <f t="shared" si="25"/>
        <v>16539003</v>
      </c>
      <c r="F32" s="16">
        <f t="shared" si="26"/>
        <v>12398800</v>
      </c>
      <c r="G32" s="16">
        <f t="shared" si="27"/>
        <v>12192498</v>
      </c>
      <c r="H32" s="16">
        <v>9010147</v>
      </c>
      <c r="I32" s="16">
        <v>1509958</v>
      </c>
      <c r="J32" s="16">
        <f t="shared" si="7"/>
        <v>475447</v>
      </c>
      <c r="K32" s="16">
        <v>0</v>
      </c>
      <c r="L32" s="16">
        <v>122719</v>
      </c>
      <c r="M32" s="16">
        <v>0</v>
      </c>
      <c r="N32" s="16">
        <v>0</v>
      </c>
      <c r="O32" s="16">
        <v>180842</v>
      </c>
      <c r="P32" s="16">
        <v>171886</v>
      </c>
      <c r="Q32" s="16">
        <f t="shared" si="8"/>
        <v>40108</v>
      </c>
      <c r="R32" s="16">
        <v>2334</v>
      </c>
      <c r="S32" s="16">
        <v>37774</v>
      </c>
      <c r="T32" s="16">
        <v>0</v>
      </c>
      <c r="U32" s="16">
        <v>634642</v>
      </c>
      <c r="V32" s="16">
        <f t="shared" si="28"/>
        <v>174017</v>
      </c>
      <c r="W32" s="16">
        <v>67758</v>
      </c>
      <c r="X32" s="16">
        <v>0</v>
      </c>
      <c r="Y32" s="16">
        <v>77172</v>
      </c>
      <c r="Z32" s="16">
        <v>8590</v>
      </c>
      <c r="AA32" s="16">
        <v>14347</v>
      </c>
      <c r="AB32" s="16">
        <v>0</v>
      </c>
      <c r="AC32" s="16">
        <v>0</v>
      </c>
      <c r="AD32" s="16">
        <v>6150</v>
      </c>
      <c r="AE32" s="16">
        <f t="shared" si="29"/>
        <v>348179</v>
      </c>
      <c r="AF32" s="16">
        <v>0</v>
      </c>
      <c r="AG32" s="16">
        <v>43997</v>
      </c>
      <c r="AH32" s="16">
        <v>30222</v>
      </c>
      <c r="AI32" s="16">
        <v>0</v>
      </c>
      <c r="AJ32" s="16">
        <v>1591</v>
      </c>
      <c r="AK32" s="16">
        <v>0</v>
      </c>
      <c r="AL32" s="16">
        <v>90101</v>
      </c>
      <c r="AM32" s="16">
        <v>11759</v>
      </c>
      <c r="AN32" s="16">
        <v>22407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93469</v>
      </c>
      <c r="AX32" s="16">
        <v>0</v>
      </c>
      <c r="AY32" s="16">
        <v>0</v>
      </c>
      <c r="AZ32" s="16">
        <v>54633</v>
      </c>
      <c r="BA32" s="16">
        <f t="shared" si="30"/>
        <v>206302</v>
      </c>
      <c r="BB32" s="16">
        <f t="shared" si="31"/>
        <v>0</v>
      </c>
      <c r="BC32" s="16">
        <v>0</v>
      </c>
      <c r="BD32" s="16">
        <v>0</v>
      </c>
      <c r="BE32" s="16">
        <v>0</v>
      </c>
      <c r="BF32" s="16">
        <f t="shared" si="9"/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f t="shared" si="10"/>
        <v>0</v>
      </c>
      <c r="BL32" s="16">
        <v>0</v>
      </c>
      <c r="BM32" s="16">
        <f t="shared" si="11"/>
        <v>206302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206302</v>
      </c>
      <c r="BX32" s="16">
        <v>0</v>
      </c>
      <c r="BY32" s="16">
        <f t="shared" si="32"/>
        <v>4140203</v>
      </c>
      <c r="BZ32" s="16">
        <f t="shared" si="33"/>
        <v>4140203</v>
      </c>
      <c r="CA32" s="16">
        <f t="shared" si="12"/>
        <v>180203</v>
      </c>
      <c r="CB32" s="16">
        <v>0</v>
      </c>
      <c r="CC32" s="16">
        <v>180203</v>
      </c>
      <c r="CD32" s="16">
        <f t="shared" si="13"/>
        <v>3960000</v>
      </c>
      <c r="CE32" s="16">
        <v>0</v>
      </c>
      <c r="CF32" s="16">
        <v>0</v>
      </c>
      <c r="CG32" s="16">
        <v>0</v>
      </c>
      <c r="CH32" s="16">
        <v>3960000</v>
      </c>
      <c r="CI32" s="16">
        <v>0</v>
      </c>
      <c r="CJ32" s="16">
        <v>0</v>
      </c>
      <c r="CK32" s="16">
        <f t="shared" si="14"/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f t="shared" si="15"/>
        <v>0</v>
      </c>
      <c r="CU32" s="16">
        <f t="shared" si="16"/>
        <v>0</v>
      </c>
      <c r="CV32" s="16">
        <v>0</v>
      </c>
      <c r="CW32" s="17">
        <v>0</v>
      </c>
      <c r="CX32" s="40"/>
    </row>
    <row r="33" spans="1:102" ht="15.75" hidden="1" x14ac:dyDescent="0.25">
      <c r="A33" s="13" t="s">
        <v>1</v>
      </c>
      <c r="B33" s="14" t="s">
        <v>1</v>
      </c>
      <c r="C33" s="14" t="s">
        <v>45</v>
      </c>
      <c r="D33" s="30" t="s">
        <v>46</v>
      </c>
      <c r="E33" s="15">
        <f t="shared" si="25"/>
        <v>2193909</v>
      </c>
      <c r="F33" s="16">
        <f t="shared" si="26"/>
        <v>2161815</v>
      </c>
      <c r="G33" s="16">
        <f t="shared" si="27"/>
        <v>2159131</v>
      </c>
      <c r="H33" s="16">
        <v>1572130</v>
      </c>
      <c r="I33" s="16">
        <v>377582</v>
      </c>
      <c r="J33" s="16">
        <f t="shared" si="7"/>
        <v>81483</v>
      </c>
      <c r="K33" s="16">
        <v>0</v>
      </c>
      <c r="L33" s="16">
        <v>0</v>
      </c>
      <c r="M33" s="16">
        <v>0</v>
      </c>
      <c r="N33" s="16">
        <v>0</v>
      </c>
      <c r="O33" s="16">
        <v>41736</v>
      </c>
      <c r="P33" s="16">
        <v>39747</v>
      </c>
      <c r="Q33" s="16">
        <f t="shared" si="8"/>
        <v>7745</v>
      </c>
      <c r="R33" s="16">
        <v>0</v>
      </c>
      <c r="S33" s="16">
        <v>7745</v>
      </c>
      <c r="T33" s="16">
        <v>0</v>
      </c>
      <c r="U33" s="16">
        <v>41846</v>
      </c>
      <c r="V33" s="16">
        <f t="shared" si="28"/>
        <v>9945</v>
      </c>
      <c r="W33" s="16">
        <v>0</v>
      </c>
      <c r="X33" s="16">
        <v>4509</v>
      </c>
      <c r="Y33" s="16">
        <v>4708</v>
      </c>
      <c r="Z33" s="16">
        <v>728</v>
      </c>
      <c r="AA33" s="16">
        <v>0</v>
      </c>
      <c r="AB33" s="16">
        <v>0</v>
      </c>
      <c r="AC33" s="16">
        <v>0</v>
      </c>
      <c r="AD33" s="16">
        <v>0</v>
      </c>
      <c r="AE33" s="16">
        <f t="shared" si="29"/>
        <v>68400</v>
      </c>
      <c r="AF33" s="16">
        <v>0</v>
      </c>
      <c r="AG33" s="16">
        <v>887</v>
      </c>
      <c r="AH33" s="16">
        <v>0</v>
      </c>
      <c r="AI33" s="16">
        <v>0</v>
      </c>
      <c r="AJ33" s="16">
        <v>1591</v>
      </c>
      <c r="AK33" s="16">
        <v>0</v>
      </c>
      <c r="AL33" s="16">
        <v>16047</v>
      </c>
      <c r="AM33" s="16">
        <v>20000</v>
      </c>
      <c r="AN33" s="16">
        <v>5238</v>
      </c>
      <c r="AO33" s="16">
        <v>0</v>
      </c>
      <c r="AP33" s="16">
        <v>0</v>
      </c>
      <c r="AQ33" s="16">
        <v>0</v>
      </c>
      <c r="AR33" s="16">
        <v>20397</v>
      </c>
      <c r="AS33" s="16">
        <v>4240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f t="shared" si="30"/>
        <v>2684</v>
      </c>
      <c r="BB33" s="16">
        <f t="shared" si="31"/>
        <v>0</v>
      </c>
      <c r="BC33" s="16">
        <v>0</v>
      </c>
      <c r="BD33" s="16">
        <v>0</v>
      </c>
      <c r="BE33" s="16">
        <v>0</v>
      </c>
      <c r="BF33" s="16">
        <f t="shared" si="9"/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f t="shared" si="10"/>
        <v>0</v>
      </c>
      <c r="BL33" s="16">
        <v>0</v>
      </c>
      <c r="BM33" s="16">
        <f t="shared" si="11"/>
        <v>2684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2684</v>
      </c>
      <c r="BX33" s="16">
        <v>0</v>
      </c>
      <c r="BY33" s="16">
        <f t="shared" si="32"/>
        <v>32094</v>
      </c>
      <c r="BZ33" s="16">
        <f t="shared" si="33"/>
        <v>32094</v>
      </c>
      <c r="CA33" s="16">
        <f t="shared" si="12"/>
        <v>32094</v>
      </c>
      <c r="CB33" s="16">
        <v>0</v>
      </c>
      <c r="CC33" s="16">
        <v>32094</v>
      </c>
      <c r="CD33" s="16">
        <f t="shared" si="13"/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16">
        <f t="shared" si="14"/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f t="shared" si="15"/>
        <v>0</v>
      </c>
      <c r="CU33" s="16">
        <f t="shared" si="16"/>
        <v>0</v>
      </c>
      <c r="CV33" s="16">
        <v>0</v>
      </c>
      <c r="CW33" s="17">
        <v>0</v>
      </c>
      <c r="CX33" s="40"/>
    </row>
    <row r="34" spans="1:102" ht="31.5" hidden="1" x14ac:dyDescent="0.25">
      <c r="A34" s="13" t="s">
        <v>3</v>
      </c>
      <c r="B34" s="14" t="s">
        <v>47</v>
      </c>
      <c r="C34" s="14" t="s">
        <v>1</v>
      </c>
      <c r="D34" s="30" t="s">
        <v>48</v>
      </c>
      <c r="E34" s="15">
        <f>SUM(E35)</f>
        <v>29408143</v>
      </c>
      <c r="F34" s="16">
        <f t="shared" ref="F34:BS34" si="34">SUM(F35)</f>
        <v>28995586</v>
      </c>
      <c r="G34" s="16">
        <f t="shared" si="34"/>
        <v>26893186</v>
      </c>
      <c r="H34" s="16">
        <f t="shared" si="34"/>
        <v>20627829</v>
      </c>
      <c r="I34" s="16">
        <f t="shared" si="34"/>
        <v>1873770</v>
      </c>
      <c r="J34" s="16">
        <f t="shared" si="34"/>
        <v>1756385</v>
      </c>
      <c r="K34" s="16">
        <f t="shared" si="34"/>
        <v>0</v>
      </c>
      <c r="L34" s="16">
        <f t="shared" si="34"/>
        <v>1207905</v>
      </c>
      <c r="M34" s="16">
        <f t="shared" si="34"/>
        <v>0</v>
      </c>
      <c r="N34" s="16">
        <f t="shared" si="34"/>
        <v>0</v>
      </c>
      <c r="O34" s="16">
        <f t="shared" si="34"/>
        <v>408447</v>
      </c>
      <c r="P34" s="16">
        <f t="shared" si="34"/>
        <v>140033</v>
      </c>
      <c r="Q34" s="16">
        <f t="shared" si="34"/>
        <v>109111</v>
      </c>
      <c r="R34" s="16">
        <f t="shared" si="34"/>
        <v>0</v>
      </c>
      <c r="S34" s="16">
        <f t="shared" si="34"/>
        <v>109111</v>
      </c>
      <c r="T34" s="16">
        <f t="shared" si="34"/>
        <v>0</v>
      </c>
      <c r="U34" s="16">
        <f t="shared" si="34"/>
        <v>652056</v>
      </c>
      <c r="V34" s="16">
        <f t="shared" si="34"/>
        <v>152164</v>
      </c>
      <c r="W34" s="16">
        <f t="shared" si="34"/>
        <v>31312</v>
      </c>
      <c r="X34" s="16">
        <f t="shared" si="34"/>
        <v>44014</v>
      </c>
      <c r="Y34" s="16">
        <f t="shared" si="34"/>
        <v>55992</v>
      </c>
      <c r="Z34" s="16">
        <f t="shared" si="34"/>
        <v>8125</v>
      </c>
      <c r="AA34" s="16">
        <f t="shared" si="34"/>
        <v>8380</v>
      </c>
      <c r="AB34" s="16">
        <f t="shared" si="34"/>
        <v>0</v>
      </c>
      <c r="AC34" s="16">
        <f t="shared" si="34"/>
        <v>0</v>
      </c>
      <c r="AD34" s="16">
        <f t="shared" si="34"/>
        <v>4341</v>
      </c>
      <c r="AE34" s="16">
        <f t="shared" si="34"/>
        <v>1721871</v>
      </c>
      <c r="AF34" s="16">
        <f t="shared" si="34"/>
        <v>0</v>
      </c>
      <c r="AG34" s="16">
        <f t="shared" si="34"/>
        <v>98435</v>
      </c>
      <c r="AH34" s="16">
        <f t="shared" si="34"/>
        <v>37587</v>
      </c>
      <c r="AI34" s="16">
        <f t="shared" si="34"/>
        <v>0</v>
      </c>
      <c r="AJ34" s="16">
        <f t="shared" si="34"/>
        <v>22276</v>
      </c>
      <c r="AK34" s="16">
        <f t="shared" si="34"/>
        <v>0</v>
      </c>
      <c r="AL34" s="16">
        <f t="shared" si="34"/>
        <v>206278</v>
      </c>
      <c r="AM34" s="16">
        <f t="shared" si="34"/>
        <v>37436</v>
      </c>
      <c r="AN34" s="16">
        <f t="shared" si="34"/>
        <v>0</v>
      </c>
      <c r="AO34" s="16">
        <f t="shared" si="34"/>
        <v>0</v>
      </c>
      <c r="AP34" s="16">
        <f t="shared" si="34"/>
        <v>0</v>
      </c>
      <c r="AQ34" s="16">
        <f t="shared" si="34"/>
        <v>0</v>
      </c>
      <c r="AR34" s="16">
        <f t="shared" si="34"/>
        <v>54445</v>
      </c>
      <c r="AS34" s="16">
        <f t="shared" si="34"/>
        <v>0</v>
      </c>
      <c r="AT34" s="16">
        <f t="shared" si="34"/>
        <v>0</v>
      </c>
      <c r="AU34" s="16">
        <f t="shared" si="34"/>
        <v>0</v>
      </c>
      <c r="AV34" s="16">
        <f t="shared" si="34"/>
        <v>0</v>
      </c>
      <c r="AW34" s="16">
        <f t="shared" si="34"/>
        <v>1257940</v>
      </c>
      <c r="AX34" s="16">
        <f t="shared" si="34"/>
        <v>0</v>
      </c>
      <c r="AY34" s="16">
        <f t="shared" si="34"/>
        <v>0</v>
      </c>
      <c r="AZ34" s="16">
        <f t="shared" si="34"/>
        <v>7474</v>
      </c>
      <c r="BA34" s="16">
        <f t="shared" si="34"/>
        <v>2102400</v>
      </c>
      <c r="BB34" s="16">
        <f t="shared" si="34"/>
        <v>0</v>
      </c>
      <c r="BC34" s="16">
        <f t="shared" si="34"/>
        <v>0</v>
      </c>
      <c r="BD34" s="16">
        <f t="shared" si="34"/>
        <v>0</v>
      </c>
      <c r="BE34" s="16">
        <f t="shared" si="34"/>
        <v>0</v>
      </c>
      <c r="BF34" s="16">
        <f t="shared" si="34"/>
        <v>0</v>
      </c>
      <c r="BG34" s="16">
        <f t="shared" si="34"/>
        <v>0</v>
      </c>
      <c r="BH34" s="16">
        <f t="shared" si="34"/>
        <v>0</v>
      </c>
      <c r="BI34" s="16">
        <f t="shared" si="34"/>
        <v>0</v>
      </c>
      <c r="BJ34" s="16">
        <f t="shared" si="34"/>
        <v>0</v>
      </c>
      <c r="BK34" s="16">
        <f t="shared" si="34"/>
        <v>0</v>
      </c>
      <c r="BL34" s="16">
        <f t="shared" si="34"/>
        <v>0</v>
      </c>
      <c r="BM34" s="16">
        <f t="shared" si="34"/>
        <v>2102400</v>
      </c>
      <c r="BN34" s="16">
        <f t="shared" si="34"/>
        <v>0</v>
      </c>
      <c r="BO34" s="16">
        <f t="shared" si="34"/>
        <v>0</v>
      </c>
      <c r="BP34" s="16">
        <f t="shared" si="34"/>
        <v>0</v>
      </c>
      <c r="BQ34" s="16">
        <f t="shared" si="34"/>
        <v>0</v>
      </c>
      <c r="BR34" s="16">
        <f t="shared" si="34"/>
        <v>0</v>
      </c>
      <c r="BS34" s="16">
        <f t="shared" si="34"/>
        <v>0</v>
      </c>
      <c r="BT34" s="16">
        <f t="shared" ref="BT34:CW34" si="35">SUM(BT35)</f>
        <v>0</v>
      </c>
      <c r="BU34" s="16">
        <f t="shared" si="35"/>
        <v>0</v>
      </c>
      <c r="BV34" s="16">
        <f t="shared" si="35"/>
        <v>0</v>
      </c>
      <c r="BW34" s="16">
        <f t="shared" si="35"/>
        <v>2102400</v>
      </c>
      <c r="BX34" s="16">
        <f t="shared" si="35"/>
        <v>0</v>
      </c>
      <c r="BY34" s="16">
        <f t="shared" si="35"/>
        <v>412557</v>
      </c>
      <c r="BZ34" s="16">
        <f t="shared" si="35"/>
        <v>412557</v>
      </c>
      <c r="CA34" s="16">
        <f t="shared" si="35"/>
        <v>412557</v>
      </c>
      <c r="CB34" s="16">
        <f t="shared" si="35"/>
        <v>0</v>
      </c>
      <c r="CC34" s="16">
        <f t="shared" si="35"/>
        <v>412557</v>
      </c>
      <c r="CD34" s="16">
        <f t="shared" si="35"/>
        <v>0</v>
      </c>
      <c r="CE34" s="16">
        <f t="shared" si="35"/>
        <v>0</v>
      </c>
      <c r="CF34" s="16">
        <f t="shared" si="35"/>
        <v>0</v>
      </c>
      <c r="CG34" s="16">
        <f t="shared" si="35"/>
        <v>0</v>
      </c>
      <c r="CH34" s="16">
        <f t="shared" si="35"/>
        <v>0</v>
      </c>
      <c r="CI34" s="16">
        <f t="shared" si="35"/>
        <v>0</v>
      </c>
      <c r="CJ34" s="16">
        <f t="shared" si="35"/>
        <v>0</v>
      </c>
      <c r="CK34" s="16">
        <f t="shared" si="35"/>
        <v>0</v>
      </c>
      <c r="CL34" s="16">
        <f t="shared" si="35"/>
        <v>0</v>
      </c>
      <c r="CM34" s="16">
        <f t="shared" si="35"/>
        <v>0</v>
      </c>
      <c r="CN34" s="16">
        <f t="shared" si="35"/>
        <v>0</v>
      </c>
      <c r="CO34" s="16">
        <f t="shared" si="35"/>
        <v>0</v>
      </c>
      <c r="CP34" s="16">
        <f t="shared" si="35"/>
        <v>0</v>
      </c>
      <c r="CQ34" s="16">
        <f t="shared" si="35"/>
        <v>0</v>
      </c>
      <c r="CR34" s="16">
        <f t="shared" si="35"/>
        <v>0</v>
      </c>
      <c r="CS34" s="16">
        <f t="shared" si="35"/>
        <v>0</v>
      </c>
      <c r="CT34" s="16">
        <f t="shared" si="35"/>
        <v>0</v>
      </c>
      <c r="CU34" s="16">
        <f t="shared" si="35"/>
        <v>0</v>
      </c>
      <c r="CV34" s="16">
        <f t="shared" si="35"/>
        <v>0</v>
      </c>
      <c r="CW34" s="17">
        <f t="shared" si="35"/>
        <v>0</v>
      </c>
      <c r="CX34" s="40"/>
    </row>
    <row r="35" spans="1:102" ht="15.75" hidden="1" x14ac:dyDescent="0.25">
      <c r="A35" s="13" t="s">
        <v>1</v>
      </c>
      <c r="B35" s="14" t="s">
        <v>1</v>
      </c>
      <c r="C35" s="14" t="s">
        <v>43</v>
      </c>
      <c r="D35" s="30" t="s">
        <v>49</v>
      </c>
      <c r="E35" s="15">
        <f>SUM(F35+BY35+CT35)</f>
        <v>29408143</v>
      </c>
      <c r="F35" s="16">
        <f>SUM(G35+BA35)</f>
        <v>28995586</v>
      </c>
      <c r="G35" s="16">
        <f>SUM(H35+I35+J35+Q35+T35+U35+V35+AE35)</f>
        <v>26893186</v>
      </c>
      <c r="H35" s="16">
        <v>20627829</v>
      </c>
      <c r="I35" s="16">
        <v>1873770</v>
      </c>
      <c r="J35" s="16">
        <f t="shared" si="7"/>
        <v>1756385</v>
      </c>
      <c r="K35" s="16">
        <v>0</v>
      </c>
      <c r="L35" s="16">
        <v>1207905</v>
      </c>
      <c r="M35" s="16">
        <v>0</v>
      </c>
      <c r="N35" s="16">
        <v>0</v>
      </c>
      <c r="O35" s="16">
        <v>408447</v>
      </c>
      <c r="P35" s="16">
        <v>140033</v>
      </c>
      <c r="Q35" s="16">
        <f t="shared" si="8"/>
        <v>109111</v>
      </c>
      <c r="R35" s="16">
        <v>0</v>
      </c>
      <c r="S35" s="16">
        <v>109111</v>
      </c>
      <c r="T35" s="16">
        <v>0</v>
      </c>
      <c r="U35" s="16">
        <v>652056</v>
      </c>
      <c r="V35" s="16">
        <f>SUM(W35:AD35)</f>
        <v>152164</v>
      </c>
      <c r="W35" s="16">
        <v>31312</v>
      </c>
      <c r="X35" s="16">
        <v>44014</v>
      </c>
      <c r="Y35" s="16">
        <v>55992</v>
      </c>
      <c r="Z35" s="16">
        <v>8125</v>
      </c>
      <c r="AA35" s="16">
        <v>8380</v>
      </c>
      <c r="AB35" s="16">
        <v>0</v>
      </c>
      <c r="AC35" s="16">
        <v>0</v>
      </c>
      <c r="AD35" s="16">
        <v>4341</v>
      </c>
      <c r="AE35" s="16">
        <f>SUM(AF35:AZ35)</f>
        <v>1721871</v>
      </c>
      <c r="AF35" s="16">
        <v>0</v>
      </c>
      <c r="AG35" s="16">
        <v>98435</v>
      </c>
      <c r="AH35" s="16">
        <v>37587</v>
      </c>
      <c r="AI35" s="16">
        <v>0</v>
      </c>
      <c r="AJ35" s="16">
        <v>22276</v>
      </c>
      <c r="AK35" s="16">
        <v>0</v>
      </c>
      <c r="AL35" s="16">
        <v>206278</v>
      </c>
      <c r="AM35" s="16">
        <f>19436+18000</f>
        <v>37436</v>
      </c>
      <c r="AN35" s="16">
        <v>0</v>
      </c>
      <c r="AO35" s="16">
        <v>0</v>
      </c>
      <c r="AP35" s="16">
        <v>0</v>
      </c>
      <c r="AQ35" s="16">
        <v>0</v>
      </c>
      <c r="AR35" s="16">
        <v>54445</v>
      </c>
      <c r="AS35" s="16">
        <v>0</v>
      </c>
      <c r="AT35" s="16">
        <v>0</v>
      </c>
      <c r="AU35" s="16">
        <v>0</v>
      </c>
      <c r="AV35" s="16">
        <v>0</v>
      </c>
      <c r="AW35" s="16">
        <v>1257940</v>
      </c>
      <c r="AX35" s="16">
        <v>0</v>
      </c>
      <c r="AY35" s="16">
        <v>0</v>
      </c>
      <c r="AZ35" s="16">
        <v>7474</v>
      </c>
      <c r="BA35" s="16">
        <f>SUM(BB35+BF35+BI35+BK35+BM35)</f>
        <v>2102400</v>
      </c>
      <c r="BB35" s="16">
        <f>SUM(BC35:BE35)</f>
        <v>0</v>
      </c>
      <c r="BC35" s="16">
        <v>0</v>
      </c>
      <c r="BD35" s="16">
        <v>0</v>
      </c>
      <c r="BE35" s="16">
        <v>0</v>
      </c>
      <c r="BF35" s="16">
        <f t="shared" si="9"/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f t="shared" si="10"/>
        <v>0</v>
      </c>
      <c r="BL35" s="16">
        <v>0</v>
      </c>
      <c r="BM35" s="16">
        <f t="shared" si="11"/>
        <v>2102400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2102400</v>
      </c>
      <c r="BX35" s="16">
        <v>0</v>
      </c>
      <c r="BY35" s="16">
        <f>SUM(BZ35+CS35)</f>
        <v>412557</v>
      </c>
      <c r="BZ35" s="16">
        <f>SUM(CA35+CD35+CK35)</f>
        <v>412557</v>
      </c>
      <c r="CA35" s="16">
        <f t="shared" si="12"/>
        <v>412557</v>
      </c>
      <c r="CB35" s="16">
        <v>0</v>
      </c>
      <c r="CC35" s="16">
        <v>412557</v>
      </c>
      <c r="CD35" s="16">
        <f t="shared" si="13"/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f t="shared" si="14"/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f t="shared" si="15"/>
        <v>0</v>
      </c>
      <c r="CU35" s="16">
        <f t="shared" si="16"/>
        <v>0</v>
      </c>
      <c r="CV35" s="16">
        <v>0</v>
      </c>
      <c r="CW35" s="17">
        <v>0</v>
      </c>
      <c r="CX35" s="40"/>
    </row>
    <row r="36" spans="1:102" ht="31.5" hidden="1" x14ac:dyDescent="0.25">
      <c r="A36" s="13" t="s">
        <v>3</v>
      </c>
      <c r="B36" s="14" t="s">
        <v>50</v>
      </c>
      <c r="C36" s="14" t="s">
        <v>1</v>
      </c>
      <c r="D36" s="30" t="s">
        <v>51</v>
      </c>
      <c r="E36" s="15">
        <f t="shared" ref="E36:AJ36" si="36">SUM(E37:E41)</f>
        <v>18398638</v>
      </c>
      <c r="F36" s="16">
        <f t="shared" si="36"/>
        <v>18011770</v>
      </c>
      <c r="G36" s="16">
        <f t="shared" si="36"/>
        <v>18009086</v>
      </c>
      <c r="H36" s="16">
        <f t="shared" si="36"/>
        <v>11634628</v>
      </c>
      <c r="I36" s="16">
        <f t="shared" si="36"/>
        <v>2806403</v>
      </c>
      <c r="J36" s="16">
        <f t="shared" si="36"/>
        <v>790890</v>
      </c>
      <c r="K36" s="16">
        <f t="shared" si="36"/>
        <v>0</v>
      </c>
      <c r="L36" s="16">
        <f t="shared" si="36"/>
        <v>90519</v>
      </c>
      <c r="M36" s="16">
        <f t="shared" si="36"/>
        <v>0</v>
      </c>
      <c r="N36" s="16">
        <f t="shared" si="36"/>
        <v>0</v>
      </c>
      <c r="O36" s="16">
        <f t="shared" si="36"/>
        <v>329485</v>
      </c>
      <c r="P36" s="16">
        <f t="shared" si="36"/>
        <v>370886</v>
      </c>
      <c r="Q36" s="16">
        <f t="shared" si="36"/>
        <v>484745</v>
      </c>
      <c r="R36" s="16">
        <f t="shared" si="36"/>
        <v>934</v>
      </c>
      <c r="S36" s="16">
        <f t="shared" si="36"/>
        <v>483811</v>
      </c>
      <c r="T36" s="16">
        <f t="shared" si="36"/>
        <v>0</v>
      </c>
      <c r="U36" s="16">
        <f t="shared" si="36"/>
        <v>465182</v>
      </c>
      <c r="V36" s="16">
        <f t="shared" si="36"/>
        <v>779024</v>
      </c>
      <c r="W36" s="16">
        <f t="shared" si="36"/>
        <v>88417</v>
      </c>
      <c r="X36" s="16">
        <f t="shared" si="36"/>
        <v>42545</v>
      </c>
      <c r="Y36" s="16">
        <f t="shared" si="36"/>
        <v>48143</v>
      </c>
      <c r="Z36" s="16">
        <f t="shared" si="36"/>
        <v>5709</v>
      </c>
      <c r="AA36" s="16">
        <f t="shared" si="36"/>
        <v>5272</v>
      </c>
      <c r="AB36" s="16">
        <f t="shared" si="36"/>
        <v>584816</v>
      </c>
      <c r="AC36" s="16">
        <f t="shared" si="36"/>
        <v>0</v>
      </c>
      <c r="AD36" s="16">
        <f t="shared" ref="AD36" si="37">SUM(AD37:AD41)</f>
        <v>4122</v>
      </c>
      <c r="AE36" s="16">
        <f t="shared" si="36"/>
        <v>1048214</v>
      </c>
      <c r="AF36" s="16">
        <f t="shared" si="36"/>
        <v>0</v>
      </c>
      <c r="AG36" s="16">
        <f t="shared" si="36"/>
        <v>93180</v>
      </c>
      <c r="AH36" s="16">
        <f t="shared" si="36"/>
        <v>165142</v>
      </c>
      <c r="AI36" s="16">
        <f t="shared" si="36"/>
        <v>0</v>
      </c>
      <c r="AJ36" s="16">
        <f t="shared" si="36"/>
        <v>22661</v>
      </c>
      <c r="AK36" s="16">
        <f t="shared" ref="AK36:BP36" si="38">SUM(AK37:AK41)</f>
        <v>0</v>
      </c>
      <c r="AL36" s="16">
        <f t="shared" si="38"/>
        <v>110973</v>
      </c>
      <c r="AM36" s="16">
        <f t="shared" si="38"/>
        <v>251553</v>
      </c>
      <c r="AN36" s="16">
        <f t="shared" si="38"/>
        <v>7566</v>
      </c>
      <c r="AO36" s="16">
        <f t="shared" si="38"/>
        <v>0</v>
      </c>
      <c r="AP36" s="16">
        <f t="shared" si="38"/>
        <v>0</v>
      </c>
      <c r="AQ36" s="16">
        <f t="shared" si="38"/>
        <v>0</v>
      </c>
      <c r="AR36" s="16">
        <f t="shared" si="38"/>
        <v>18164</v>
      </c>
      <c r="AS36" s="16">
        <f t="shared" si="38"/>
        <v>7728</v>
      </c>
      <c r="AT36" s="16">
        <f t="shared" si="38"/>
        <v>0</v>
      </c>
      <c r="AU36" s="16">
        <f t="shared" si="38"/>
        <v>0</v>
      </c>
      <c r="AV36" s="16">
        <f t="shared" si="38"/>
        <v>0</v>
      </c>
      <c r="AW36" s="16">
        <f t="shared" si="38"/>
        <v>0</v>
      </c>
      <c r="AX36" s="16">
        <f t="shared" si="38"/>
        <v>0</v>
      </c>
      <c r="AY36" s="16">
        <f t="shared" si="38"/>
        <v>40000</v>
      </c>
      <c r="AZ36" s="16">
        <f t="shared" si="38"/>
        <v>331247</v>
      </c>
      <c r="BA36" s="16">
        <f t="shared" si="38"/>
        <v>2684</v>
      </c>
      <c r="BB36" s="16">
        <f t="shared" si="38"/>
        <v>0</v>
      </c>
      <c r="BC36" s="16">
        <f t="shared" si="38"/>
        <v>0</v>
      </c>
      <c r="BD36" s="16">
        <f t="shared" si="38"/>
        <v>0</v>
      </c>
      <c r="BE36" s="16">
        <f t="shared" si="38"/>
        <v>0</v>
      </c>
      <c r="BF36" s="16">
        <f t="shared" si="38"/>
        <v>0</v>
      </c>
      <c r="BG36" s="16">
        <f t="shared" si="38"/>
        <v>0</v>
      </c>
      <c r="BH36" s="16">
        <f t="shared" si="38"/>
        <v>0</v>
      </c>
      <c r="BI36" s="16">
        <f t="shared" si="38"/>
        <v>0</v>
      </c>
      <c r="BJ36" s="16">
        <f t="shared" si="38"/>
        <v>0</v>
      </c>
      <c r="BK36" s="16">
        <f t="shared" si="38"/>
        <v>0</v>
      </c>
      <c r="BL36" s="16">
        <f t="shared" si="38"/>
        <v>0</v>
      </c>
      <c r="BM36" s="16">
        <f t="shared" si="38"/>
        <v>2684</v>
      </c>
      <c r="BN36" s="16">
        <f t="shared" si="38"/>
        <v>0</v>
      </c>
      <c r="BO36" s="16">
        <f t="shared" si="38"/>
        <v>0</v>
      </c>
      <c r="BP36" s="16">
        <f t="shared" si="38"/>
        <v>0</v>
      </c>
      <c r="BQ36" s="16">
        <f t="shared" ref="BQ36:CW36" si="39">SUM(BQ37:BQ41)</f>
        <v>0</v>
      </c>
      <c r="BR36" s="16">
        <f t="shared" si="39"/>
        <v>0</v>
      </c>
      <c r="BS36" s="16">
        <f t="shared" si="39"/>
        <v>0</v>
      </c>
      <c r="BT36" s="16">
        <f t="shared" si="39"/>
        <v>0</v>
      </c>
      <c r="BU36" s="16">
        <f t="shared" si="39"/>
        <v>0</v>
      </c>
      <c r="BV36" s="16">
        <f t="shared" si="39"/>
        <v>0</v>
      </c>
      <c r="BW36" s="16">
        <f t="shared" si="39"/>
        <v>2684</v>
      </c>
      <c r="BX36" s="16">
        <f t="shared" si="39"/>
        <v>0</v>
      </c>
      <c r="BY36" s="16">
        <f t="shared" si="39"/>
        <v>386868</v>
      </c>
      <c r="BZ36" s="16">
        <f t="shared" si="39"/>
        <v>386868</v>
      </c>
      <c r="CA36" s="16">
        <f t="shared" si="39"/>
        <v>386868</v>
      </c>
      <c r="CB36" s="16">
        <f t="shared" si="39"/>
        <v>0</v>
      </c>
      <c r="CC36" s="16">
        <f t="shared" si="39"/>
        <v>386868</v>
      </c>
      <c r="CD36" s="16">
        <f t="shared" si="39"/>
        <v>0</v>
      </c>
      <c r="CE36" s="16">
        <f t="shared" si="39"/>
        <v>0</v>
      </c>
      <c r="CF36" s="16">
        <f t="shared" si="39"/>
        <v>0</v>
      </c>
      <c r="CG36" s="16">
        <f t="shared" si="39"/>
        <v>0</v>
      </c>
      <c r="CH36" s="16">
        <f t="shared" si="39"/>
        <v>0</v>
      </c>
      <c r="CI36" s="16">
        <f t="shared" si="39"/>
        <v>0</v>
      </c>
      <c r="CJ36" s="16">
        <f t="shared" ref="CJ36" si="40">SUM(CJ37:CJ41)</f>
        <v>0</v>
      </c>
      <c r="CK36" s="16">
        <f t="shared" si="39"/>
        <v>0</v>
      </c>
      <c r="CL36" s="16">
        <f t="shared" si="39"/>
        <v>0</v>
      </c>
      <c r="CM36" s="16">
        <f t="shared" si="39"/>
        <v>0</v>
      </c>
      <c r="CN36" s="16">
        <f t="shared" si="39"/>
        <v>0</v>
      </c>
      <c r="CO36" s="16">
        <f t="shared" si="39"/>
        <v>0</v>
      </c>
      <c r="CP36" s="16">
        <f t="shared" si="39"/>
        <v>0</v>
      </c>
      <c r="CQ36" s="16">
        <f t="shared" si="39"/>
        <v>0</v>
      </c>
      <c r="CR36" s="16">
        <f t="shared" si="39"/>
        <v>0</v>
      </c>
      <c r="CS36" s="16">
        <f t="shared" si="39"/>
        <v>0</v>
      </c>
      <c r="CT36" s="16">
        <f t="shared" si="39"/>
        <v>0</v>
      </c>
      <c r="CU36" s="16">
        <f t="shared" si="39"/>
        <v>0</v>
      </c>
      <c r="CV36" s="16">
        <f t="shared" si="39"/>
        <v>0</v>
      </c>
      <c r="CW36" s="17">
        <f t="shared" si="39"/>
        <v>0</v>
      </c>
      <c r="CX36" s="40"/>
    </row>
    <row r="37" spans="1:102" ht="15.75" hidden="1" x14ac:dyDescent="0.25">
      <c r="A37" s="13" t="s">
        <v>1</v>
      </c>
      <c r="B37" s="14" t="s">
        <v>1</v>
      </c>
      <c r="C37" s="14" t="s">
        <v>17</v>
      </c>
      <c r="D37" s="30" t="s">
        <v>497</v>
      </c>
      <c r="E37" s="15">
        <f>SUM(F37+BY37+CT37)</f>
        <v>1704703</v>
      </c>
      <c r="F37" s="16">
        <f>SUM(G37+BA37)</f>
        <v>1570401</v>
      </c>
      <c r="G37" s="16">
        <f>SUM(H37+I37+J37+Q37+T37+U37+V37+AE37)</f>
        <v>1570401</v>
      </c>
      <c r="H37" s="16">
        <v>743964</v>
      </c>
      <c r="I37" s="16">
        <v>175748</v>
      </c>
      <c r="J37" s="16">
        <f t="shared" si="7"/>
        <v>98120</v>
      </c>
      <c r="K37" s="16">
        <v>0</v>
      </c>
      <c r="L37" s="16">
        <v>0</v>
      </c>
      <c r="M37" s="16">
        <v>0</v>
      </c>
      <c r="N37" s="16">
        <v>0</v>
      </c>
      <c r="O37" s="16">
        <v>25511</v>
      </c>
      <c r="P37" s="16">
        <f>33163+39446</f>
        <v>72609</v>
      </c>
      <c r="Q37" s="16">
        <f t="shared" si="8"/>
        <v>37548</v>
      </c>
      <c r="R37" s="16">
        <v>0</v>
      </c>
      <c r="S37" s="16">
        <f>150192-112644</f>
        <v>37548</v>
      </c>
      <c r="T37" s="16">
        <v>0</v>
      </c>
      <c r="U37" s="16">
        <v>104374</v>
      </c>
      <c r="V37" s="16">
        <f>SUM(W37:AD37)</f>
        <v>190000</v>
      </c>
      <c r="W37" s="16">
        <v>0</v>
      </c>
      <c r="X37" s="16">
        <v>0</v>
      </c>
      <c r="Y37" s="16">
        <v>10000</v>
      </c>
      <c r="Z37" s="16">
        <v>0</v>
      </c>
      <c r="AA37" s="16">
        <v>0</v>
      </c>
      <c r="AB37" s="16">
        <v>180000</v>
      </c>
      <c r="AC37" s="16">
        <v>0</v>
      </c>
      <c r="AD37" s="16">
        <v>0</v>
      </c>
      <c r="AE37" s="16">
        <f>SUM(AF37:AZ37)</f>
        <v>220647</v>
      </c>
      <c r="AF37" s="16">
        <v>0</v>
      </c>
      <c r="AG37" s="16">
        <v>0</v>
      </c>
      <c r="AH37" s="16">
        <v>0</v>
      </c>
      <c r="AI37" s="16">
        <v>0</v>
      </c>
      <c r="AJ37" s="16">
        <v>1591</v>
      </c>
      <c r="AK37" s="16">
        <v>0</v>
      </c>
      <c r="AL37" s="16">
        <v>0</v>
      </c>
      <c r="AM37" s="16">
        <v>100000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f>0+40000</f>
        <v>40000</v>
      </c>
      <c r="AZ37" s="16">
        <f>68756+10300</f>
        <v>79056</v>
      </c>
      <c r="BA37" s="16">
        <f>SUM(BB37+BF37+BI37+BK37+BM37)</f>
        <v>0</v>
      </c>
      <c r="BB37" s="16">
        <f>SUM(BC37:BE37)</f>
        <v>0</v>
      </c>
      <c r="BC37" s="16">
        <v>0</v>
      </c>
      <c r="BD37" s="16">
        <v>0</v>
      </c>
      <c r="BE37" s="16">
        <v>0</v>
      </c>
      <c r="BF37" s="16">
        <f t="shared" si="9"/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f t="shared" si="10"/>
        <v>0</v>
      </c>
      <c r="BL37" s="16">
        <v>0</v>
      </c>
      <c r="BM37" s="16">
        <f t="shared" si="11"/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f>SUM(BZ37+CS37)</f>
        <v>134302</v>
      </c>
      <c r="BZ37" s="16">
        <f>SUM(CA37+CD37+CK37)</f>
        <v>134302</v>
      </c>
      <c r="CA37" s="16">
        <f t="shared" si="12"/>
        <v>134302</v>
      </c>
      <c r="CB37" s="16">
        <v>0</v>
      </c>
      <c r="CC37" s="16">
        <f>111404+22898</f>
        <v>134302</v>
      </c>
      <c r="CD37" s="16">
        <f t="shared" si="13"/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f t="shared" si="14"/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f t="shared" si="15"/>
        <v>0</v>
      </c>
      <c r="CU37" s="16">
        <f t="shared" si="16"/>
        <v>0</v>
      </c>
      <c r="CV37" s="16">
        <v>0</v>
      </c>
      <c r="CW37" s="17">
        <v>0</v>
      </c>
      <c r="CX37" s="40"/>
    </row>
    <row r="38" spans="1:102" ht="31.5" hidden="1" x14ac:dyDescent="0.25">
      <c r="A38" s="13" t="s">
        <v>1</v>
      </c>
      <c r="B38" s="14" t="s">
        <v>1</v>
      </c>
      <c r="C38" s="14" t="s">
        <v>17</v>
      </c>
      <c r="D38" s="30" t="s">
        <v>496</v>
      </c>
      <c r="E38" s="15">
        <f>SUM(F38+BY38+CT38)</f>
        <v>2763702</v>
      </c>
      <c r="F38" s="16">
        <f>SUM(G38+BA38)</f>
        <v>2718098</v>
      </c>
      <c r="G38" s="16">
        <f>SUM(H38+I38+J38+Q38+T38+U38+V38+AE38)</f>
        <v>2718098</v>
      </c>
      <c r="H38" s="16">
        <f>1180211+71000</f>
        <v>1251211</v>
      </c>
      <c r="I38" s="16">
        <f>295053+17750</f>
        <v>312803</v>
      </c>
      <c r="J38" s="16">
        <f>SUM(K38:P38)</f>
        <v>155461</v>
      </c>
      <c r="K38" s="16">
        <v>0</v>
      </c>
      <c r="L38" s="16">
        <v>0</v>
      </c>
      <c r="M38" s="16">
        <v>0</v>
      </c>
      <c r="N38" s="16">
        <v>0</v>
      </c>
      <c r="O38" s="16">
        <f>64825+25000</f>
        <v>89825</v>
      </c>
      <c r="P38" s="16">
        <v>65636</v>
      </c>
      <c r="Q38" s="16">
        <f>SUM(R38:S38)</f>
        <v>431244</v>
      </c>
      <c r="R38" s="16">
        <v>0</v>
      </c>
      <c r="S38" s="16">
        <v>431244</v>
      </c>
      <c r="T38" s="16">
        <v>0</v>
      </c>
      <c r="U38" s="16">
        <v>15511</v>
      </c>
      <c r="V38" s="16">
        <f>SUM(W38:AD38)</f>
        <v>330132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330132</v>
      </c>
      <c r="AC38" s="16">
        <v>0</v>
      </c>
      <c r="AD38" s="16">
        <v>0</v>
      </c>
      <c r="AE38" s="16">
        <f>SUM(AF38:AZ38)</f>
        <v>221736</v>
      </c>
      <c r="AF38" s="16">
        <v>0</v>
      </c>
      <c r="AG38" s="16">
        <v>2310</v>
      </c>
      <c r="AH38" s="16">
        <v>1549</v>
      </c>
      <c r="AI38" s="16">
        <v>0</v>
      </c>
      <c r="AJ38" s="16">
        <v>1591</v>
      </c>
      <c r="AK38" s="16">
        <v>0</v>
      </c>
      <c r="AL38" s="16">
        <v>11802</v>
      </c>
      <c r="AM38" s="16">
        <v>120000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7728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f>68756+8000</f>
        <v>76756</v>
      </c>
      <c r="BA38" s="16">
        <f>SUM(BB38+BF38+BI38+BK38+BM38)</f>
        <v>0</v>
      </c>
      <c r="BB38" s="16">
        <f>SUM(BC38:BE38)</f>
        <v>0</v>
      </c>
      <c r="BC38" s="16">
        <v>0</v>
      </c>
      <c r="BD38" s="16">
        <v>0</v>
      </c>
      <c r="BE38" s="16">
        <v>0</v>
      </c>
      <c r="BF38" s="16">
        <f>SUM(BG38:BH38)</f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f>SUM(BL38)</f>
        <v>0</v>
      </c>
      <c r="BL38" s="16">
        <v>0</v>
      </c>
      <c r="BM38" s="16">
        <f>SUM(BN38:BX38)</f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f>SUM(BZ38+CS38)</f>
        <v>45604</v>
      </c>
      <c r="BZ38" s="16">
        <f>SUM(CA38+CD38+CK38)</f>
        <v>45604</v>
      </c>
      <c r="CA38" s="16">
        <f>SUM(CB38:CC38)</f>
        <v>45604</v>
      </c>
      <c r="CB38" s="16">
        <v>0</v>
      </c>
      <c r="CC38" s="16">
        <f>23604+22000</f>
        <v>45604</v>
      </c>
      <c r="CD38" s="16">
        <f>SUM(CE38:CI38)</f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f>SUM(CL38:CP38)</f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f>SUM(CU38)</f>
        <v>0</v>
      </c>
      <c r="CU38" s="16">
        <f>SUM(CV38:CW38)</f>
        <v>0</v>
      </c>
      <c r="CV38" s="16">
        <v>0</v>
      </c>
      <c r="CW38" s="17">
        <v>0</v>
      </c>
      <c r="CX38" s="40"/>
    </row>
    <row r="39" spans="1:102" ht="15.75" hidden="1" x14ac:dyDescent="0.25">
      <c r="A39" s="13" t="s">
        <v>1</v>
      </c>
      <c r="B39" s="14" t="s">
        <v>1</v>
      </c>
      <c r="C39" s="14" t="s">
        <v>17</v>
      </c>
      <c r="D39" s="30" t="s">
        <v>498</v>
      </c>
      <c r="E39" s="15">
        <f>SUM(F39+BY39+CT39)</f>
        <v>217401</v>
      </c>
      <c r="F39" s="16">
        <f>SUM(G39+BA39)</f>
        <v>207498</v>
      </c>
      <c r="G39" s="16">
        <f>SUM(H39+I39+J39+Q39+T39+U39+V39+AE39)</f>
        <v>207498</v>
      </c>
      <c r="H39" s="16">
        <f>71660+71660</f>
        <v>143320</v>
      </c>
      <c r="I39" s="16">
        <f>17033+17033</f>
        <v>34066</v>
      </c>
      <c r="J39" s="16">
        <f t="shared" si="7"/>
        <v>5755</v>
      </c>
      <c r="K39" s="16">
        <v>0</v>
      </c>
      <c r="L39" s="16">
        <v>0</v>
      </c>
      <c r="M39" s="16">
        <v>0</v>
      </c>
      <c r="N39" s="16">
        <v>0</v>
      </c>
      <c r="O39" s="16">
        <v>2551</v>
      </c>
      <c r="P39" s="16">
        <v>3204</v>
      </c>
      <c r="Q39" s="16">
        <f t="shared" si="8"/>
        <v>15019</v>
      </c>
      <c r="R39" s="16">
        <v>0</v>
      </c>
      <c r="S39" s="16">
        <v>15019</v>
      </c>
      <c r="T39" s="16">
        <v>0</v>
      </c>
      <c r="U39" s="16">
        <v>1205</v>
      </c>
      <c r="V39" s="16">
        <f>SUM(W39:AD39)</f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f>SUM(AF39:AZ39)</f>
        <v>8133</v>
      </c>
      <c r="AF39" s="16">
        <v>0</v>
      </c>
      <c r="AG39" s="16">
        <v>457</v>
      </c>
      <c r="AH39" s="16">
        <v>0</v>
      </c>
      <c r="AI39" s="16">
        <v>0</v>
      </c>
      <c r="AJ39" s="16">
        <v>159</v>
      </c>
      <c r="AK39" s="16">
        <v>0</v>
      </c>
      <c r="AL39" s="16">
        <v>641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6876</v>
      </c>
      <c r="BA39" s="16">
        <f>SUM(BB39+BF39+BI39+BK39+BM39)</f>
        <v>0</v>
      </c>
      <c r="BB39" s="16">
        <f>SUM(BC39:BE39)</f>
        <v>0</v>
      </c>
      <c r="BC39" s="16">
        <v>0</v>
      </c>
      <c r="BD39" s="16">
        <v>0</v>
      </c>
      <c r="BE39" s="16">
        <v>0</v>
      </c>
      <c r="BF39" s="16">
        <f t="shared" si="9"/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f t="shared" si="10"/>
        <v>0</v>
      </c>
      <c r="BL39" s="16">
        <v>0</v>
      </c>
      <c r="BM39" s="16">
        <f t="shared" si="11"/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f>SUM(BZ39+CS39)</f>
        <v>9903</v>
      </c>
      <c r="BZ39" s="16">
        <f>SUM(CA39+CD39+CK39)</f>
        <v>9903</v>
      </c>
      <c r="CA39" s="16">
        <f t="shared" si="12"/>
        <v>9903</v>
      </c>
      <c r="CB39" s="16">
        <v>0</v>
      </c>
      <c r="CC39" s="16">
        <v>9903</v>
      </c>
      <c r="CD39" s="16">
        <f t="shared" si="13"/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f t="shared" si="14"/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f t="shared" si="15"/>
        <v>0</v>
      </c>
      <c r="CU39" s="16">
        <f t="shared" si="16"/>
        <v>0</v>
      </c>
      <c r="CV39" s="16">
        <v>0</v>
      </c>
      <c r="CW39" s="17">
        <v>0</v>
      </c>
      <c r="CX39" s="40"/>
    </row>
    <row r="40" spans="1:102" ht="15.75" hidden="1" x14ac:dyDescent="0.25">
      <c r="A40" s="13" t="s">
        <v>1</v>
      </c>
      <c r="B40" s="14" t="s">
        <v>1</v>
      </c>
      <c r="C40" s="14" t="s">
        <v>25</v>
      </c>
      <c r="D40" s="30" t="s">
        <v>52</v>
      </c>
      <c r="E40" s="15">
        <f>SUM(F40+BY40+CT40)</f>
        <v>8522507</v>
      </c>
      <c r="F40" s="16">
        <f>SUM(G40+BA40)</f>
        <v>8390920</v>
      </c>
      <c r="G40" s="16">
        <f>SUM(H40+I40+J40+Q40+T40+U40+V40+AE40)</f>
        <v>8388236</v>
      </c>
      <c r="H40" s="16">
        <v>5957760</v>
      </c>
      <c r="I40" s="16">
        <v>1423100</v>
      </c>
      <c r="J40" s="16">
        <f t="shared" si="7"/>
        <v>290917</v>
      </c>
      <c r="K40" s="16">
        <v>0</v>
      </c>
      <c r="L40" s="16">
        <v>90519</v>
      </c>
      <c r="M40" s="16">
        <v>0</v>
      </c>
      <c r="N40" s="16">
        <v>0</v>
      </c>
      <c r="O40" s="16">
        <f>33502+25000</f>
        <v>58502</v>
      </c>
      <c r="P40" s="16">
        <f>141673+223</f>
        <v>141896</v>
      </c>
      <c r="Q40" s="16">
        <f t="shared" si="8"/>
        <v>0</v>
      </c>
      <c r="R40" s="16">
        <v>0</v>
      </c>
      <c r="S40" s="16">
        <v>0</v>
      </c>
      <c r="T40" s="16">
        <v>0</v>
      </c>
      <c r="U40" s="16">
        <v>195026</v>
      </c>
      <c r="V40" s="16">
        <f>SUM(W40:AD40)</f>
        <v>188499</v>
      </c>
      <c r="W40" s="16">
        <f>97870-9453</f>
        <v>88417</v>
      </c>
      <c r="X40" s="16">
        <v>18837</v>
      </c>
      <c r="Y40" s="16">
        <v>30949</v>
      </c>
      <c r="Z40" s="16">
        <v>4421</v>
      </c>
      <c r="AA40" s="16">
        <f>6259-2718</f>
        <v>3541</v>
      </c>
      <c r="AB40" s="16">
        <f>39067-544</f>
        <v>38523</v>
      </c>
      <c r="AC40" s="16">
        <v>0</v>
      </c>
      <c r="AD40" s="16">
        <v>3811</v>
      </c>
      <c r="AE40" s="16">
        <f>SUM(AF40:AZ40)</f>
        <v>332934</v>
      </c>
      <c r="AF40" s="16">
        <v>0</v>
      </c>
      <c r="AG40" s="16">
        <f>33037+12549</f>
        <v>45586</v>
      </c>
      <c r="AH40" s="16">
        <f>18114+136388</f>
        <v>154502</v>
      </c>
      <c r="AI40" s="16">
        <v>0</v>
      </c>
      <c r="AJ40" s="16">
        <f>3182+5000</f>
        <v>8182</v>
      </c>
      <c r="AK40" s="16">
        <v>0</v>
      </c>
      <c r="AL40" s="16">
        <v>65794</v>
      </c>
      <c r="AM40" s="16">
        <f>40000-8447</f>
        <v>31553</v>
      </c>
      <c r="AN40" s="16">
        <v>7566</v>
      </c>
      <c r="AO40" s="16">
        <v>0</v>
      </c>
      <c r="AP40" s="16">
        <v>0</v>
      </c>
      <c r="AQ40" s="16">
        <v>0</v>
      </c>
      <c r="AR40" s="16">
        <v>18164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1587</v>
      </c>
      <c r="BA40" s="16">
        <f>SUM(BB40+BF40+BI40+BJ40+BK40+BM40)</f>
        <v>2684</v>
      </c>
      <c r="BB40" s="16">
        <f>SUM(BC40:BE40)</f>
        <v>0</v>
      </c>
      <c r="BC40" s="16">
        <v>0</v>
      </c>
      <c r="BD40" s="16">
        <v>0</v>
      </c>
      <c r="BE40" s="16">
        <v>0</v>
      </c>
      <c r="BF40" s="16">
        <f t="shared" si="9"/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f t="shared" si="10"/>
        <v>0</v>
      </c>
      <c r="BL40" s="16">
        <v>0</v>
      </c>
      <c r="BM40" s="16">
        <f t="shared" si="11"/>
        <v>2684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2684</v>
      </c>
      <c r="BX40" s="16">
        <v>0</v>
      </c>
      <c r="BY40" s="16">
        <f>SUM(BZ40+CS40)</f>
        <v>131587</v>
      </c>
      <c r="BZ40" s="16">
        <f>SUM(CA40+CD40+CK40)</f>
        <v>131587</v>
      </c>
      <c r="CA40" s="16">
        <f t="shared" si="12"/>
        <v>131587</v>
      </c>
      <c r="CB40" s="16">
        <v>0</v>
      </c>
      <c r="CC40" s="16">
        <v>131587</v>
      </c>
      <c r="CD40" s="16">
        <f t="shared" si="13"/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f t="shared" si="14"/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f t="shared" si="15"/>
        <v>0</v>
      </c>
      <c r="CU40" s="16">
        <f t="shared" si="16"/>
        <v>0</v>
      </c>
      <c r="CV40" s="16">
        <v>0</v>
      </c>
      <c r="CW40" s="17">
        <v>0</v>
      </c>
      <c r="CX40" s="40"/>
    </row>
    <row r="41" spans="1:102" ht="31.5" hidden="1" x14ac:dyDescent="0.25">
      <c r="A41" s="13" t="s">
        <v>1</v>
      </c>
      <c r="B41" s="14" t="s">
        <v>1</v>
      </c>
      <c r="C41" s="14" t="s">
        <v>29</v>
      </c>
      <c r="D41" s="30" t="s">
        <v>53</v>
      </c>
      <c r="E41" s="15">
        <f>SUM(F41+BY41+CT41)</f>
        <v>5190325</v>
      </c>
      <c r="F41" s="16">
        <f>SUM(G41+BA41)</f>
        <v>5124853</v>
      </c>
      <c r="G41" s="16">
        <f>SUM(H41+I41+J41+Q41+T41+U41+V41+AE41)</f>
        <v>5124853</v>
      </c>
      <c r="H41" s="16">
        <f>3299880+238493</f>
        <v>3538373</v>
      </c>
      <c r="I41" s="16">
        <f>804640+56046</f>
        <v>860686</v>
      </c>
      <c r="J41" s="16">
        <f t="shared" si="7"/>
        <v>240637</v>
      </c>
      <c r="K41" s="16">
        <v>0</v>
      </c>
      <c r="L41" s="16">
        <v>0</v>
      </c>
      <c r="M41" s="16">
        <v>0</v>
      </c>
      <c r="N41" s="16">
        <v>0</v>
      </c>
      <c r="O41" s="16">
        <v>153096</v>
      </c>
      <c r="P41" s="16">
        <v>87541</v>
      </c>
      <c r="Q41" s="16">
        <f t="shared" si="8"/>
        <v>934</v>
      </c>
      <c r="R41" s="16">
        <v>934</v>
      </c>
      <c r="S41" s="16">
        <v>0</v>
      </c>
      <c r="T41" s="16">
        <v>0</v>
      </c>
      <c r="U41" s="16">
        <v>149066</v>
      </c>
      <c r="V41" s="16">
        <f>SUM(W41:AD41)</f>
        <v>70393</v>
      </c>
      <c r="W41" s="16">
        <v>0</v>
      </c>
      <c r="X41" s="16">
        <v>23708</v>
      </c>
      <c r="Y41" s="16">
        <v>7194</v>
      </c>
      <c r="Z41" s="16">
        <v>1288</v>
      </c>
      <c r="AA41" s="16">
        <v>1731</v>
      </c>
      <c r="AB41" s="16">
        <v>36161</v>
      </c>
      <c r="AC41" s="16">
        <v>0</v>
      </c>
      <c r="AD41" s="16">
        <f>0+311</f>
        <v>311</v>
      </c>
      <c r="AE41" s="16">
        <f>SUM(AF41:AZ41)</f>
        <v>264764</v>
      </c>
      <c r="AF41" s="16">
        <v>0</v>
      </c>
      <c r="AG41" s="16">
        <v>44827</v>
      </c>
      <c r="AH41" s="16">
        <v>9091</v>
      </c>
      <c r="AI41" s="16">
        <v>0</v>
      </c>
      <c r="AJ41" s="16">
        <v>11138</v>
      </c>
      <c r="AK41" s="16">
        <v>0</v>
      </c>
      <c r="AL41" s="16">
        <v>32736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166972</v>
      </c>
      <c r="BA41" s="16">
        <f>SUM(BB41+BF41+BI41+BJ41+BK41+BM41)</f>
        <v>0</v>
      </c>
      <c r="BB41" s="16">
        <f>SUM(BC41:BE41)</f>
        <v>0</v>
      </c>
      <c r="BC41" s="16">
        <v>0</v>
      </c>
      <c r="BD41" s="16">
        <v>0</v>
      </c>
      <c r="BE41" s="16">
        <v>0</v>
      </c>
      <c r="BF41" s="16">
        <f t="shared" si="9"/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f t="shared" si="10"/>
        <v>0</v>
      </c>
      <c r="BL41" s="16">
        <v>0</v>
      </c>
      <c r="BM41" s="16">
        <f t="shared" si="11"/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f>SUM(BZ41+CS41)</f>
        <v>65472</v>
      </c>
      <c r="BZ41" s="16">
        <f>SUM(CA41+CD41+CK41)</f>
        <v>65472</v>
      </c>
      <c r="CA41" s="16">
        <f t="shared" si="12"/>
        <v>65472</v>
      </c>
      <c r="CB41" s="16">
        <v>0</v>
      </c>
      <c r="CC41" s="16">
        <v>65472</v>
      </c>
      <c r="CD41" s="16">
        <f t="shared" si="13"/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f t="shared" si="14"/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f t="shared" si="15"/>
        <v>0</v>
      </c>
      <c r="CU41" s="16">
        <f t="shared" si="16"/>
        <v>0</v>
      </c>
      <c r="CV41" s="16">
        <v>0</v>
      </c>
      <c r="CW41" s="17">
        <v>0</v>
      </c>
      <c r="CX41" s="40"/>
    </row>
    <row r="42" spans="1:102" ht="15.75" hidden="1" x14ac:dyDescent="0.25">
      <c r="A42" s="13" t="s">
        <v>3</v>
      </c>
      <c r="B42" s="14" t="s">
        <v>54</v>
      </c>
      <c r="C42" s="14" t="s">
        <v>1</v>
      </c>
      <c r="D42" s="30" t="s">
        <v>55</v>
      </c>
      <c r="E42" s="15">
        <f>SUM(E43)</f>
        <v>2882955</v>
      </c>
      <c r="F42" s="16">
        <f t="shared" ref="F42:BS42" si="41">SUM(F43)</f>
        <v>2841243</v>
      </c>
      <c r="G42" s="16">
        <f t="shared" si="41"/>
        <v>2841243</v>
      </c>
      <c r="H42" s="16">
        <f t="shared" si="41"/>
        <v>2163119</v>
      </c>
      <c r="I42" s="16">
        <f t="shared" si="41"/>
        <v>519380</v>
      </c>
      <c r="J42" s="16">
        <f t="shared" si="41"/>
        <v>9514</v>
      </c>
      <c r="K42" s="16">
        <f t="shared" si="41"/>
        <v>0</v>
      </c>
      <c r="L42" s="16">
        <f t="shared" si="41"/>
        <v>0</v>
      </c>
      <c r="M42" s="16">
        <f t="shared" si="41"/>
        <v>0</v>
      </c>
      <c r="N42" s="16">
        <f t="shared" si="41"/>
        <v>0</v>
      </c>
      <c r="O42" s="16">
        <f t="shared" si="41"/>
        <v>0</v>
      </c>
      <c r="P42" s="16">
        <f t="shared" si="41"/>
        <v>9514</v>
      </c>
      <c r="Q42" s="16">
        <f t="shared" si="41"/>
        <v>2622</v>
      </c>
      <c r="R42" s="16">
        <f t="shared" si="41"/>
        <v>2622</v>
      </c>
      <c r="S42" s="16">
        <f t="shared" si="41"/>
        <v>0</v>
      </c>
      <c r="T42" s="16">
        <f t="shared" si="41"/>
        <v>0</v>
      </c>
      <c r="U42" s="16">
        <f t="shared" si="41"/>
        <v>92704</v>
      </c>
      <c r="V42" s="16">
        <f t="shared" si="41"/>
        <v>18668</v>
      </c>
      <c r="W42" s="16">
        <f t="shared" si="41"/>
        <v>3189</v>
      </c>
      <c r="X42" s="16">
        <f t="shared" si="41"/>
        <v>5925</v>
      </c>
      <c r="Y42" s="16">
        <f t="shared" si="41"/>
        <v>4381</v>
      </c>
      <c r="Z42" s="16">
        <f t="shared" si="41"/>
        <v>1102</v>
      </c>
      <c r="AA42" s="16">
        <f t="shared" si="41"/>
        <v>4071</v>
      </c>
      <c r="AB42" s="16">
        <f t="shared" si="41"/>
        <v>0</v>
      </c>
      <c r="AC42" s="16">
        <f t="shared" si="41"/>
        <v>0</v>
      </c>
      <c r="AD42" s="16">
        <f t="shared" si="41"/>
        <v>0</v>
      </c>
      <c r="AE42" s="16">
        <f t="shared" si="41"/>
        <v>35236</v>
      </c>
      <c r="AF42" s="16">
        <f t="shared" si="41"/>
        <v>0</v>
      </c>
      <c r="AG42" s="16">
        <f t="shared" si="41"/>
        <v>1242</v>
      </c>
      <c r="AH42" s="16">
        <f t="shared" si="41"/>
        <v>2000</v>
      </c>
      <c r="AI42" s="16">
        <f t="shared" si="41"/>
        <v>0</v>
      </c>
      <c r="AJ42" s="16">
        <f t="shared" si="41"/>
        <v>11138</v>
      </c>
      <c r="AK42" s="16">
        <f t="shared" si="41"/>
        <v>0</v>
      </c>
      <c r="AL42" s="16">
        <f t="shared" si="41"/>
        <v>20856</v>
      </c>
      <c r="AM42" s="16">
        <f t="shared" si="41"/>
        <v>0</v>
      </c>
      <c r="AN42" s="16">
        <f t="shared" si="41"/>
        <v>0</v>
      </c>
      <c r="AO42" s="16">
        <f t="shared" si="41"/>
        <v>0</v>
      </c>
      <c r="AP42" s="16">
        <f t="shared" si="41"/>
        <v>0</v>
      </c>
      <c r="AQ42" s="16">
        <f t="shared" si="41"/>
        <v>0</v>
      </c>
      <c r="AR42" s="16">
        <f t="shared" si="41"/>
        <v>0</v>
      </c>
      <c r="AS42" s="16">
        <f t="shared" si="41"/>
        <v>0</v>
      </c>
      <c r="AT42" s="16">
        <f t="shared" si="41"/>
        <v>0</v>
      </c>
      <c r="AU42" s="16">
        <f t="shared" si="41"/>
        <v>0</v>
      </c>
      <c r="AV42" s="16">
        <f t="shared" si="41"/>
        <v>0</v>
      </c>
      <c r="AW42" s="16">
        <f t="shared" si="41"/>
        <v>0</v>
      </c>
      <c r="AX42" s="16">
        <f t="shared" si="41"/>
        <v>0</v>
      </c>
      <c r="AY42" s="16">
        <f t="shared" si="41"/>
        <v>0</v>
      </c>
      <c r="AZ42" s="16">
        <f t="shared" si="41"/>
        <v>0</v>
      </c>
      <c r="BA42" s="16">
        <f t="shared" si="41"/>
        <v>0</v>
      </c>
      <c r="BB42" s="16">
        <f t="shared" si="41"/>
        <v>0</v>
      </c>
      <c r="BC42" s="16">
        <f t="shared" si="41"/>
        <v>0</v>
      </c>
      <c r="BD42" s="16">
        <f t="shared" si="41"/>
        <v>0</v>
      </c>
      <c r="BE42" s="16">
        <f t="shared" si="41"/>
        <v>0</v>
      </c>
      <c r="BF42" s="16">
        <f t="shared" si="41"/>
        <v>0</v>
      </c>
      <c r="BG42" s="16">
        <f t="shared" si="41"/>
        <v>0</v>
      </c>
      <c r="BH42" s="16">
        <f t="shared" si="41"/>
        <v>0</v>
      </c>
      <c r="BI42" s="16">
        <f t="shared" si="41"/>
        <v>0</v>
      </c>
      <c r="BJ42" s="16">
        <f t="shared" si="41"/>
        <v>0</v>
      </c>
      <c r="BK42" s="16">
        <f t="shared" si="41"/>
        <v>0</v>
      </c>
      <c r="BL42" s="16">
        <f t="shared" si="41"/>
        <v>0</v>
      </c>
      <c r="BM42" s="16">
        <f t="shared" si="41"/>
        <v>0</v>
      </c>
      <c r="BN42" s="16">
        <f t="shared" si="41"/>
        <v>0</v>
      </c>
      <c r="BO42" s="16">
        <f t="shared" si="41"/>
        <v>0</v>
      </c>
      <c r="BP42" s="16">
        <f t="shared" si="41"/>
        <v>0</v>
      </c>
      <c r="BQ42" s="16">
        <f t="shared" si="41"/>
        <v>0</v>
      </c>
      <c r="BR42" s="16">
        <f t="shared" si="41"/>
        <v>0</v>
      </c>
      <c r="BS42" s="16">
        <f t="shared" si="41"/>
        <v>0</v>
      </c>
      <c r="BT42" s="16">
        <f t="shared" ref="BT42:CW42" si="42">SUM(BT43)</f>
        <v>0</v>
      </c>
      <c r="BU42" s="16">
        <f t="shared" si="42"/>
        <v>0</v>
      </c>
      <c r="BV42" s="16">
        <f t="shared" si="42"/>
        <v>0</v>
      </c>
      <c r="BW42" s="16">
        <f t="shared" si="42"/>
        <v>0</v>
      </c>
      <c r="BX42" s="16">
        <f t="shared" si="42"/>
        <v>0</v>
      </c>
      <c r="BY42" s="16">
        <f t="shared" si="42"/>
        <v>41712</v>
      </c>
      <c r="BZ42" s="16">
        <f t="shared" si="42"/>
        <v>41712</v>
      </c>
      <c r="CA42" s="16">
        <f t="shared" si="42"/>
        <v>41712</v>
      </c>
      <c r="CB42" s="16">
        <f t="shared" si="42"/>
        <v>0</v>
      </c>
      <c r="CC42" s="16">
        <f t="shared" si="42"/>
        <v>41712</v>
      </c>
      <c r="CD42" s="16">
        <f t="shared" si="42"/>
        <v>0</v>
      </c>
      <c r="CE42" s="16">
        <f t="shared" si="42"/>
        <v>0</v>
      </c>
      <c r="CF42" s="16">
        <f t="shared" si="42"/>
        <v>0</v>
      </c>
      <c r="CG42" s="16">
        <f t="shared" si="42"/>
        <v>0</v>
      </c>
      <c r="CH42" s="16">
        <f t="shared" si="42"/>
        <v>0</v>
      </c>
      <c r="CI42" s="16">
        <f t="shared" si="42"/>
        <v>0</v>
      </c>
      <c r="CJ42" s="16">
        <f t="shared" si="42"/>
        <v>0</v>
      </c>
      <c r="CK42" s="16">
        <f t="shared" si="42"/>
        <v>0</v>
      </c>
      <c r="CL42" s="16">
        <f t="shared" si="42"/>
        <v>0</v>
      </c>
      <c r="CM42" s="16">
        <f t="shared" si="42"/>
        <v>0</v>
      </c>
      <c r="CN42" s="16">
        <f t="shared" si="42"/>
        <v>0</v>
      </c>
      <c r="CO42" s="16">
        <f t="shared" si="42"/>
        <v>0</v>
      </c>
      <c r="CP42" s="16">
        <f t="shared" si="42"/>
        <v>0</v>
      </c>
      <c r="CQ42" s="16">
        <f t="shared" si="42"/>
        <v>0</v>
      </c>
      <c r="CR42" s="16">
        <f t="shared" si="42"/>
        <v>0</v>
      </c>
      <c r="CS42" s="16">
        <f t="shared" si="42"/>
        <v>0</v>
      </c>
      <c r="CT42" s="16">
        <f t="shared" si="42"/>
        <v>0</v>
      </c>
      <c r="CU42" s="16">
        <f t="shared" si="42"/>
        <v>0</v>
      </c>
      <c r="CV42" s="16">
        <f t="shared" si="42"/>
        <v>0</v>
      </c>
      <c r="CW42" s="17">
        <f t="shared" si="42"/>
        <v>0</v>
      </c>
      <c r="CX42" s="40"/>
    </row>
    <row r="43" spans="1:102" ht="31.5" hidden="1" x14ac:dyDescent="0.25">
      <c r="A43" s="13" t="s">
        <v>1</v>
      </c>
      <c r="B43" s="14" t="s">
        <v>1</v>
      </c>
      <c r="C43" s="14" t="s">
        <v>45</v>
      </c>
      <c r="D43" s="30" t="s">
        <v>56</v>
      </c>
      <c r="E43" s="15">
        <f>SUM(F43+BY43+CT43)</f>
        <v>2882955</v>
      </c>
      <c r="F43" s="16">
        <f>SUM(G43+BA43)</f>
        <v>2841243</v>
      </c>
      <c r="G43" s="16">
        <f>SUM(H43+I43+J43+Q43+T43+U43+V43+AE43)</f>
        <v>2841243</v>
      </c>
      <c r="H43" s="16">
        <v>2163119</v>
      </c>
      <c r="I43" s="16">
        <v>519380</v>
      </c>
      <c r="J43" s="16">
        <f t="shared" si="7"/>
        <v>9514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9514</v>
      </c>
      <c r="Q43" s="16">
        <f t="shared" si="8"/>
        <v>2622</v>
      </c>
      <c r="R43" s="16">
        <v>2622</v>
      </c>
      <c r="S43" s="16">
        <v>0</v>
      </c>
      <c r="T43" s="16">
        <v>0</v>
      </c>
      <c r="U43" s="16">
        <f>103667-10963</f>
        <v>92704</v>
      </c>
      <c r="V43" s="16">
        <f>SUM(W43:AD43)</f>
        <v>18668</v>
      </c>
      <c r="W43" s="16">
        <v>3189</v>
      </c>
      <c r="X43" s="16">
        <v>5925</v>
      </c>
      <c r="Y43" s="16">
        <v>4381</v>
      </c>
      <c r="Z43" s="16">
        <v>1102</v>
      </c>
      <c r="AA43" s="16">
        <v>4071</v>
      </c>
      <c r="AB43" s="16">
        <v>0</v>
      </c>
      <c r="AC43" s="16">
        <v>0</v>
      </c>
      <c r="AD43" s="16">
        <v>0</v>
      </c>
      <c r="AE43" s="16">
        <f>SUM(AF43:AZ43)</f>
        <v>35236</v>
      </c>
      <c r="AF43" s="16">
        <v>0</v>
      </c>
      <c r="AG43" s="16">
        <v>1242</v>
      </c>
      <c r="AH43" s="16">
        <v>2000</v>
      </c>
      <c r="AI43" s="16">
        <v>0</v>
      </c>
      <c r="AJ43" s="16">
        <v>11138</v>
      </c>
      <c r="AK43" s="16">
        <v>0</v>
      </c>
      <c r="AL43" s="16">
        <v>20856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f>SUM(BB43+BF43+BI43+BJ43+BK43+BM43)</f>
        <v>0</v>
      </c>
      <c r="BB43" s="16">
        <f>SUM(BC43:BE43)</f>
        <v>0</v>
      </c>
      <c r="BC43" s="16">
        <v>0</v>
      </c>
      <c r="BD43" s="16">
        <v>0</v>
      </c>
      <c r="BE43" s="16">
        <v>0</v>
      </c>
      <c r="BF43" s="16">
        <f t="shared" si="9"/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f t="shared" si="10"/>
        <v>0</v>
      </c>
      <c r="BL43" s="16">
        <v>0</v>
      </c>
      <c r="BM43" s="16">
        <f t="shared" si="11"/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f>SUM(BZ43+CS43)</f>
        <v>41712</v>
      </c>
      <c r="BZ43" s="16">
        <f>SUM(CA43+CD43+CK43)</f>
        <v>41712</v>
      </c>
      <c r="CA43" s="16">
        <f t="shared" si="12"/>
        <v>41712</v>
      </c>
      <c r="CB43" s="16">
        <v>0</v>
      </c>
      <c r="CC43" s="16">
        <v>41712</v>
      </c>
      <c r="CD43" s="16">
        <f t="shared" si="13"/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16">
        <f t="shared" si="14"/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0</v>
      </c>
      <c r="CS43" s="16">
        <v>0</v>
      </c>
      <c r="CT43" s="16">
        <f t="shared" si="15"/>
        <v>0</v>
      </c>
      <c r="CU43" s="16">
        <f t="shared" si="16"/>
        <v>0</v>
      </c>
      <c r="CV43" s="16">
        <v>0</v>
      </c>
      <c r="CW43" s="17">
        <v>0</v>
      </c>
      <c r="CX43" s="40"/>
    </row>
    <row r="44" spans="1:102" ht="15.75" hidden="1" x14ac:dyDescent="0.25">
      <c r="A44" s="13" t="s">
        <v>3</v>
      </c>
      <c r="B44" s="14" t="s">
        <v>57</v>
      </c>
      <c r="C44" s="14" t="s">
        <v>1</v>
      </c>
      <c r="D44" s="30" t="s">
        <v>58</v>
      </c>
      <c r="E44" s="15">
        <f t="shared" ref="E44:AJ44" si="43">SUM(E45)</f>
        <v>9839237</v>
      </c>
      <c r="F44" s="16">
        <f t="shared" si="43"/>
        <v>9021832</v>
      </c>
      <c r="G44" s="16">
        <f t="shared" si="43"/>
        <v>9004196</v>
      </c>
      <c r="H44" s="16">
        <f t="shared" si="43"/>
        <v>5122823</v>
      </c>
      <c r="I44" s="16">
        <f t="shared" si="43"/>
        <v>1315145</v>
      </c>
      <c r="J44" s="16">
        <f t="shared" si="43"/>
        <v>462331</v>
      </c>
      <c r="K44" s="16">
        <f t="shared" si="43"/>
        <v>0</v>
      </c>
      <c r="L44" s="16">
        <f t="shared" si="43"/>
        <v>0</v>
      </c>
      <c r="M44" s="16">
        <f t="shared" si="43"/>
        <v>0</v>
      </c>
      <c r="N44" s="16">
        <f t="shared" si="43"/>
        <v>0</v>
      </c>
      <c r="O44" s="16">
        <f t="shared" si="43"/>
        <v>300000</v>
      </c>
      <c r="P44" s="16">
        <f t="shared" si="43"/>
        <v>162331</v>
      </c>
      <c r="Q44" s="16">
        <f t="shared" si="43"/>
        <v>460994</v>
      </c>
      <c r="R44" s="16">
        <f t="shared" si="43"/>
        <v>0</v>
      </c>
      <c r="S44" s="16">
        <f t="shared" si="43"/>
        <v>460994</v>
      </c>
      <c r="T44" s="16">
        <f t="shared" si="43"/>
        <v>0</v>
      </c>
      <c r="U44" s="16">
        <f t="shared" si="43"/>
        <v>391832</v>
      </c>
      <c r="V44" s="16">
        <f t="shared" si="43"/>
        <v>503179</v>
      </c>
      <c r="W44" s="16">
        <f t="shared" si="43"/>
        <v>320324</v>
      </c>
      <c r="X44" s="16">
        <f t="shared" si="43"/>
        <v>85862</v>
      </c>
      <c r="Y44" s="16">
        <f t="shared" si="43"/>
        <v>69707</v>
      </c>
      <c r="Z44" s="16">
        <f t="shared" si="43"/>
        <v>14243</v>
      </c>
      <c r="AA44" s="16">
        <f t="shared" si="43"/>
        <v>13043</v>
      </c>
      <c r="AB44" s="16">
        <f t="shared" si="43"/>
        <v>0</v>
      </c>
      <c r="AC44" s="16">
        <f t="shared" si="43"/>
        <v>0</v>
      </c>
      <c r="AD44" s="16">
        <f t="shared" si="43"/>
        <v>0</v>
      </c>
      <c r="AE44" s="16">
        <f t="shared" si="43"/>
        <v>747892</v>
      </c>
      <c r="AF44" s="16">
        <f t="shared" si="43"/>
        <v>0</v>
      </c>
      <c r="AG44" s="16">
        <f t="shared" si="43"/>
        <v>27183</v>
      </c>
      <c r="AH44" s="16">
        <f t="shared" si="43"/>
        <v>37672</v>
      </c>
      <c r="AI44" s="16">
        <f t="shared" si="43"/>
        <v>0</v>
      </c>
      <c r="AJ44" s="16">
        <f t="shared" si="43"/>
        <v>1591</v>
      </c>
      <c r="AK44" s="16">
        <f t="shared" ref="AK44:BR44" si="44">SUM(AK45)</f>
        <v>20166</v>
      </c>
      <c r="AL44" s="16">
        <f t="shared" si="44"/>
        <v>46750</v>
      </c>
      <c r="AM44" s="16">
        <f t="shared" si="44"/>
        <v>0</v>
      </c>
      <c r="AN44" s="16">
        <f t="shared" si="44"/>
        <v>277213</v>
      </c>
      <c r="AO44" s="16">
        <f t="shared" si="44"/>
        <v>0</v>
      </c>
      <c r="AP44" s="16">
        <f t="shared" si="44"/>
        <v>0</v>
      </c>
      <c r="AQ44" s="16">
        <f t="shared" si="44"/>
        <v>0</v>
      </c>
      <c r="AR44" s="16">
        <f t="shared" si="44"/>
        <v>0</v>
      </c>
      <c r="AS44" s="16">
        <f t="shared" si="44"/>
        <v>14122</v>
      </c>
      <c r="AT44" s="16">
        <f t="shared" si="44"/>
        <v>0</v>
      </c>
      <c r="AU44" s="16">
        <f t="shared" si="44"/>
        <v>0</v>
      </c>
      <c r="AV44" s="16">
        <f t="shared" si="44"/>
        <v>0</v>
      </c>
      <c r="AW44" s="16">
        <f t="shared" si="44"/>
        <v>0</v>
      </c>
      <c r="AX44" s="16">
        <f t="shared" si="44"/>
        <v>0</v>
      </c>
      <c r="AY44" s="16">
        <f t="shared" si="44"/>
        <v>3660</v>
      </c>
      <c r="AZ44" s="16">
        <f t="shared" si="44"/>
        <v>319535</v>
      </c>
      <c r="BA44" s="16">
        <f t="shared" si="44"/>
        <v>17636</v>
      </c>
      <c r="BB44" s="16">
        <f t="shared" si="44"/>
        <v>0</v>
      </c>
      <c r="BC44" s="16">
        <f t="shared" si="44"/>
        <v>0</v>
      </c>
      <c r="BD44" s="16">
        <f t="shared" si="44"/>
        <v>0</v>
      </c>
      <c r="BE44" s="16">
        <f t="shared" si="44"/>
        <v>0</v>
      </c>
      <c r="BF44" s="16">
        <f t="shared" si="44"/>
        <v>0</v>
      </c>
      <c r="BG44" s="16">
        <f t="shared" si="44"/>
        <v>0</v>
      </c>
      <c r="BH44" s="16">
        <f t="shared" si="44"/>
        <v>0</v>
      </c>
      <c r="BI44" s="16">
        <f t="shared" si="44"/>
        <v>0</v>
      </c>
      <c r="BJ44" s="16">
        <f t="shared" si="44"/>
        <v>0</v>
      </c>
      <c r="BK44" s="16">
        <f t="shared" si="44"/>
        <v>0</v>
      </c>
      <c r="BL44" s="16">
        <f t="shared" si="44"/>
        <v>0</v>
      </c>
      <c r="BM44" s="16">
        <f t="shared" si="44"/>
        <v>17636</v>
      </c>
      <c r="BN44" s="16">
        <f t="shared" si="44"/>
        <v>0</v>
      </c>
      <c r="BO44" s="16">
        <f t="shared" si="44"/>
        <v>0</v>
      </c>
      <c r="BP44" s="16">
        <f t="shared" si="44"/>
        <v>0</v>
      </c>
      <c r="BQ44" s="16">
        <f t="shared" si="44"/>
        <v>0</v>
      </c>
      <c r="BR44" s="16">
        <f t="shared" si="44"/>
        <v>0</v>
      </c>
      <c r="BS44" s="16">
        <f t="shared" ref="BS44:CW44" si="45">SUM(BS45)</f>
        <v>0</v>
      </c>
      <c r="BT44" s="16">
        <f t="shared" si="45"/>
        <v>0</v>
      </c>
      <c r="BU44" s="16">
        <f t="shared" si="45"/>
        <v>0</v>
      </c>
      <c r="BV44" s="16">
        <f t="shared" si="45"/>
        <v>0</v>
      </c>
      <c r="BW44" s="16">
        <f t="shared" si="45"/>
        <v>17636</v>
      </c>
      <c r="BX44" s="16">
        <f t="shared" si="45"/>
        <v>0</v>
      </c>
      <c r="BY44" s="16">
        <f t="shared" si="45"/>
        <v>817405</v>
      </c>
      <c r="BZ44" s="16">
        <f t="shared" si="45"/>
        <v>817405</v>
      </c>
      <c r="CA44" s="16">
        <f t="shared" si="45"/>
        <v>93500</v>
      </c>
      <c r="CB44" s="16">
        <f t="shared" si="45"/>
        <v>0</v>
      </c>
      <c r="CC44" s="16">
        <f t="shared" si="45"/>
        <v>93500</v>
      </c>
      <c r="CD44" s="16">
        <f t="shared" si="45"/>
        <v>0</v>
      </c>
      <c r="CE44" s="16">
        <f t="shared" si="45"/>
        <v>0</v>
      </c>
      <c r="CF44" s="16">
        <f t="shared" si="45"/>
        <v>0</v>
      </c>
      <c r="CG44" s="16">
        <f t="shared" si="45"/>
        <v>0</v>
      </c>
      <c r="CH44" s="16">
        <f t="shared" si="45"/>
        <v>0</v>
      </c>
      <c r="CI44" s="16">
        <f t="shared" si="45"/>
        <v>0</v>
      </c>
      <c r="CJ44" s="16">
        <f t="shared" si="45"/>
        <v>0</v>
      </c>
      <c r="CK44" s="16">
        <f t="shared" si="45"/>
        <v>723905</v>
      </c>
      <c r="CL44" s="16">
        <f t="shared" si="45"/>
        <v>0</v>
      </c>
      <c r="CM44" s="16">
        <f t="shared" si="45"/>
        <v>0</v>
      </c>
      <c r="CN44" s="16">
        <f t="shared" si="45"/>
        <v>0</v>
      </c>
      <c r="CO44" s="16">
        <f t="shared" si="45"/>
        <v>723905</v>
      </c>
      <c r="CP44" s="16">
        <f t="shared" si="45"/>
        <v>0</v>
      </c>
      <c r="CQ44" s="16">
        <f t="shared" si="45"/>
        <v>0</v>
      </c>
      <c r="CR44" s="16">
        <f t="shared" si="45"/>
        <v>0</v>
      </c>
      <c r="CS44" s="16">
        <f t="shared" si="45"/>
        <v>0</v>
      </c>
      <c r="CT44" s="16">
        <f t="shared" si="45"/>
        <v>0</v>
      </c>
      <c r="CU44" s="16">
        <f t="shared" si="45"/>
        <v>0</v>
      </c>
      <c r="CV44" s="16">
        <f t="shared" si="45"/>
        <v>0</v>
      </c>
      <c r="CW44" s="17">
        <f t="shared" si="45"/>
        <v>0</v>
      </c>
      <c r="CX44" s="40"/>
    </row>
    <row r="45" spans="1:102" ht="15.75" hidden="1" x14ac:dyDescent="0.25">
      <c r="A45" s="13" t="s">
        <v>1</v>
      </c>
      <c r="B45" s="14" t="s">
        <v>1</v>
      </c>
      <c r="C45" s="14" t="s">
        <v>59</v>
      </c>
      <c r="D45" s="30" t="s">
        <v>60</v>
      </c>
      <c r="E45" s="15">
        <f>SUM(F45+BY45+CT45)</f>
        <v>9839237</v>
      </c>
      <c r="F45" s="16">
        <f>SUM(G45+BA45)</f>
        <v>9021832</v>
      </c>
      <c r="G45" s="16">
        <f>SUM(H45+I45+J45+Q45+T45+U45+V45+AE45)</f>
        <v>9004196</v>
      </c>
      <c r="H45" s="16">
        <f>4674986+447837</f>
        <v>5122823</v>
      </c>
      <c r="I45" s="16">
        <f>1168746+146399</f>
        <v>1315145</v>
      </c>
      <c r="J45" s="16">
        <f t="shared" si="7"/>
        <v>462331</v>
      </c>
      <c r="K45" s="16">
        <v>0</v>
      </c>
      <c r="L45" s="16">
        <v>0</v>
      </c>
      <c r="M45" s="16">
        <v>0</v>
      </c>
      <c r="N45" s="16">
        <v>0</v>
      </c>
      <c r="O45" s="16">
        <v>300000</v>
      </c>
      <c r="P45" s="16">
        <v>162331</v>
      </c>
      <c r="Q45" s="16">
        <f t="shared" si="8"/>
        <v>460994</v>
      </c>
      <c r="R45" s="16">
        <v>0</v>
      </c>
      <c r="S45" s="16">
        <v>460994</v>
      </c>
      <c r="T45" s="16">
        <v>0</v>
      </c>
      <c r="U45" s="16">
        <v>391832</v>
      </c>
      <c r="V45" s="16">
        <f>SUM(W45:AD45)</f>
        <v>503179</v>
      </c>
      <c r="W45" s="16">
        <f>25450+294874</f>
        <v>320324</v>
      </c>
      <c r="X45" s="16">
        <v>85862</v>
      </c>
      <c r="Y45" s="16">
        <v>69707</v>
      </c>
      <c r="Z45" s="16">
        <v>14243</v>
      </c>
      <c r="AA45" s="16">
        <v>13043</v>
      </c>
      <c r="AB45" s="16">
        <v>0</v>
      </c>
      <c r="AC45" s="16">
        <v>0</v>
      </c>
      <c r="AD45" s="16">
        <v>0</v>
      </c>
      <c r="AE45" s="16">
        <f>SUM(AF45:AZ45)</f>
        <v>747892</v>
      </c>
      <c r="AF45" s="16">
        <v>0</v>
      </c>
      <c r="AG45" s="16">
        <f>20950+6233</f>
        <v>27183</v>
      </c>
      <c r="AH45" s="16">
        <v>37672</v>
      </c>
      <c r="AI45" s="16">
        <v>0</v>
      </c>
      <c r="AJ45" s="16">
        <v>1591</v>
      </c>
      <c r="AK45" s="16">
        <v>20166</v>
      </c>
      <c r="AL45" s="16">
        <v>46750</v>
      </c>
      <c r="AM45" s="16">
        <v>0</v>
      </c>
      <c r="AN45" s="16">
        <f>237315+39898</f>
        <v>277213</v>
      </c>
      <c r="AO45" s="16">
        <v>0</v>
      </c>
      <c r="AP45" s="16">
        <v>0</v>
      </c>
      <c r="AQ45" s="16">
        <v>0</v>
      </c>
      <c r="AR45" s="16">
        <v>0</v>
      </c>
      <c r="AS45" s="16">
        <f>6840+7282</f>
        <v>14122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f>0+3660</f>
        <v>3660</v>
      </c>
      <c r="AZ45" s="16">
        <f>323195-3660</f>
        <v>319535</v>
      </c>
      <c r="BA45" s="16">
        <f>SUM(BB45+BF45+BI45+BJ45+BK45+BM45)</f>
        <v>17636</v>
      </c>
      <c r="BB45" s="16">
        <f>SUM(BC45:BE45)</f>
        <v>0</v>
      </c>
      <c r="BC45" s="16">
        <v>0</v>
      </c>
      <c r="BD45" s="16">
        <v>0</v>
      </c>
      <c r="BE45" s="16">
        <v>0</v>
      </c>
      <c r="BF45" s="16">
        <f t="shared" si="9"/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f t="shared" si="10"/>
        <v>0</v>
      </c>
      <c r="BL45" s="16">
        <v>0</v>
      </c>
      <c r="BM45" s="16">
        <f t="shared" si="11"/>
        <v>17636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17636</v>
      </c>
      <c r="BX45" s="16">
        <v>0</v>
      </c>
      <c r="BY45" s="16">
        <f>SUM(BZ45+CS45)</f>
        <v>817405</v>
      </c>
      <c r="BZ45" s="16">
        <f>SUM(CA45+CD45+CK45)</f>
        <v>817405</v>
      </c>
      <c r="CA45" s="16">
        <f t="shared" si="12"/>
        <v>93500</v>
      </c>
      <c r="CB45" s="16">
        <v>0</v>
      </c>
      <c r="CC45" s="16">
        <v>93500</v>
      </c>
      <c r="CD45" s="16">
        <f t="shared" si="13"/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f t="shared" si="14"/>
        <v>723905</v>
      </c>
      <c r="CL45" s="16">
        <v>0</v>
      </c>
      <c r="CM45" s="16">
        <v>0</v>
      </c>
      <c r="CN45" s="16">
        <v>0</v>
      </c>
      <c r="CO45" s="16">
        <f>1072192-348287</f>
        <v>723905</v>
      </c>
      <c r="CP45" s="16">
        <v>0</v>
      </c>
      <c r="CQ45" s="16">
        <v>0</v>
      </c>
      <c r="CR45" s="16">
        <v>0</v>
      </c>
      <c r="CS45" s="16">
        <v>0</v>
      </c>
      <c r="CT45" s="16">
        <f t="shared" si="15"/>
        <v>0</v>
      </c>
      <c r="CU45" s="16">
        <f t="shared" si="16"/>
        <v>0</v>
      </c>
      <c r="CV45" s="16">
        <v>0</v>
      </c>
      <c r="CW45" s="17">
        <v>0</v>
      </c>
      <c r="CX45" s="40"/>
    </row>
    <row r="46" spans="1:102" ht="15.75" hidden="1" x14ac:dyDescent="0.25">
      <c r="A46" s="18" t="s">
        <v>61</v>
      </c>
      <c r="B46" s="19" t="s">
        <v>1</v>
      </c>
      <c r="C46" s="19" t="s">
        <v>1</v>
      </c>
      <c r="D46" s="31" t="s">
        <v>62</v>
      </c>
      <c r="E46" s="20">
        <f>SUM(E47+E49+E51+E53+E55)</f>
        <v>48458327</v>
      </c>
      <c r="F46" s="21">
        <f t="shared" ref="F46:BS46" si="46">SUM(F47+F49+F51+F53+F55)</f>
        <v>47708571</v>
      </c>
      <c r="G46" s="21">
        <f t="shared" si="46"/>
        <v>47387046</v>
      </c>
      <c r="H46" s="21">
        <f t="shared" si="46"/>
        <v>38489403</v>
      </c>
      <c r="I46" s="21">
        <f t="shared" si="46"/>
        <v>4034868</v>
      </c>
      <c r="J46" s="21">
        <f t="shared" si="46"/>
        <v>1284457</v>
      </c>
      <c r="K46" s="21">
        <f t="shared" si="46"/>
        <v>0</v>
      </c>
      <c r="L46" s="21">
        <f t="shared" si="46"/>
        <v>89691</v>
      </c>
      <c r="M46" s="21">
        <f t="shared" si="46"/>
        <v>0</v>
      </c>
      <c r="N46" s="21">
        <f t="shared" si="46"/>
        <v>0</v>
      </c>
      <c r="O46" s="21">
        <f t="shared" si="46"/>
        <v>892200</v>
      </c>
      <c r="P46" s="21">
        <f t="shared" si="46"/>
        <v>302566</v>
      </c>
      <c r="Q46" s="21">
        <f t="shared" si="46"/>
        <v>239</v>
      </c>
      <c r="R46" s="21">
        <f t="shared" si="46"/>
        <v>239</v>
      </c>
      <c r="S46" s="21">
        <f t="shared" si="46"/>
        <v>0</v>
      </c>
      <c r="T46" s="21">
        <f t="shared" si="46"/>
        <v>0</v>
      </c>
      <c r="U46" s="21">
        <f t="shared" si="46"/>
        <v>888852</v>
      </c>
      <c r="V46" s="21">
        <f t="shared" si="46"/>
        <v>332009</v>
      </c>
      <c r="W46" s="21">
        <f t="shared" si="46"/>
        <v>134737</v>
      </c>
      <c r="X46" s="21">
        <f t="shared" si="46"/>
        <v>62753</v>
      </c>
      <c r="Y46" s="21">
        <f t="shared" si="46"/>
        <v>89011</v>
      </c>
      <c r="Z46" s="21">
        <f t="shared" si="46"/>
        <v>15716</v>
      </c>
      <c r="AA46" s="21">
        <f t="shared" si="46"/>
        <v>13481</v>
      </c>
      <c r="AB46" s="21">
        <f t="shared" si="46"/>
        <v>0</v>
      </c>
      <c r="AC46" s="21">
        <f t="shared" si="46"/>
        <v>0</v>
      </c>
      <c r="AD46" s="21">
        <f t="shared" ref="AD46" si="47">SUM(AD47+AD49+AD51+AD53+AD55)</f>
        <v>16311</v>
      </c>
      <c r="AE46" s="21">
        <f t="shared" si="46"/>
        <v>2357218</v>
      </c>
      <c r="AF46" s="21">
        <f t="shared" si="46"/>
        <v>0</v>
      </c>
      <c r="AG46" s="21">
        <f t="shared" si="46"/>
        <v>15926</v>
      </c>
      <c r="AH46" s="21">
        <f t="shared" si="46"/>
        <v>107655</v>
      </c>
      <c r="AI46" s="21">
        <f t="shared" si="46"/>
        <v>0</v>
      </c>
      <c r="AJ46" s="21">
        <f t="shared" si="46"/>
        <v>81811</v>
      </c>
      <c r="AK46" s="21">
        <f t="shared" si="46"/>
        <v>28400</v>
      </c>
      <c r="AL46" s="21">
        <f t="shared" si="46"/>
        <v>193029</v>
      </c>
      <c r="AM46" s="21">
        <f t="shared" si="46"/>
        <v>265897</v>
      </c>
      <c r="AN46" s="21">
        <f t="shared" si="46"/>
        <v>166064</v>
      </c>
      <c r="AO46" s="21">
        <f t="shared" si="46"/>
        <v>38024</v>
      </c>
      <c r="AP46" s="21">
        <f>SUM(AP47+AP49+AP51+AP53+AP55)</f>
        <v>0</v>
      </c>
      <c r="AQ46" s="21">
        <f t="shared" si="46"/>
        <v>0</v>
      </c>
      <c r="AR46" s="21">
        <f t="shared" si="46"/>
        <v>793872</v>
      </c>
      <c r="AS46" s="21">
        <f t="shared" si="46"/>
        <v>5000</v>
      </c>
      <c r="AT46" s="21">
        <f t="shared" si="46"/>
        <v>524239</v>
      </c>
      <c r="AU46" s="21">
        <f t="shared" si="46"/>
        <v>0</v>
      </c>
      <c r="AV46" s="21">
        <f t="shared" si="46"/>
        <v>0</v>
      </c>
      <c r="AW46" s="21">
        <f t="shared" si="46"/>
        <v>0</v>
      </c>
      <c r="AX46" s="21">
        <f t="shared" si="46"/>
        <v>0</v>
      </c>
      <c r="AY46" s="21">
        <f t="shared" si="46"/>
        <v>0</v>
      </c>
      <c r="AZ46" s="21">
        <f t="shared" si="46"/>
        <v>137301</v>
      </c>
      <c r="BA46" s="21">
        <f t="shared" si="46"/>
        <v>321525</v>
      </c>
      <c r="BB46" s="21">
        <f t="shared" si="46"/>
        <v>0</v>
      </c>
      <c r="BC46" s="21">
        <f t="shared" si="46"/>
        <v>0</v>
      </c>
      <c r="BD46" s="21">
        <f t="shared" si="46"/>
        <v>0</v>
      </c>
      <c r="BE46" s="21">
        <f t="shared" si="46"/>
        <v>0</v>
      </c>
      <c r="BF46" s="21">
        <f t="shared" si="46"/>
        <v>0</v>
      </c>
      <c r="BG46" s="21">
        <f t="shared" si="46"/>
        <v>0</v>
      </c>
      <c r="BH46" s="21">
        <f t="shared" si="46"/>
        <v>0</v>
      </c>
      <c r="BI46" s="21">
        <f t="shared" si="46"/>
        <v>0</v>
      </c>
      <c r="BJ46" s="21">
        <f t="shared" si="46"/>
        <v>0</v>
      </c>
      <c r="BK46" s="21">
        <f t="shared" si="46"/>
        <v>0</v>
      </c>
      <c r="BL46" s="21">
        <f t="shared" si="46"/>
        <v>0</v>
      </c>
      <c r="BM46" s="21">
        <f t="shared" si="46"/>
        <v>321525</v>
      </c>
      <c r="BN46" s="21">
        <f t="shared" si="46"/>
        <v>0</v>
      </c>
      <c r="BO46" s="21">
        <f t="shared" si="46"/>
        <v>0</v>
      </c>
      <c r="BP46" s="21">
        <f t="shared" si="46"/>
        <v>0</v>
      </c>
      <c r="BQ46" s="21">
        <f t="shared" si="46"/>
        <v>0</v>
      </c>
      <c r="BR46" s="21">
        <f t="shared" si="46"/>
        <v>0</v>
      </c>
      <c r="BS46" s="21">
        <f t="shared" si="46"/>
        <v>0</v>
      </c>
      <c r="BT46" s="21">
        <f t="shared" ref="BT46:CW46" si="48">SUM(BT47+BT49+BT51+BT53+BT55)</f>
        <v>0</v>
      </c>
      <c r="BU46" s="21">
        <f t="shared" si="48"/>
        <v>0</v>
      </c>
      <c r="BV46" s="21">
        <f t="shared" si="48"/>
        <v>0</v>
      </c>
      <c r="BW46" s="21">
        <f t="shared" si="48"/>
        <v>39491</v>
      </c>
      <c r="BX46" s="21">
        <f t="shared" si="48"/>
        <v>282034</v>
      </c>
      <c r="BY46" s="21">
        <f t="shared" si="48"/>
        <v>749756</v>
      </c>
      <c r="BZ46" s="21">
        <f t="shared" si="48"/>
        <v>749756</v>
      </c>
      <c r="CA46" s="21">
        <f t="shared" si="48"/>
        <v>749756</v>
      </c>
      <c r="CB46" s="21">
        <f t="shared" si="48"/>
        <v>0</v>
      </c>
      <c r="CC46" s="21">
        <f t="shared" si="48"/>
        <v>749756</v>
      </c>
      <c r="CD46" s="21">
        <f t="shared" si="48"/>
        <v>0</v>
      </c>
      <c r="CE46" s="21">
        <f t="shared" si="48"/>
        <v>0</v>
      </c>
      <c r="CF46" s="21">
        <f>SUM(CF47+CF49+CF51+CF53+CF55)</f>
        <v>0</v>
      </c>
      <c r="CG46" s="21">
        <f t="shared" si="48"/>
        <v>0</v>
      </c>
      <c r="CH46" s="21">
        <f t="shared" si="48"/>
        <v>0</v>
      </c>
      <c r="CI46" s="21">
        <f t="shared" si="48"/>
        <v>0</v>
      </c>
      <c r="CJ46" s="21">
        <f t="shared" ref="CJ46" si="49">SUM(CJ47+CJ49+CJ51+CJ53+CJ55)</f>
        <v>0</v>
      </c>
      <c r="CK46" s="21">
        <f t="shared" si="48"/>
        <v>0</v>
      </c>
      <c r="CL46" s="21">
        <f t="shared" si="48"/>
        <v>0</v>
      </c>
      <c r="CM46" s="21">
        <f>SUM(CM47+CM49+CM51+CM53+CM55)</f>
        <v>0</v>
      </c>
      <c r="CN46" s="21">
        <f t="shared" si="48"/>
        <v>0</v>
      </c>
      <c r="CO46" s="21">
        <f t="shared" si="48"/>
        <v>0</v>
      </c>
      <c r="CP46" s="21">
        <f t="shared" si="48"/>
        <v>0</v>
      </c>
      <c r="CQ46" s="21">
        <f t="shared" si="48"/>
        <v>0</v>
      </c>
      <c r="CR46" s="21">
        <f t="shared" si="48"/>
        <v>0</v>
      </c>
      <c r="CS46" s="21">
        <f t="shared" si="48"/>
        <v>0</v>
      </c>
      <c r="CT46" s="21">
        <f t="shared" si="48"/>
        <v>0</v>
      </c>
      <c r="CU46" s="21">
        <f t="shared" si="48"/>
        <v>0</v>
      </c>
      <c r="CV46" s="21">
        <f t="shared" si="48"/>
        <v>0</v>
      </c>
      <c r="CW46" s="22">
        <f t="shared" si="48"/>
        <v>0</v>
      </c>
      <c r="CX46" s="40"/>
    </row>
    <row r="47" spans="1:102" ht="15.75" hidden="1" x14ac:dyDescent="0.25">
      <c r="A47" s="13" t="s">
        <v>7</v>
      </c>
      <c r="B47" s="14" t="s">
        <v>3</v>
      </c>
      <c r="C47" s="14" t="s">
        <v>1</v>
      </c>
      <c r="D47" s="30" t="s">
        <v>63</v>
      </c>
      <c r="E47" s="15">
        <f t="shared" ref="E47:AJ47" si="50">SUM(E48)</f>
        <v>4213597</v>
      </c>
      <c r="F47" s="16">
        <f t="shared" si="50"/>
        <v>4160781</v>
      </c>
      <c r="G47" s="16">
        <f t="shared" si="50"/>
        <v>4148895</v>
      </c>
      <c r="H47" s="16">
        <f t="shared" si="50"/>
        <v>3200453</v>
      </c>
      <c r="I47" s="16">
        <f t="shared" si="50"/>
        <v>426706</v>
      </c>
      <c r="J47" s="16">
        <f t="shared" si="50"/>
        <v>123843</v>
      </c>
      <c r="K47" s="16">
        <f t="shared" si="50"/>
        <v>0</v>
      </c>
      <c r="L47" s="16">
        <f t="shared" si="50"/>
        <v>4936</v>
      </c>
      <c r="M47" s="16">
        <f t="shared" si="50"/>
        <v>0</v>
      </c>
      <c r="N47" s="16">
        <f t="shared" si="50"/>
        <v>0</v>
      </c>
      <c r="O47" s="16">
        <f t="shared" si="50"/>
        <v>98576</v>
      </c>
      <c r="P47" s="16">
        <f t="shared" si="50"/>
        <v>20331</v>
      </c>
      <c r="Q47" s="16">
        <f t="shared" si="50"/>
        <v>0</v>
      </c>
      <c r="R47" s="16">
        <f t="shared" si="50"/>
        <v>0</v>
      </c>
      <c r="S47" s="16">
        <f t="shared" si="50"/>
        <v>0</v>
      </c>
      <c r="T47" s="16">
        <f t="shared" si="50"/>
        <v>0</v>
      </c>
      <c r="U47" s="16">
        <f t="shared" si="50"/>
        <v>108614</v>
      </c>
      <c r="V47" s="16">
        <f t="shared" si="50"/>
        <v>29940</v>
      </c>
      <c r="W47" s="16">
        <f t="shared" si="50"/>
        <v>1072</v>
      </c>
      <c r="X47" s="16">
        <f t="shared" si="50"/>
        <v>0</v>
      </c>
      <c r="Y47" s="16">
        <f t="shared" si="50"/>
        <v>21515</v>
      </c>
      <c r="Z47" s="16">
        <f t="shared" si="50"/>
        <v>2431</v>
      </c>
      <c r="AA47" s="16">
        <f t="shared" si="50"/>
        <v>1003</v>
      </c>
      <c r="AB47" s="16">
        <f t="shared" si="50"/>
        <v>0</v>
      </c>
      <c r="AC47" s="16">
        <f t="shared" si="50"/>
        <v>0</v>
      </c>
      <c r="AD47" s="16">
        <f t="shared" si="50"/>
        <v>3919</v>
      </c>
      <c r="AE47" s="16">
        <f t="shared" si="50"/>
        <v>259339</v>
      </c>
      <c r="AF47" s="16">
        <f t="shared" si="50"/>
        <v>0</v>
      </c>
      <c r="AG47" s="16">
        <f t="shared" si="50"/>
        <v>2653</v>
      </c>
      <c r="AH47" s="16">
        <f t="shared" si="50"/>
        <v>10248</v>
      </c>
      <c r="AI47" s="16">
        <f t="shared" si="50"/>
        <v>0</v>
      </c>
      <c r="AJ47" s="16">
        <f t="shared" si="50"/>
        <v>24591</v>
      </c>
      <c r="AK47" s="16">
        <f t="shared" ref="AK47:BR47" si="51">SUM(AK48)</f>
        <v>0</v>
      </c>
      <c r="AL47" s="16">
        <f t="shared" si="51"/>
        <v>26408</v>
      </c>
      <c r="AM47" s="16">
        <f t="shared" si="51"/>
        <v>48762</v>
      </c>
      <c r="AN47" s="16">
        <f t="shared" si="51"/>
        <v>69646</v>
      </c>
      <c r="AO47" s="16">
        <f t="shared" si="51"/>
        <v>0</v>
      </c>
      <c r="AP47" s="16">
        <f t="shared" si="51"/>
        <v>0</v>
      </c>
      <c r="AQ47" s="16">
        <f t="shared" si="51"/>
        <v>0</v>
      </c>
      <c r="AR47" s="16">
        <f t="shared" si="51"/>
        <v>76834</v>
      </c>
      <c r="AS47" s="16">
        <f t="shared" si="51"/>
        <v>0</v>
      </c>
      <c r="AT47" s="16">
        <f t="shared" si="51"/>
        <v>0</v>
      </c>
      <c r="AU47" s="16">
        <f t="shared" si="51"/>
        <v>0</v>
      </c>
      <c r="AV47" s="16">
        <f t="shared" si="51"/>
        <v>0</v>
      </c>
      <c r="AW47" s="16">
        <f t="shared" si="51"/>
        <v>0</v>
      </c>
      <c r="AX47" s="16">
        <f t="shared" si="51"/>
        <v>0</v>
      </c>
      <c r="AY47" s="16">
        <f t="shared" si="51"/>
        <v>0</v>
      </c>
      <c r="AZ47" s="16">
        <f t="shared" si="51"/>
        <v>197</v>
      </c>
      <c r="BA47" s="16">
        <f t="shared" si="51"/>
        <v>11886</v>
      </c>
      <c r="BB47" s="16">
        <f t="shared" si="51"/>
        <v>0</v>
      </c>
      <c r="BC47" s="16">
        <f t="shared" si="51"/>
        <v>0</v>
      </c>
      <c r="BD47" s="16">
        <f t="shared" si="51"/>
        <v>0</v>
      </c>
      <c r="BE47" s="16">
        <f t="shared" si="51"/>
        <v>0</v>
      </c>
      <c r="BF47" s="16">
        <f t="shared" si="51"/>
        <v>0</v>
      </c>
      <c r="BG47" s="16">
        <f t="shared" si="51"/>
        <v>0</v>
      </c>
      <c r="BH47" s="16">
        <f t="shared" si="51"/>
        <v>0</v>
      </c>
      <c r="BI47" s="16">
        <f t="shared" si="51"/>
        <v>0</v>
      </c>
      <c r="BJ47" s="16">
        <f t="shared" si="51"/>
        <v>0</v>
      </c>
      <c r="BK47" s="16">
        <f t="shared" si="51"/>
        <v>0</v>
      </c>
      <c r="BL47" s="16">
        <f t="shared" si="51"/>
        <v>0</v>
      </c>
      <c r="BM47" s="16">
        <f t="shared" si="51"/>
        <v>11886</v>
      </c>
      <c r="BN47" s="16">
        <f t="shared" si="51"/>
        <v>0</v>
      </c>
      <c r="BO47" s="16">
        <f t="shared" si="51"/>
        <v>0</v>
      </c>
      <c r="BP47" s="16">
        <f t="shared" si="51"/>
        <v>0</v>
      </c>
      <c r="BQ47" s="16">
        <f t="shared" si="51"/>
        <v>0</v>
      </c>
      <c r="BR47" s="16">
        <f t="shared" si="51"/>
        <v>0</v>
      </c>
      <c r="BS47" s="16">
        <f t="shared" ref="BS47:CW47" si="52">SUM(BS48)</f>
        <v>0</v>
      </c>
      <c r="BT47" s="16">
        <f t="shared" si="52"/>
        <v>0</v>
      </c>
      <c r="BU47" s="16">
        <f t="shared" si="52"/>
        <v>0</v>
      </c>
      <c r="BV47" s="16">
        <f t="shared" si="52"/>
        <v>0</v>
      </c>
      <c r="BW47" s="16">
        <f t="shared" si="52"/>
        <v>11886</v>
      </c>
      <c r="BX47" s="16">
        <f t="shared" si="52"/>
        <v>0</v>
      </c>
      <c r="BY47" s="16">
        <f t="shared" si="52"/>
        <v>52816</v>
      </c>
      <c r="BZ47" s="16">
        <f t="shared" si="52"/>
        <v>52816</v>
      </c>
      <c r="CA47" s="16">
        <f t="shared" si="52"/>
        <v>52816</v>
      </c>
      <c r="CB47" s="16">
        <f t="shared" si="52"/>
        <v>0</v>
      </c>
      <c r="CC47" s="16">
        <f t="shared" si="52"/>
        <v>52816</v>
      </c>
      <c r="CD47" s="16">
        <f t="shared" si="52"/>
        <v>0</v>
      </c>
      <c r="CE47" s="16">
        <f t="shared" si="52"/>
        <v>0</v>
      </c>
      <c r="CF47" s="16">
        <f t="shared" si="52"/>
        <v>0</v>
      </c>
      <c r="CG47" s="16">
        <f t="shared" si="52"/>
        <v>0</v>
      </c>
      <c r="CH47" s="16">
        <f t="shared" si="52"/>
        <v>0</v>
      </c>
      <c r="CI47" s="16">
        <f t="shared" si="52"/>
        <v>0</v>
      </c>
      <c r="CJ47" s="16">
        <f t="shared" si="52"/>
        <v>0</v>
      </c>
      <c r="CK47" s="16">
        <f t="shared" si="52"/>
        <v>0</v>
      </c>
      <c r="CL47" s="16">
        <f t="shared" si="52"/>
        <v>0</v>
      </c>
      <c r="CM47" s="16">
        <f t="shared" si="52"/>
        <v>0</v>
      </c>
      <c r="CN47" s="16">
        <f t="shared" si="52"/>
        <v>0</v>
      </c>
      <c r="CO47" s="16">
        <f t="shared" si="52"/>
        <v>0</v>
      </c>
      <c r="CP47" s="16">
        <f t="shared" si="52"/>
        <v>0</v>
      </c>
      <c r="CQ47" s="16">
        <f t="shared" si="52"/>
        <v>0</v>
      </c>
      <c r="CR47" s="16">
        <f t="shared" si="52"/>
        <v>0</v>
      </c>
      <c r="CS47" s="16">
        <f t="shared" si="52"/>
        <v>0</v>
      </c>
      <c r="CT47" s="16">
        <f t="shared" si="52"/>
        <v>0</v>
      </c>
      <c r="CU47" s="16">
        <f t="shared" si="52"/>
        <v>0</v>
      </c>
      <c r="CV47" s="16">
        <f t="shared" si="52"/>
        <v>0</v>
      </c>
      <c r="CW47" s="17">
        <f t="shared" si="52"/>
        <v>0</v>
      </c>
      <c r="CX47" s="40"/>
    </row>
    <row r="48" spans="1:102" ht="15.75" hidden="1" x14ac:dyDescent="0.25">
      <c r="A48" s="13" t="s">
        <v>1</v>
      </c>
      <c r="B48" s="14" t="s">
        <v>1</v>
      </c>
      <c r="C48" s="14" t="s">
        <v>64</v>
      </c>
      <c r="D48" s="30" t="s">
        <v>65</v>
      </c>
      <c r="E48" s="15">
        <f>SUM(F48+BY48+CT48)</f>
        <v>4213597</v>
      </c>
      <c r="F48" s="16">
        <f>SUM(G48+BA48)</f>
        <v>4160781</v>
      </c>
      <c r="G48" s="16">
        <f>SUM(H48+I48+J48+Q48+T48+U48+V48+AE48)</f>
        <v>4148895</v>
      </c>
      <c r="H48" s="16">
        <v>3200453</v>
      </c>
      <c r="I48" s="16">
        <v>426706</v>
      </c>
      <c r="J48" s="16">
        <f t="shared" si="7"/>
        <v>123843</v>
      </c>
      <c r="K48" s="16">
        <v>0</v>
      </c>
      <c r="L48" s="16">
        <v>4936</v>
      </c>
      <c r="M48" s="16">
        <v>0</v>
      </c>
      <c r="N48" s="16">
        <v>0</v>
      </c>
      <c r="O48" s="16">
        <v>98576</v>
      </c>
      <c r="P48" s="16">
        <v>20331</v>
      </c>
      <c r="Q48" s="16">
        <f t="shared" si="8"/>
        <v>0</v>
      </c>
      <c r="R48" s="16">
        <v>0</v>
      </c>
      <c r="S48" s="16">
        <v>0</v>
      </c>
      <c r="T48" s="16">
        <v>0</v>
      </c>
      <c r="U48" s="16">
        <v>108614</v>
      </c>
      <c r="V48" s="16">
        <f>SUM(W48:AD48)</f>
        <v>29940</v>
      </c>
      <c r="W48" s="16">
        <v>1072</v>
      </c>
      <c r="X48" s="16">
        <v>0</v>
      </c>
      <c r="Y48" s="16">
        <v>21515</v>
      </c>
      <c r="Z48" s="16">
        <v>2431</v>
      </c>
      <c r="AA48" s="16">
        <v>1003</v>
      </c>
      <c r="AB48" s="16">
        <v>0</v>
      </c>
      <c r="AC48" s="16">
        <v>0</v>
      </c>
      <c r="AD48" s="16">
        <v>3919</v>
      </c>
      <c r="AE48" s="16">
        <f>SUM(AF48:AZ48)</f>
        <v>259339</v>
      </c>
      <c r="AF48" s="16">
        <v>0</v>
      </c>
      <c r="AG48" s="16">
        <v>2653</v>
      </c>
      <c r="AH48" s="16">
        <v>10248</v>
      </c>
      <c r="AI48" s="16">
        <v>0</v>
      </c>
      <c r="AJ48" s="16">
        <v>24591</v>
      </c>
      <c r="AK48" s="16">
        <v>0</v>
      </c>
      <c r="AL48" s="16">
        <v>26408</v>
      </c>
      <c r="AM48" s="16">
        <v>48762</v>
      </c>
      <c r="AN48" s="16">
        <v>69646</v>
      </c>
      <c r="AO48" s="16">
        <v>0</v>
      </c>
      <c r="AP48" s="16">
        <v>0</v>
      </c>
      <c r="AQ48" s="16">
        <v>0</v>
      </c>
      <c r="AR48" s="16">
        <v>76834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197</v>
      </c>
      <c r="BA48" s="16">
        <f>SUM(BB48+BF48+BI48+BJ48+BK48+BM48)</f>
        <v>11886</v>
      </c>
      <c r="BB48" s="16">
        <f>SUM(BC48:BE48)</f>
        <v>0</v>
      </c>
      <c r="BC48" s="16">
        <v>0</v>
      </c>
      <c r="BD48" s="16">
        <v>0</v>
      </c>
      <c r="BE48" s="16">
        <v>0</v>
      </c>
      <c r="BF48" s="16">
        <f t="shared" si="9"/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f t="shared" si="10"/>
        <v>0</v>
      </c>
      <c r="BL48" s="16">
        <v>0</v>
      </c>
      <c r="BM48" s="16">
        <f t="shared" si="11"/>
        <v>11886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11886</v>
      </c>
      <c r="BX48" s="16">
        <v>0</v>
      </c>
      <c r="BY48" s="16">
        <f>SUM(BZ48+CS48)</f>
        <v>52816</v>
      </c>
      <c r="BZ48" s="16">
        <f>SUM(CA48+CD48+CK48)</f>
        <v>52816</v>
      </c>
      <c r="CA48" s="16">
        <f t="shared" si="12"/>
        <v>52816</v>
      </c>
      <c r="CB48" s="16">
        <v>0</v>
      </c>
      <c r="CC48" s="16">
        <v>52816</v>
      </c>
      <c r="CD48" s="16">
        <f t="shared" si="13"/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6">
        <v>0</v>
      </c>
      <c r="CK48" s="16">
        <f t="shared" si="14"/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f t="shared" si="15"/>
        <v>0</v>
      </c>
      <c r="CU48" s="16">
        <f t="shared" si="16"/>
        <v>0</v>
      </c>
      <c r="CV48" s="16">
        <v>0</v>
      </c>
      <c r="CW48" s="17">
        <v>0</v>
      </c>
      <c r="CX48" s="40"/>
    </row>
    <row r="49" spans="1:102" ht="15.75" hidden="1" x14ac:dyDescent="0.25">
      <c r="A49" s="13" t="s">
        <v>7</v>
      </c>
      <c r="B49" s="14" t="s">
        <v>7</v>
      </c>
      <c r="C49" s="14" t="s">
        <v>1</v>
      </c>
      <c r="D49" s="30" t="s">
        <v>66</v>
      </c>
      <c r="E49" s="15">
        <f t="shared" ref="E49:AJ49" si="53">SUM(E50)</f>
        <v>12712512</v>
      </c>
      <c r="F49" s="16">
        <f t="shared" si="53"/>
        <v>12509778</v>
      </c>
      <c r="G49" s="16">
        <f t="shared" si="53"/>
        <v>12509778</v>
      </c>
      <c r="H49" s="16">
        <f t="shared" si="53"/>
        <v>10924654</v>
      </c>
      <c r="I49" s="16">
        <f t="shared" si="53"/>
        <v>971029</v>
      </c>
      <c r="J49" s="16">
        <f t="shared" si="53"/>
        <v>259176</v>
      </c>
      <c r="K49" s="16">
        <f t="shared" si="53"/>
        <v>0</v>
      </c>
      <c r="L49" s="16">
        <f t="shared" si="53"/>
        <v>18496</v>
      </c>
      <c r="M49" s="16">
        <f t="shared" si="53"/>
        <v>0</v>
      </c>
      <c r="N49" s="16">
        <f t="shared" si="53"/>
        <v>0</v>
      </c>
      <c r="O49" s="16">
        <f t="shared" si="53"/>
        <v>198334</v>
      </c>
      <c r="P49" s="16">
        <f t="shared" si="53"/>
        <v>42346</v>
      </c>
      <c r="Q49" s="16">
        <f t="shared" si="53"/>
        <v>239</v>
      </c>
      <c r="R49" s="16">
        <f t="shared" si="53"/>
        <v>239</v>
      </c>
      <c r="S49" s="16">
        <f t="shared" si="53"/>
        <v>0</v>
      </c>
      <c r="T49" s="16">
        <f t="shared" si="53"/>
        <v>0</v>
      </c>
      <c r="U49" s="16">
        <f t="shared" si="53"/>
        <v>79736</v>
      </c>
      <c r="V49" s="16">
        <f t="shared" si="53"/>
        <v>54929</v>
      </c>
      <c r="W49" s="16">
        <f t="shared" si="53"/>
        <v>17096</v>
      </c>
      <c r="X49" s="16">
        <f t="shared" si="53"/>
        <v>21196</v>
      </c>
      <c r="Y49" s="16">
        <f t="shared" si="53"/>
        <v>10948</v>
      </c>
      <c r="Z49" s="16">
        <f t="shared" si="53"/>
        <v>2679</v>
      </c>
      <c r="AA49" s="16">
        <f t="shared" si="53"/>
        <v>3010</v>
      </c>
      <c r="AB49" s="16">
        <f t="shared" si="53"/>
        <v>0</v>
      </c>
      <c r="AC49" s="16">
        <f t="shared" si="53"/>
        <v>0</v>
      </c>
      <c r="AD49" s="16">
        <f t="shared" si="53"/>
        <v>0</v>
      </c>
      <c r="AE49" s="16">
        <f t="shared" si="53"/>
        <v>220015</v>
      </c>
      <c r="AF49" s="16">
        <f t="shared" si="53"/>
        <v>0</v>
      </c>
      <c r="AG49" s="16">
        <f t="shared" si="53"/>
        <v>2090</v>
      </c>
      <c r="AH49" s="16">
        <f t="shared" si="53"/>
        <v>9132</v>
      </c>
      <c r="AI49" s="16">
        <f t="shared" si="53"/>
        <v>0</v>
      </c>
      <c r="AJ49" s="16">
        <f t="shared" si="53"/>
        <v>1591</v>
      </c>
      <c r="AK49" s="16">
        <f t="shared" ref="AK49:BR49" si="54">SUM(AK50)</f>
        <v>0</v>
      </c>
      <c r="AL49" s="16">
        <f t="shared" si="54"/>
        <v>101367</v>
      </c>
      <c r="AM49" s="16">
        <f t="shared" si="54"/>
        <v>13265</v>
      </c>
      <c r="AN49" s="16">
        <f t="shared" si="54"/>
        <v>57424</v>
      </c>
      <c r="AO49" s="16">
        <f t="shared" si="54"/>
        <v>0</v>
      </c>
      <c r="AP49" s="16">
        <f t="shared" si="54"/>
        <v>0</v>
      </c>
      <c r="AQ49" s="16">
        <f t="shared" si="54"/>
        <v>0</v>
      </c>
      <c r="AR49" s="16">
        <f t="shared" si="54"/>
        <v>30024</v>
      </c>
      <c r="AS49" s="16">
        <f t="shared" si="54"/>
        <v>5000</v>
      </c>
      <c r="AT49" s="16">
        <f t="shared" si="54"/>
        <v>0</v>
      </c>
      <c r="AU49" s="16">
        <f t="shared" si="54"/>
        <v>0</v>
      </c>
      <c r="AV49" s="16">
        <f t="shared" si="54"/>
        <v>0</v>
      </c>
      <c r="AW49" s="16">
        <f t="shared" si="54"/>
        <v>0</v>
      </c>
      <c r="AX49" s="16">
        <f t="shared" si="54"/>
        <v>0</v>
      </c>
      <c r="AY49" s="16">
        <f t="shared" si="54"/>
        <v>0</v>
      </c>
      <c r="AZ49" s="16">
        <f t="shared" si="54"/>
        <v>122</v>
      </c>
      <c r="BA49" s="16">
        <f t="shared" si="54"/>
        <v>0</v>
      </c>
      <c r="BB49" s="16">
        <f t="shared" si="54"/>
        <v>0</v>
      </c>
      <c r="BC49" s="16">
        <f t="shared" si="54"/>
        <v>0</v>
      </c>
      <c r="BD49" s="16">
        <f t="shared" si="54"/>
        <v>0</v>
      </c>
      <c r="BE49" s="16">
        <f t="shared" si="54"/>
        <v>0</v>
      </c>
      <c r="BF49" s="16">
        <f t="shared" si="54"/>
        <v>0</v>
      </c>
      <c r="BG49" s="16">
        <f t="shared" si="54"/>
        <v>0</v>
      </c>
      <c r="BH49" s="16">
        <f t="shared" si="54"/>
        <v>0</v>
      </c>
      <c r="BI49" s="16">
        <f t="shared" si="54"/>
        <v>0</v>
      </c>
      <c r="BJ49" s="16">
        <f t="shared" si="54"/>
        <v>0</v>
      </c>
      <c r="BK49" s="16">
        <f t="shared" si="54"/>
        <v>0</v>
      </c>
      <c r="BL49" s="16">
        <f t="shared" si="54"/>
        <v>0</v>
      </c>
      <c r="BM49" s="16">
        <f t="shared" si="54"/>
        <v>0</v>
      </c>
      <c r="BN49" s="16">
        <f t="shared" si="54"/>
        <v>0</v>
      </c>
      <c r="BO49" s="16">
        <f t="shared" si="54"/>
        <v>0</v>
      </c>
      <c r="BP49" s="16">
        <f t="shared" si="54"/>
        <v>0</v>
      </c>
      <c r="BQ49" s="16">
        <f t="shared" si="54"/>
        <v>0</v>
      </c>
      <c r="BR49" s="16">
        <f t="shared" si="54"/>
        <v>0</v>
      </c>
      <c r="BS49" s="16">
        <f t="shared" ref="BS49:CW49" si="55">SUM(BS50)</f>
        <v>0</v>
      </c>
      <c r="BT49" s="16">
        <f t="shared" si="55"/>
        <v>0</v>
      </c>
      <c r="BU49" s="16">
        <f t="shared" si="55"/>
        <v>0</v>
      </c>
      <c r="BV49" s="16">
        <f t="shared" si="55"/>
        <v>0</v>
      </c>
      <c r="BW49" s="16">
        <f t="shared" si="55"/>
        <v>0</v>
      </c>
      <c r="BX49" s="16">
        <f t="shared" si="55"/>
        <v>0</v>
      </c>
      <c r="BY49" s="16">
        <f t="shared" si="55"/>
        <v>202734</v>
      </c>
      <c r="BZ49" s="16">
        <f t="shared" si="55"/>
        <v>202734</v>
      </c>
      <c r="CA49" s="16">
        <f t="shared" si="55"/>
        <v>202734</v>
      </c>
      <c r="CB49" s="16">
        <f t="shared" si="55"/>
        <v>0</v>
      </c>
      <c r="CC49" s="16">
        <f t="shared" si="55"/>
        <v>202734</v>
      </c>
      <c r="CD49" s="16">
        <f t="shared" si="55"/>
        <v>0</v>
      </c>
      <c r="CE49" s="16">
        <f t="shared" si="55"/>
        <v>0</v>
      </c>
      <c r="CF49" s="16">
        <f t="shared" si="55"/>
        <v>0</v>
      </c>
      <c r="CG49" s="16">
        <f t="shared" si="55"/>
        <v>0</v>
      </c>
      <c r="CH49" s="16">
        <f t="shared" si="55"/>
        <v>0</v>
      </c>
      <c r="CI49" s="16">
        <f t="shared" si="55"/>
        <v>0</v>
      </c>
      <c r="CJ49" s="16">
        <f t="shared" si="55"/>
        <v>0</v>
      </c>
      <c r="CK49" s="16">
        <f t="shared" si="55"/>
        <v>0</v>
      </c>
      <c r="CL49" s="16">
        <f t="shared" si="55"/>
        <v>0</v>
      </c>
      <c r="CM49" s="16">
        <f t="shared" si="55"/>
        <v>0</v>
      </c>
      <c r="CN49" s="16">
        <f t="shared" si="55"/>
        <v>0</v>
      </c>
      <c r="CO49" s="16">
        <f t="shared" si="55"/>
        <v>0</v>
      </c>
      <c r="CP49" s="16">
        <f t="shared" si="55"/>
        <v>0</v>
      </c>
      <c r="CQ49" s="16">
        <f t="shared" si="55"/>
        <v>0</v>
      </c>
      <c r="CR49" s="16">
        <f t="shared" si="55"/>
        <v>0</v>
      </c>
      <c r="CS49" s="16">
        <f t="shared" si="55"/>
        <v>0</v>
      </c>
      <c r="CT49" s="16">
        <f t="shared" si="55"/>
        <v>0</v>
      </c>
      <c r="CU49" s="16">
        <f t="shared" si="55"/>
        <v>0</v>
      </c>
      <c r="CV49" s="16">
        <f t="shared" si="55"/>
        <v>0</v>
      </c>
      <c r="CW49" s="17">
        <f t="shared" si="55"/>
        <v>0</v>
      </c>
      <c r="CX49" s="40"/>
    </row>
    <row r="50" spans="1:102" ht="15.75" hidden="1" x14ac:dyDescent="0.25">
      <c r="A50" s="13" t="s">
        <v>1</v>
      </c>
      <c r="B50" s="14" t="s">
        <v>1</v>
      </c>
      <c r="C50" s="14" t="s">
        <v>67</v>
      </c>
      <c r="D50" s="30" t="s">
        <v>68</v>
      </c>
      <c r="E50" s="15">
        <f>SUM(F50+BY50+CT50)</f>
        <v>12712512</v>
      </c>
      <c r="F50" s="16">
        <f>SUM(G50+BA50)</f>
        <v>12509778</v>
      </c>
      <c r="G50" s="16">
        <f>SUM(H50+I50+J50+Q50+T50+U50+V50+AE50)</f>
        <v>12509778</v>
      </c>
      <c r="H50" s="16">
        <v>10924654</v>
      </c>
      <c r="I50" s="16">
        <v>971029</v>
      </c>
      <c r="J50" s="16">
        <f t="shared" si="7"/>
        <v>259176</v>
      </c>
      <c r="K50" s="16">
        <v>0</v>
      </c>
      <c r="L50" s="16">
        <v>18496</v>
      </c>
      <c r="M50" s="16">
        <v>0</v>
      </c>
      <c r="N50" s="16">
        <v>0</v>
      </c>
      <c r="O50" s="16">
        <v>198334</v>
      </c>
      <c r="P50" s="16">
        <v>42346</v>
      </c>
      <c r="Q50" s="16">
        <f t="shared" si="8"/>
        <v>239</v>
      </c>
      <c r="R50" s="16">
        <v>239</v>
      </c>
      <c r="S50" s="16">
        <v>0</v>
      </c>
      <c r="T50" s="16">
        <v>0</v>
      </c>
      <c r="U50" s="16">
        <v>79736</v>
      </c>
      <c r="V50" s="16">
        <f>SUM(W50:AD50)</f>
        <v>54929</v>
      </c>
      <c r="W50" s="16">
        <v>17096</v>
      </c>
      <c r="X50" s="16">
        <v>21196</v>
      </c>
      <c r="Y50" s="16">
        <v>10948</v>
      </c>
      <c r="Z50" s="16">
        <v>2679</v>
      </c>
      <c r="AA50" s="16">
        <v>3010</v>
      </c>
      <c r="AB50" s="16">
        <v>0</v>
      </c>
      <c r="AC50" s="16">
        <v>0</v>
      </c>
      <c r="AD50" s="16">
        <v>0</v>
      </c>
      <c r="AE50" s="16">
        <f>SUM(AF50:AZ50)</f>
        <v>220015</v>
      </c>
      <c r="AF50" s="16">
        <v>0</v>
      </c>
      <c r="AG50" s="16">
        <v>2090</v>
      </c>
      <c r="AH50" s="16">
        <v>9132</v>
      </c>
      <c r="AI50" s="16">
        <v>0</v>
      </c>
      <c r="AJ50" s="16">
        <v>1591</v>
      </c>
      <c r="AK50" s="16">
        <v>0</v>
      </c>
      <c r="AL50" s="16">
        <v>101367</v>
      </c>
      <c r="AM50" s="16">
        <v>13265</v>
      </c>
      <c r="AN50" s="16">
        <v>57424</v>
      </c>
      <c r="AO50" s="16">
        <v>0</v>
      </c>
      <c r="AP50" s="16">
        <v>0</v>
      </c>
      <c r="AQ50" s="16">
        <v>0</v>
      </c>
      <c r="AR50" s="16">
        <v>30024</v>
      </c>
      <c r="AS50" s="16">
        <v>5000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122</v>
      </c>
      <c r="BA50" s="16">
        <f>SUM(BB50+BF50+BI50+BJ50+BK50+BM50)</f>
        <v>0</v>
      </c>
      <c r="BB50" s="16">
        <f>SUM(BC50:BE50)</f>
        <v>0</v>
      </c>
      <c r="BC50" s="16">
        <v>0</v>
      </c>
      <c r="BD50" s="16">
        <v>0</v>
      </c>
      <c r="BE50" s="16">
        <v>0</v>
      </c>
      <c r="BF50" s="16">
        <f t="shared" si="9"/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f t="shared" si="10"/>
        <v>0</v>
      </c>
      <c r="BL50" s="16">
        <v>0</v>
      </c>
      <c r="BM50" s="16">
        <f t="shared" si="11"/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f>SUM(BZ50+CS50)</f>
        <v>202734</v>
      </c>
      <c r="BZ50" s="16">
        <f>SUM(CA50+CD50+CK50)</f>
        <v>202734</v>
      </c>
      <c r="CA50" s="16">
        <f t="shared" si="12"/>
        <v>202734</v>
      </c>
      <c r="CB50" s="16">
        <v>0</v>
      </c>
      <c r="CC50" s="16">
        <v>202734</v>
      </c>
      <c r="CD50" s="16">
        <f t="shared" si="13"/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f t="shared" si="14"/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f t="shared" si="15"/>
        <v>0</v>
      </c>
      <c r="CU50" s="16">
        <f t="shared" si="16"/>
        <v>0</v>
      </c>
      <c r="CV50" s="16">
        <v>0</v>
      </c>
      <c r="CW50" s="17">
        <v>0</v>
      </c>
      <c r="CX50" s="40"/>
    </row>
    <row r="51" spans="1:102" ht="15.75" hidden="1" x14ac:dyDescent="0.25">
      <c r="A51" s="13" t="s">
        <v>7</v>
      </c>
      <c r="B51" s="14" t="s">
        <v>15</v>
      </c>
      <c r="C51" s="14" t="s">
        <v>1</v>
      </c>
      <c r="D51" s="30" t="s">
        <v>69</v>
      </c>
      <c r="E51" s="15">
        <f t="shared" ref="E51:AJ51" si="56">SUM(E52)</f>
        <v>24617242</v>
      </c>
      <c r="F51" s="16">
        <f t="shared" si="56"/>
        <v>24211498</v>
      </c>
      <c r="G51" s="16">
        <f t="shared" si="56"/>
        <v>23929464</v>
      </c>
      <c r="H51" s="16">
        <f t="shared" si="56"/>
        <v>19359994</v>
      </c>
      <c r="I51" s="16">
        <f t="shared" si="56"/>
        <v>2268855</v>
      </c>
      <c r="J51" s="16">
        <f t="shared" si="56"/>
        <v>435575</v>
      </c>
      <c r="K51" s="16">
        <f t="shared" si="56"/>
        <v>0</v>
      </c>
      <c r="L51" s="16">
        <f t="shared" si="56"/>
        <v>51315</v>
      </c>
      <c r="M51" s="16">
        <f t="shared" si="56"/>
        <v>0</v>
      </c>
      <c r="N51" s="16">
        <f t="shared" si="56"/>
        <v>0</v>
      </c>
      <c r="O51" s="16">
        <f t="shared" si="56"/>
        <v>186553</v>
      </c>
      <c r="P51" s="16">
        <f t="shared" si="56"/>
        <v>197707</v>
      </c>
      <c r="Q51" s="16">
        <f t="shared" si="56"/>
        <v>0</v>
      </c>
      <c r="R51" s="16">
        <f t="shared" si="56"/>
        <v>0</v>
      </c>
      <c r="S51" s="16">
        <f t="shared" si="56"/>
        <v>0</v>
      </c>
      <c r="T51" s="16">
        <f t="shared" si="56"/>
        <v>0</v>
      </c>
      <c r="U51" s="16">
        <f t="shared" si="56"/>
        <v>541576</v>
      </c>
      <c r="V51" s="16">
        <f t="shared" si="56"/>
        <v>217327</v>
      </c>
      <c r="W51" s="16">
        <f t="shared" si="56"/>
        <v>103196</v>
      </c>
      <c r="X51" s="16">
        <f t="shared" si="56"/>
        <v>41557</v>
      </c>
      <c r="Y51" s="16">
        <f t="shared" si="56"/>
        <v>43609</v>
      </c>
      <c r="Z51" s="16">
        <f t="shared" si="56"/>
        <v>9404</v>
      </c>
      <c r="AA51" s="16">
        <f t="shared" si="56"/>
        <v>9468</v>
      </c>
      <c r="AB51" s="16">
        <f t="shared" si="56"/>
        <v>0</v>
      </c>
      <c r="AC51" s="16">
        <f t="shared" si="56"/>
        <v>0</v>
      </c>
      <c r="AD51" s="16">
        <f t="shared" si="56"/>
        <v>10093</v>
      </c>
      <c r="AE51" s="16">
        <f t="shared" si="56"/>
        <v>1106137</v>
      </c>
      <c r="AF51" s="16">
        <f t="shared" si="56"/>
        <v>0</v>
      </c>
      <c r="AG51" s="16">
        <f t="shared" si="56"/>
        <v>11033</v>
      </c>
      <c r="AH51" s="16">
        <f t="shared" si="56"/>
        <v>79767</v>
      </c>
      <c r="AI51" s="16">
        <f t="shared" si="56"/>
        <v>0</v>
      </c>
      <c r="AJ51" s="16">
        <f t="shared" si="56"/>
        <v>44469</v>
      </c>
      <c r="AK51" s="16">
        <f t="shared" ref="AK51:BR51" si="57">SUM(AK52)</f>
        <v>28400</v>
      </c>
      <c r="AL51" s="16">
        <f t="shared" si="57"/>
        <v>21023</v>
      </c>
      <c r="AM51" s="16">
        <f t="shared" si="57"/>
        <v>203870</v>
      </c>
      <c r="AN51" s="16">
        <f t="shared" si="57"/>
        <v>5238</v>
      </c>
      <c r="AO51" s="16">
        <f t="shared" si="57"/>
        <v>38024</v>
      </c>
      <c r="AP51" s="16">
        <f t="shared" si="57"/>
        <v>0</v>
      </c>
      <c r="AQ51" s="16">
        <f t="shared" si="57"/>
        <v>0</v>
      </c>
      <c r="AR51" s="16">
        <f t="shared" si="57"/>
        <v>615066</v>
      </c>
      <c r="AS51" s="16">
        <f t="shared" si="57"/>
        <v>0</v>
      </c>
      <c r="AT51" s="16">
        <f t="shared" si="57"/>
        <v>0</v>
      </c>
      <c r="AU51" s="16">
        <f t="shared" si="57"/>
        <v>0</v>
      </c>
      <c r="AV51" s="16">
        <f t="shared" si="57"/>
        <v>0</v>
      </c>
      <c r="AW51" s="16">
        <f t="shared" si="57"/>
        <v>0</v>
      </c>
      <c r="AX51" s="16">
        <f t="shared" si="57"/>
        <v>0</v>
      </c>
      <c r="AY51" s="16">
        <f t="shared" si="57"/>
        <v>0</v>
      </c>
      <c r="AZ51" s="16">
        <f t="shared" si="57"/>
        <v>59247</v>
      </c>
      <c r="BA51" s="16">
        <f t="shared" si="57"/>
        <v>282034</v>
      </c>
      <c r="BB51" s="16">
        <f t="shared" si="57"/>
        <v>0</v>
      </c>
      <c r="BC51" s="16">
        <f t="shared" si="57"/>
        <v>0</v>
      </c>
      <c r="BD51" s="16">
        <f t="shared" si="57"/>
        <v>0</v>
      </c>
      <c r="BE51" s="16">
        <f t="shared" si="57"/>
        <v>0</v>
      </c>
      <c r="BF51" s="16">
        <f t="shared" si="57"/>
        <v>0</v>
      </c>
      <c r="BG51" s="16">
        <f t="shared" si="57"/>
        <v>0</v>
      </c>
      <c r="BH51" s="16">
        <f t="shared" si="57"/>
        <v>0</v>
      </c>
      <c r="BI51" s="16">
        <f t="shared" si="57"/>
        <v>0</v>
      </c>
      <c r="BJ51" s="16">
        <f t="shared" si="57"/>
        <v>0</v>
      </c>
      <c r="BK51" s="16">
        <f t="shared" si="57"/>
        <v>0</v>
      </c>
      <c r="BL51" s="16">
        <f t="shared" si="57"/>
        <v>0</v>
      </c>
      <c r="BM51" s="16">
        <f t="shared" si="57"/>
        <v>282034</v>
      </c>
      <c r="BN51" s="16">
        <f t="shared" si="57"/>
        <v>0</v>
      </c>
      <c r="BO51" s="16">
        <f t="shared" si="57"/>
        <v>0</v>
      </c>
      <c r="BP51" s="16">
        <f t="shared" si="57"/>
        <v>0</v>
      </c>
      <c r="BQ51" s="16">
        <f t="shared" si="57"/>
        <v>0</v>
      </c>
      <c r="BR51" s="16">
        <f t="shared" si="57"/>
        <v>0</v>
      </c>
      <c r="BS51" s="16">
        <f t="shared" ref="BS51:CW51" si="58">SUM(BS52)</f>
        <v>0</v>
      </c>
      <c r="BT51" s="16">
        <f t="shared" si="58"/>
        <v>0</v>
      </c>
      <c r="BU51" s="16">
        <f t="shared" si="58"/>
        <v>0</v>
      </c>
      <c r="BV51" s="16">
        <f t="shared" si="58"/>
        <v>0</v>
      </c>
      <c r="BW51" s="16">
        <f t="shared" si="58"/>
        <v>0</v>
      </c>
      <c r="BX51" s="16">
        <f t="shared" si="58"/>
        <v>282034</v>
      </c>
      <c r="BY51" s="16">
        <f t="shared" si="58"/>
        <v>405744</v>
      </c>
      <c r="BZ51" s="16">
        <f t="shared" si="58"/>
        <v>405744</v>
      </c>
      <c r="CA51" s="16">
        <f t="shared" si="58"/>
        <v>405744</v>
      </c>
      <c r="CB51" s="16">
        <f t="shared" si="58"/>
        <v>0</v>
      </c>
      <c r="CC51" s="16">
        <f t="shared" si="58"/>
        <v>405744</v>
      </c>
      <c r="CD51" s="16">
        <f t="shared" si="58"/>
        <v>0</v>
      </c>
      <c r="CE51" s="16">
        <f t="shared" si="58"/>
        <v>0</v>
      </c>
      <c r="CF51" s="16">
        <f t="shared" si="58"/>
        <v>0</v>
      </c>
      <c r="CG51" s="16">
        <f t="shared" si="58"/>
        <v>0</v>
      </c>
      <c r="CH51" s="16">
        <f t="shared" si="58"/>
        <v>0</v>
      </c>
      <c r="CI51" s="16">
        <f t="shared" si="58"/>
        <v>0</v>
      </c>
      <c r="CJ51" s="16">
        <f t="shared" si="58"/>
        <v>0</v>
      </c>
      <c r="CK51" s="16">
        <f t="shared" si="58"/>
        <v>0</v>
      </c>
      <c r="CL51" s="16">
        <f t="shared" si="58"/>
        <v>0</v>
      </c>
      <c r="CM51" s="16">
        <f t="shared" si="58"/>
        <v>0</v>
      </c>
      <c r="CN51" s="16">
        <f t="shared" si="58"/>
        <v>0</v>
      </c>
      <c r="CO51" s="16">
        <f t="shared" si="58"/>
        <v>0</v>
      </c>
      <c r="CP51" s="16">
        <f t="shared" si="58"/>
        <v>0</v>
      </c>
      <c r="CQ51" s="16">
        <f t="shared" si="58"/>
        <v>0</v>
      </c>
      <c r="CR51" s="16">
        <f t="shared" si="58"/>
        <v>0</v>
      </c>
      <c r="CS51" s="16">
        <f t="shared" si="58"/>
        <v>0</v>
      </c>
      <c r="CT51" s="16">
        <f t="shared" si="58"/>
        <v>0</v>
      </c>
      <c r="CU51" s="16">
        <f t="shared" si="58"/>
        <v>0</v>
      </c>
      <c r="CV51" s="16">
        <f t="shared" si="58"/>
        <v>0</v>
      </c>
      <c r="CW51" s="17">
        <f t="shared" si="58"/>
        <v>0</v>
      </c>
      <c r="CX51" s="40"/>
    </row>
    <row r="52" spans="1:102" ht="31.5" hidden="1" x14ac:dyDescent="0.25">
      <c r="A52" s="13" t="s">
        <v>1</v>
      </c>
      <c r="B52" s="14" t="s">
        <v>1</v>
      </c>
      <c r="C52" s="14" t="s">
        <v>70</v>
      </c>
      <c r="D52" s="30" t="s">
        <v>71</v>
      </c>
      <c r="E52" s="15">
        <f>SUM(F52+BY52+CT52)</f>
        <v>24617242</v>
      </c>
      <c r="F52" s="16">
        <f>SUM(G52+BA52)</f>
        <v>24211498</v>
      </c>
      <c r="G52" s="16">
        <f>SUM(H52+I52+J52+Q52+T52+U52+V52+AE52)</f>
        <v>23929464</v>
      </c>
      <c r="H52" s="16">
        <v>19359994</v>
      </c>
      <c r="I52" s="16">
        <v>2268855</v>
      </c>
      <c r="J52" s="16">
        <f t="shared" si="7"/>
        <v>435575</v>
      </c>
      <c r="K52" s="16">
        <v>0</v>
      </c>
      <c r="L52" s="16">
        <v>51315</v>
      </c>
      <c r="M52" s="16">
        <v>0</v>
      </c>
      <c r="N52" s="16">
        <v>0</v>
      </c>
      <c r="O52" s="16">
        <v>186553</v>
      </c>
      <c r="P52" s="16">
        <v>197707</v>
      </c>
      <c r="Q52" s="16">
        <f t="shared" si="8"/>
        <v>0</v>
      </c>
      <c r="R52" s="16">
        <v>0</v>
      </c>
      <c r="S52" s="16">
        <v>0</v>
      </c>
      <c r="T52" s="16">
        <v>0</v>
      </c>
      <c r="U52" s="16">
        <v>541576</v>
      </c>
      <c r="V52" s="16">
        <f>SUM(W52:AD52)</f>
        <v>217327</v>
      </c>
      <c r="W52" s="16">
        <v>103196</v>
      </c>
      <c r="X52" s="16">
        <v>41557</v>
      </c>
      <c r="Y52" s="16">
        <v>43609</v>
      </c>
      <c r="Z52" s="16">
        <v>9404</v>
      </c>
      <c r="AA52" s="16">
        <v>9468</v>
      </c>
      <c r="AB52" s="16">
        <v>0</v>
      </c>
      <c r="AC52" s="16">
        <v>0</v>
      </c>
      <c r="AD52" s="16">
        <v>10093</v>
      </c>
      <c r="AE52" s="16">
        <f>SUM(AF52:AZ52)</f>
        <v>1106137</v>
      </c>
      <c r="AF52" s="16">
        <v>0</v>
      </c>
      <c r="AG52" s="16">
        <v>11033</v>
      </c>
      <c r="AH52" s="16">
        <v>79767</v>
      </c>
      <c r="AI52" s="16">
        <v>0</v>
      </c>
      <c r="AJ52" s="16">
        <v>44469</v>
      </c>
      <c r="AK52" s="16">
        <v>28400</v>
      </c>
      <c r="AL52" s="16">
        <v>21023</v>
      </c>
      <c r="AM52" s="16">
        <v>203870</v>
      </c>
      <c r="AN52" s="16">
        <v>5238</v>
      </c>
      <c r="AO52" s="16">
        <v>38024</v>
      </c>
      <c r="AP52" s="16"/>
      <c r="AQ52" s="16">
        <v>0</v>
      </c>
      <c r="AR52" s="16">
        <v>615066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/>
      <c r="AZ52" s="16">
        <v>59247</v>
      </c>
      <c r="BA52" s="16">
        <f>SUM(BB52+BF52+BI52+BJ52+BK52+BM52)</f>
        <v>282034</v>
      </c>
      <c r="BB52" s="16">
        <f>SUM(BC52:BE52)</f>
        <v>0</v>
      </c>
      <c r="BC52" s="16">
        <v>0</v>
      </c>
      <c r="BD52" s="16">
        <v>0</v>
      </c>
      <c r="BE52" s="16">
        <v>0</v>
      </c>
      <c r="BF52" s="16">
        <f t="shared" si="9"/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f t="shared" si="10"/>
        <v>0</v>
      </c>
      <c r="BL52" s="16">
        <v>0</v>
      </c>
      <c r="BM52" s="16">
        <f t="shared" si="11"/>
        <v>282034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282034</v>
      </c>
      <c r="BY52" s="16">
        <f>SUM(BZ52+CS52)</f>
        <v>405744</v>
      </c>
      <c r="BZ52" s="16">
        <f>SUM(CA52+CD52+CK52)</f>
        <v>405744</v>
      </c>
      <c r="CA52" s="16">
        <f t="shared" si="12"/>
        <v>405744</v>
      </c>
      <c r="CB52" s="16">
        <v>0</v>
      </c>
      <c r="CC52" s="16">
        <v>405744</v>
      </c>
      <c r="CD52" s="16">
        <f t="shared" si="13"/>
        <v>0</v>
      </c>
      <c r="CE52" s="16">
        <v>0</v>
      </c>
      <c r="CF52" s="16">
        <v>0</v>
      </c>
      <c r="CG52" s="16">
        <v>0</v>
      </c>
      <c r="CH52" s="16">
        <v>0</v>
      </c>
      <c r="CI52" s="16">
        <v>0</v>
      </c>
      <c r="CJ52" s="16">
        <v>0</v>
      </c>
      <c r="CK52" s="16">
        <f t="shared" si="14"/>
        <v>0</v>
      </c>
      <c r="CL52" s="16">
        <v>0</v>
      </c>
      <c r="CM52" s="16">
        <v>0</v>
      </c>
      <c r="CN52" s="16">
        <v>0</v>
      </c>
      <c r="CO52" s="16">
        <v>0</v>
      </c>
      <c r="CP52" s="16">
        <v>0</v>
      </c>
      <c r="CQ52" s="16"/>
      <c r="CR52" s="16"/>
      <c r="CS52" s="16">
        <v>0</v>
      </c>
      <c r="CT52" s="16">
        <f t="shared" si="15"/>
        <v>0</v>
      </c>
      <c r="CU52" s="16">
        <f t="shared" si="16"/>
        <v>0</v>
      </c>
      <c r="CV52" s="16">
        <v>0</v>
      </c>
      <c r="CW52" s="17">
        <v>0</v>
      </c>
      <c r="CX52" s="40"/>
    </row>
    <row r="53" spans="1:102" ht="15.75" hidden="1" x14ac:dyDescent="0.25">
      <c r="A53" s="13" t="s">
        <v>7</v>
      </c>
      <c r="B53" s="14" t="s">
        <v>47</v>
      </c>
      <c r="C53" s="14" t="s">
        <v>1</v>
      </c>
      <c r="D53" s="30" t="s">
        <v>72</v>
      </c>
      <c r="E53" s="15">
        <f t="shared" ref="E53:AJ53" si="59">SUM(E54)</f>
        <v>6390737</v>
      </c>
      <c r="F53" s="16">
        <f t="shared" si="59"/>
        <v>6302275</v>
      </c>
      <c r="G53" s="16">
        <f t="shared" si="59"/>
        <v>6274670</v>
      </c>
      <c r="H53" s="16">
        <f t="shared" si="59"/>
        <v>5004302</v>
      </c>
      <c r="I53" s="16">
        <f t="shared" si="59"/>
        <v>368278</v>
      </c>
      <c r="J53" s="16">
        <f t="shared" si="59"/>
        <v>465863</v>
      </c>
      <c r="K53" s="16">
        <f t="shared" si="59"/>
        <v>0</v>
      </c>
      <c r="L53" s="16">
        <f t="shared" si="59"/>
        <v>14944</v>
      </c>
      <c r="M53" s="16">
        <f t="shared" si="59"/>
        <v>0</v>
      </c>
      <c r="N53" s="16">
        <f t="shared" si="59"/>
        <v>0</v>
      </c>
      <c r="O53" s="16">
        <f t="shared" si="59"/>
        <v>408737</v>
      </c>
      <c r="P53" s="16">
        <f t="shared" si="59"/>
        <v>42182</v>
      </c>
      <c r="Q53" s="16">
        <f t="shared" si="59"/>
        <v>0</v>
      </c>
      <c r="R53" s="16">
        <f t="shared" si="59"/>
        <v>0</v>
      </c>
      <c r="S53" s="16">
        <f t="shared" si="59"/>
        <v>0</v>
      </c>
      <c r="T53" s="16">
        <f t="shared" si="59"/>
        <v>0</v>
      </c>
      <c r="U53" s="16">
        <f t="shared" si="59"/>
        <v>158926</v>
      </c>
      <c r="V53" s="16">
        <f t="shared" si="59"/>
        <v>29813</v>
      </c>
      <c r="W53" s="16">
        <f t="shared" si="59"/>
        <v>13373</v>
      </c>
      <c r="X53" s="16">
        <f t="shared" si="59"/>
        <v>0</v>
      </c>
      <c r="Y53" s="16">
        <f t="shared" si="59"/>
        <v>12939</v>
      </c>
      <c r="Z53" s="16">
        <f t="shared" si="59"/>
        <v>1202</v>
      </c>
      <c r="AA53" s="16">
        <f t="shared" si="59"/>
        <v>0</v>
      </c>
      <c r="AB53" s="16">
        <f t="shared" si="59"/>
        <v>0</v>
      </c>
      <c r="AC53" s="16">
        <f t="shared" si="59"/>
        <v>0</v>
      </c>
      <c r="AD53" s="16">
        <f t="shared" si="59"/>
        <v>2299</v>
      </c>
      <c r="AE53" s="16">
        <f t="shared" si="59"/>
        <v>247488</v>
      </c>
      <c r="AF53" s="16">
        <f t="shared" si="59"/>
        <v>0</v>
      </c>
      <c r="AG53" s="16">
        <f t="shared" si="59"/>
        <v>150</v>
      </c>
      <c r="AH53" s="16">
        <f t="shared" si="59"/>
        <v>8508</v>
      </c>
      <c r="AI53" s="16">
        <f t="shared" si="59"/>
        <v>0</v>
      </c>
      <c r="AJ53" s="16">
        <f t="shared" si="59"/>
        <v>11160</v>
      </c>
      <c r="AK53" s="16">
        <f t="shared" ref="AK53:BR53" si="60">SUM(AK54)</f>
        <v>0</v>
      </c>
      <c r="AL53" s="16">
        <f t="shared" si="60"/>
        <v>44231</v>
      </c>
      <c r="AM53" s="16">
        <f t="shared" si="60"/>
        <v>0</v>
      </c>
      <c r="AN53" s="16">
        <f t="shared" si="60"/>
        <v>33756</v>
      </c>
      <c r="AO53" s="16">
        <f t="shared" si="60"/>
        <v>0</v>
      </c>
      <c r="AP53" s="16">
        <f t="shared" si="60"/>
        <v>0</v>
      </c>
      <c r="AQ53" s="16">
        <f t="shared" si="60"/>
        <v>0</v>
      </c>
      <c r="AR53" s="16">
        <f t="shared" si="60"/>
        <v>71948</v>
      </c>
      <c r="AS53" s="16">
        <f t="shared" si="60"/>
        <v>0</v>
      </c>
      <c r="AT53" s="16">
        <f t="shared" si="60"/>
        <v>0</v>
      </c>
      <c r="AU53" s="16">
        <f t="shared" si="60"/>
        <v>0</v>
      </c>
      <c r="AV53" s="16">
        <f t="shared" si="60"/>
        <v>0</v>
      </c>
      <c r="AW53" s="16">
        <f t="shared" si="60"/>
        <v>0</v>
      </c>
      <c r="AX53" s="16">
        <f t="shared" si="60"/>
        <v>0</v>
      </c>
      <c r="AY53" s="16">
        <f t="shared" si="60"/>
        <v>0</v>
      </c>
      <c r="AZ53" s="16">
        <f t="shared" si="60"/>
        <v>77735</v>
      </c>
      <c r="BA53" s="16">
        <f t="shared" si="60"/>
        <v>27605</v>
      </c>
      <c r="BB53" s="16">
        <f t="shared" si="60"/>
        <v>0</v>
      </c>
      <c r="BC53" s="16">
        <f t="shared" si="60"/>
        <v>0</v>
      </c>
      <c r="BD53" s="16">
        <f t="shared" si="60"/>
        <v>0</v>
      </c>
      <c r="BE53" s="16">
        <f t="shared" si="60"/>
        <v>0</v>
      </c>
      <c r="BF53" s="16">
        <f t="shared" si="60"/>
        <v>0</v>
      </c>
      <c r="BG53" s="16">
        <f t="shared" si="60"/>
        <v>0</v>
      </c>
      <c r="BH53" s="16">
        <f t="shared" si="60"/>
        <v>0</v>
      </c>
      <c r="BI53" s="16">
        <f t="shared" si="60"/>
        <v>0</v>
      </c>
      <c r="BJ53" s="16">
        <f t="shared" si="60"/>
        <v>0</v>
      </c>
      <c r="BK53" s="16">
        <f t="shared" si="60"/>
        <v>0</v>
      </c>
      <c r="BL53" s="16">
        <f t="shared" si="60"/>
        <v>0</v>
      </c>
      <c r="BM53" s="16">
        <f t="shared" si="60"/>
        <v>27605</v>
      </c>
      <c r="BN53" s="16">
        <f t="shared" si="60"/>
        <v>0</v>
      </c>
      <c r="BO53" s="16">
        <f t="shared" si="60"/>
        <v>0</v>
      </c>
      <c r="BP53" s="16">
        <f t="shared" si="60"/>
        <v>0</v>
      </c>
      <c r="BQ53" s="16">
        <f t="shared" si="60"/>
        <v>0</v>
      </c>
      <c r="BR53" s="16">
        <f t="shared" si="60"/>
        <v>0</v>
      </c>
      <c r="BS53" s="16">
        <f t="shared" ref="BS53:CW53" si="61">SUM(BS54)</f>
        <v>0</v>
      </c>
      <c r="BT53" s="16">
        <f t="shared" si="61"/>
        <v>0</v>
      </c>
      <c r="BU53" s="16">
        <f t="shared" si="61"/>
        <v>0</v>
      </c>
      <c r="BV53" s="16">
        <f t="shared" si="61"/>
        <v>0</v>
      </c>
      <c r="BW53" s="16">
        <f t="shared" si="61"/>
        <v>27605</v>
      </c>
      <c r="BX53" s="16">
        <f t="shared" si="61"/>
        <v>0</v>
      </c>
      <c r="BY53" s="16">
        <f t="shared" si="61"/>
        <v>88462</v>
      </c>
      <c r="BZ53" s="16">
        <f t="shared" si="61"/>
        <v>88462</v>
      </c>
      <c r="CA53" s="16">
        <f t="shared" si="61"/>
        <v>88462</v>
      </c>
      <c r="CB53" s="16">
        <f t="shared" si="61"/>
        <v>0</v>
      </c>
      <c r="CC53" s="16">
        <f t="shared" si="61"/>
        <v>88462</v>
      </c>
      <c r="CD53" s="16">
        <f t="shared" si="61"/>
        <v>0</v>
      </c>
      <c r="CE53" s="16">
        <f t="shared" si="61"/>
        <v>0</v>
      </c>
      <c r="CF53" s="16">
        <f t="shared" si="61"/>
        <v>0</v>
      </c>
      <c r="CG53" s="16">
        <f t="shared" si="61"/>
        <v>0</v>
      </c>
      <c r="CH53" s="16">
        <f t="shared" si="61"/>
        <v>0</v>
      </c>
      <c r="CI53" s="16">
        <f t="shared" si="61"/>
        <v>0</v>
      </c>
      <c r="CJ53" s="16">
        <f t="shared" si="61"/>
        <v>0</v>
      </c>
      <c r="CK53" s="16">
        <f t="shared" si="61"/>
        <v>0</v>
      </c>
      <c r="CL53" s="16">
        <f t="shared" si="61"/>
        <v>0</v>
      </c>
      <c r="CM53" s="16">
        <f t="shared" si="61"/>
        <v>0</v>
      </c>
      <c r="CN53" s="16">
        <f t="shared" si="61"/>
        <v>0</v>
      </c>
      <c r="CO53" s="16">
        <f t="shared" si="61"/>
        <v>0</v>
      </c>
      <c r="CP53" s="16">
        <f t="shared" si="61"/>
        <v>0</v>
      </c>
      <c r="CQ53" s="16">
        <f t="shared" si="61"/>
        <v>0</v>
      </c>
      <c r="CR53" s="16">
        <f t="shared" si="61"/>
        <v>0</v>
      </c>
      <c r="CS53" s="16">
        <f t="shared" si="61"/>
        <v>0</v>
      </c>
      <c r="CT53" s="16">
        <f t="shared" si="61"/>
        <v>0</v>
      </c>
      <c r="CU53" s="16">
        <f t="shared" si="61"/>
        <v>0</v>
      </c>
      <c r="CV53" s="16">
        <f t="shared" si="61"/>
        <v>0</v>
      </c>
      <c r="CW53" s="17">
        <f t="shared" si="61"/>
        <v>0</v>
      </c>
      <c r="CX53" s="40"/>
    </row>
    <row r="54" spans="1:102" ht="15.75" hidden="1" x14ac:dyDescent="0.25">
      <c r="A54" s="13" t="s">
        <v>1</v>
      </c>
      <c r="B54" s="14" t="s">
        <v>1</v>
      </c>
      <c r="C54" s="14" t="s">
        <v>73</v>
      </c>
      <c r="D54" s="30" t="s">
        <v>74</v>
      </c>
      <c r="E54" s="15">
        <f>SUM(F54+BY54+CT54)</f>
        <v>6390737</v>
      </c>
      <c r="F54" s="16">
        <f>SUM(G54+BA54)</f>
        <v>6302275</v>
      </c>
      <c r="G54" s="16">
        <f>SUM(H54+I54+J54+Q54+T54+U54+V54+AE54)</f>
        <v>6274670</v>
      </c>
      <c r="H54" s="16">
        <v>5004302</v>
      </c>
      <c r="I54" s="16">
        <v>368278</v>
      </c>
      <c r="J54" s="16">
        <f t="shared" si="7"/>
        <v>465863</v>
      </c>
      <c r="K54" s="16">
        <v>0</v>
      </c>
      <c r="L54" s="16">
        <v>14944</v>
      </c>
      <c r="M54" s="16">
        <v>0</v>
      </c>
      <c r="N54" s="16">
        <v>0</v>
      </c>
      <c r="O54" s="16">
        <v>408737</v>
      </c>
      <c r="P54" s="16">
        <v>42182</v>
      </c>
      <c r="Q54" s="16">
        <f t="shared" si="8"/>
        <v>0</v>
      </c>
      <c r="R54" s="16">
        <v>0</v>
      </c>
      <c r="S54" s="16">
        <v>0</v>
      </c>
      <c r="T54" s="16">
        <v>0</v>
      </c>
      <c r="U54" s="16">
        <v>158926</v>
      </c>
      <c r="V54" s="16">
        <f>SUM(W54:AD54)</f>
        <v>29813</v>
      </c>
      <c r="W54" s="16">
        <v>13373</v>
      </c>
      <c r="X54" s="16">
        <v>0</v>
      </c>
      <c r="Y54" s="16">
        <f>8776+180+3983</f>
        <v>12939</v>
      </c>
      <c r="Z54" s="16">
        <v>1202</v>
      </c>
      <c r="AA54" s="16">
        <v>0</v>
      </c>
      <c r="AB54" s="16">
        <v>0</v>
      </c>
      <c r="AC54" s="16">
        <v>0</v>
      </c>
      <c r="AD54" s="16">
        <v>2299</v>
      </c>
      <c r="AE54" s="16">
        <f>SUM(AF54:AZ54)</f>
        <v>247488</v>
      </c>
      <c r="AF54" s="16">
        <v>0</v>
      </c>
      <c r="AG54" s="16">
        <v>150</v>
      </c>
      <c r="AH54" s="16">
        <v>8508</v>
      </c>
      <c r="AI54" s="16">
        <v>0</v>
      </c>
      <c r="AJ54" s="16">
        <v>11160</v>
      </c>
      <c r="AK54" s="16">
        <v>0</v>
      </c>
      <c r="AL54" s="16">
        <v>44231</v>
      </c>
      <c r="AM54" s="16">
        <v>0</v>
      </c>
      <c r="AN54" s="16">
        <v>33756</v>
      </c>
      <c r="AO54" s="16">
        <v>0</v>
      </c>
      <c r="AP54" s="16">
        <v>0</v>
      </c>
      <c r="AQ54" s="16">
        <v>0</v>
      </c>
      <c r="AR54" s="16">
        <v>71948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77735</v>
      </c>
      <c r="BA54" s="16">
        <f>SUM(BB54+BF54+BI54+BJ54+BK54+BM54)</f>
        <v>27605</v>
      </c>
      <c r="BB54" s="16">
        <f>SUM(BC54:BE54)</f>
        <v>0</v>
      </c>
      <c r="BC54" s="16">
        <v>0</v>
      </c>
      <c r="BD54" s="16">
        <v>0</v>
      </c>
      <c r="BE54" s="16">
        <v>0</v>
      </c>
      <c r="BF54" s="16">
        <f t="shared" si="9"/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f t="shared" si="10"/>
        <v>0</v>
      </c>
      <c r="BL54" s="16">
        <v>0</v>
      </c>
      <c r="BM54" s="16">
        <f t="shared" si="11"/>
        <v>27605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27605</v>
      </c>
      <c r="BX54" s="16">
        <v>0</v>
      </c>
      <c r="BY54" s="16">
        <f>SUM(BZ54+CS54)</f>
        <v>88462</v>
      </c>
      <c r="BZ54" s="16">
        <f>SUM(CA54+CD54+CK54)</f>
        <v>88462</v>
      </c>
      <c r="CA54" s="16">
        <f t="shared" si="12"/>
        <v>88462</v>
      </c>
      <c r="CB54" s="16">
        <v>0</v>
      </c>
      <c r="CC54" s="16">
        <v>88462</v>
      </c>
      <c r="CD54" s="16">
        <f t="shared" si="13"/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16">
        <f t="shared" si="14"/>
        <v>0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  <c r="CS54" s="16">
        <v>0</v>
      </c>
      <c r="CT54" s="16">
        <f t="shared" si="15"/>
        <v>0</v>
      </c>
      <c r="CU54" s="16">
        <f t="shared" si="16"/>
        <v>0</v>
      </c>
      <c r="CV54" s="16">
        <v>0</v>
      </c>
      <c r="CW54" s="17">
        <v>0</v>
      </c>
      <c r="CX54" s="40"/>
    </row>
    <row r="55" spans="1:102" ht="15.75" hidden="1" x14ac:dyDescent="0.25">
      <c r="A55" s="13" t="s">
        <v>7</v>
      </c>
      <c r="B55" s="14" t="s">
        <v>57</v>
      </c>
      <c r="C55" s="14" t="s">
        <v>1</v>
      </c>
      <c r="D55" s="30" t="s">
        <v>75</v>
      </c>
      <c r="E55" s="15">
        <f t="shared" ref="E55:AJ55" si="62">SUM(E56)</f>
        <v>524239</v>
      </c>
      <c r="F55" s="16">
        <f t="shared" si="62"/>
        <v>524239</v>
      </c>
      <c r="G55" s="16">
        <f t="shared" si="62"/>
        <v>524239</v>
      </c>
      <c r="H55" s="16">
        <f t="shared" si="62"/>
        <v>0</v>
      </c>
      <c r="I55" s="16">
        <f t="shared" si="62"/>
        <v>0</v>
      </c>
      <c r="J55" s="16">
        <f t="shared" si="62"/>
        <v>0</v>
      </c>
      <c r="K55" s="16">
        <f t="shared" si="62"/>
        <v>0</v>
      </c>
      <c r="L55" s="16">
        <f t="shared" si="62"/>
        <v>0</v>
      </c>
      <c r="M55" s="16">
        <f t="shared" si="62"/>
        <v>0</v>
      </c>
      <c r="N55" s="16">
        <f t="shared" si="62"/>
        <v>0</v>
      </c>
      <c r="O55" s="16">
        <f t="shared" si="62"/>
        <v>0</v>
      </c>
      <c r="P55" s="16">
        <f t="shared" si="62"/>
        <v>0</v>
      </c>
      <c r="Q55" s="16">
        <f t="shared" si="62"/>
        <v>0</v>
      </c>
      <c r="R55" s="16">
        <f t="shared" si="62"/>
        <v>0</v>
      </c>
      <c r="S55" s="16">
        <f t="shared" si="62"/>
        <v>0</v>
      </c>
      <c r="T55" s="16">
        <f t="shared" si="62"/>
        <v>0</v>
      </c>
      <c r="U55" s="16">
        <f t="shared" si="62"/>
        <v>0</v>
      </c>
      <c r="V55" s="16">
        <f t="shared" si="62"/>
        <v>0</v>
      </c>
      <c r="W55" s="16">
        <f t="shared" si="62"/>
        <v>0</v>
      </c>
      <c r="X55" s="16">
        <f t="shared" si="62"/>
        <v>0</v>
      </c>
      <c r="Y55" s="16">
        <f t="shared" si="62"/>
        <v>0</v>
      </c>
      <c r="Z55" s="16">
        <f t="shared" si="62"/>
        <v>0</v>
      </c>
      <c r="AA55" s="16">
        <f t="shared" si="62"/>
        <v>0</v>
      </c>
      <c r="AB55" s="16">
        <f t="shared" si="62"/>
        <v>0</v>
      </c>
      <c r="AC55" s="16">
        <f t="shared" si="62"/>
        <v>0</v>
      </c>
      <c r="AD55" s="16">
        <f t="shared" si="62"/>
        <v>0</v>
      </c>
      <c r="AE55" s="16">
        <f t="shared" si="62"/>
        <v>524239</v>
      </c>
      <c r="AF55" s="16">
        <f t="shared" si="62"/>
        <v>0</v>
      </c>
      <c r="AG55" s="16">
        <f t="shared" si="62"/>
        <v>0</v>
      </c>
      <c r="AH55" s="16">
        <f t="shared" si="62"/>
        <v>0</v>
      </c>
      <c r="AI55" s="16">
        <f t="shared" si="62"/>
        <v>0</v>
      </c>
      <c r="AJ55" s="16">
        <f t="shared" si="62"/>
        <v>0</v>
      </c>
      <c r="AK55" s="16">
        <f t="shared" ref="AK55:BR55" si="63">SUM(AK56)</f>
        <v>0</v>
      </c>
      <c r="AL55" s="16">
        <f t="shared" si="63"/>
        <v>0</v>
      </c>
      <c r="AM55" s="16">
        <f t="shared" si="63"/>
        <v>0</v>
      </c>
      <c r="AN55" s="16">
        <f t="shared" si="63"/>
        <v>0</v>
      </c>
      <c r="AO55" s="16">
        <f t="shared" si="63"/>
        <v>0</v>
      </c>
      <c r="AP55" s="16">
        <f t="shared" si="63"/>
        <v>0</v>
      </c>
      <c r="AQ55" s="16">
        <f t="shared" si="63"/>
        <v>0</v>
      </c>
      <c r="AR55" s="16">
        <f t="shared" si="63"/>
        <v>0</v>
      </c>
      <c r="AS55" s="16">
        <f t="shared" si="63"/>
        <v>0</v>
      </c>
      <c r="AT55" s="16">
        <f t="shared" si="63"/>
        <v>524239</v>
      </c>
      <c r="AU55" s="16">
        <f t="shared" si="63"/>
        <v>0</v>
      </c>
      <c r="AV55" s="16">
        <f t="shared" si="63"/>
        <v>0</v>
      </c>
      <c r="AW55" s="16">
        <f t="shared" si="63"/>
        <v>0</v>
      </c>
      <c r="AX55" s="16">
        <f t="shared" si="63"/>
        <v>0</v>
      </c>
      <c r="AY55" s="16">
        <f t="shared" si="63"/>
        <v>0</v>
      </c>
      <c r="AZ55" s="16">
        <f t="shared" si="63"/>
        <v>0</v>
      </c>
      <c r="BA55" s="16">
        <f t="shared" si="63"/>
        <v>0</v>
      </c>
      <c r="BB55" s="16">
        <f t="shared" si="63"/>
        <v>0</v>
      </c>
      <c r="BC55" s="16">
        <f t="shared" si="63"/>
        <v>0</v>
      </c>
      <c r="BD55" s="16">
        <f t="shared" si="63"/>
        <v>0</v>
      </c>
      <c r="BE55" s="16">
        <f t="shared" si="63"/>
        <v>0</v>
      </c>
      <c r="BF55" s="16">
        <f t="shared" si="63"/>
        <v>0</v>
      </c>
      <c r="BG55" s="16">
        <f t="shared" si="63"/>
        <v>0</v>
      </c>
      <c r="BH55" s="16">
        <f t="shared" si="63"/>
        <v>0</v>
      </c>
      <c r="BI55" s="16">
        <f t="shared" si="63"/>
        <v>0</v>
      </c>
      <c r="BJ55" s="16">
        <f t="shared" si="63"/>
        <v>0</v>
      </c>
      <c r="BK55" s="16">
        <f t="shared" si="63"/>
        <v>0</v>
      </c>
      <c r="BL55" s="16">
        <f t="shared" si="63"/>
        <v>0</v>
      </c>
      <c r="BM55" s="16">
        <f t="shared" si="63"/>
        <v>0</v>
      </c>
      <c r="BN55" s="16">
        <f t="shared" si="63"/>
        <v>0</v>
      </c>
      <c r="BO55" s="16">
        <f t="shared" si="63"/>
        <v>0</v>
      </c>
      <c r="BP55" s="16">
        <f t="shared" si="63"/>
        <v>0</v>
      </c>
      <c r="BQ55" s="16">
        <f t="shared" si="63"/>
        <v>0</v>
      </c>
      <c r="BR55" s="16">
        <f t="shared" si="63"/>
        <v>0</v>
      </c>
      <c r="BS55" s="16">
        <f t="shared" ref="BS55:CW55" si="64">SUM(BS56)</f>
        <v>0</v>
      </c>
      <c r="BT55" s="16">
        <f t="shared" si="64"/>
        <v>0</v>
      </c>
      <c r="BU55" s="16">
        <f t="shared" si="64"/>
        <v>0</v>
      </c>
      <c r="BV55" s="16">
        <f t="shared" si="64"/>
        <v>0</v>
      </c>
      <c r="BW55" s="16">
        <f t="shared" si="64"/>
        <v>0</v>
      </c>
      <c r="BX55" s="16">
        <f t="shared" si="64"/>
        <v>0</v>
      </c>
      <c r="BY55" s="16">
        <f t="shared" si="64"/>
        <v>0</v>
      </c>
      <c r="BZ55" s="16">
        <f t="shared" si="64"/>
        <v>0</v>
      </c>
      <c r="CA55" s="16">
        <f t="shared" si="64"/>
        <v>0</v>
      </c>
      <c r="CB55" s="16">
        <f t="shared" si="64"/>
        <v>0</v>
      </c>
      <c r="CC55" s="16">
        <f t="shared" si="64"/>
        <v>0</v>
      </c>
      <c r="CD55" s="16">
        <f t="shared" si="64"/>
        <v>0</v>
      </c>
      <c r="CE55" s="16">
        <f t="shared" si="64"/>
        <v>0</v>
      </c>
      <c r="CF55" s="16">
        <f t="shared" si="64"/>
        <v>0</v>
      </c>
      <c r="CG55" s="16">
        <f t="shared" si="64"/>
        <v>0</v>
      </c>
      <c r="CH55" s="16">
        <f t="shared" si="64"/>
        <v>0</v>
      </c>
      <c r="CI55" s="16">
        <f t="shared" si="64"/>
        <v>0</v>
      </c>
      <c r="CJ55" s="16">
        <f t="shared" si="64"/>
        <v>0</v>
      </c>
      <c r="CK55" s="16">
        <f t="shared" si="64"/>
        <v>0</v>
      </c>
      <c r="CL55" s="16">
        <f t="shared" si="64"/>
        <v>0</v>
      </c>
      <c r="CM55" s="16">
        <f t="shared" si="64"/>
        <v>0</v>
      </c>
      <c r="CN55" s="16">
        <f t="shared" si="64"/>
        <v>0</v>
      </c>
      <c r="CO55" s="16">
        <f t="shared" si="64"/>
        <v>0</v>
      </c>
      <c r="CP55" s="16">
        <f t="shared" si="64"/>
        <v>0</v>
      </c>
      <c r="CQ55" s="16">
        <f t="shared" si="64"/>
        <v>0</v>
      </c>
      <c r="CR55" s="16">
        <f t="shared" si="64"/>
        <v>0</v>
      </c>
      <c r="CS55" s="16">
        <f t="shared" si="64"/>
        <v>0</v>
      </c>
      <c r="CT55" s="16">
        <f t="shared" si="64"/>
        <v>0</v>
      </c>
      <c r="CU55" s="16">
        <f t="shared" si="64"/>
        <v>0</v>
      </c>
      <c r="CV55" s="16">
        <f t="shared" si="64"/>
        <v>0</v>
      </c>
      <c r="CW55" s="17">
        <f t="shared" si="64"/>
        <v>0</v>
      </c>
      <c r="CX55" s="40"/>
    </row>
    <row r="56" spans="1:102" ht="15.75" hidden="1" x14ac:dyDescent="0.25">
      <c r="A56" s="13" t="s">
        <v>1</v>
      </c>
      <c r="B56" s="14" t="s">
        <v>1</v>
      </c>
      <c r="C56" s="14" t="s">
        <v>70</v>
      </c>
      <c r="D56" s="30" t="s">
        <v>76</v>
      </c>
      <c r="E56" s="15">
        <f>SUM(F56+BY56+CT56)</f>
        <v>524239</v>
      </c>
      <c r="F56" s="16">
        <f>SUM(G56+BA56)</f>
        <v>524239</v>
      </c>
      <c r="G56" s="16">
        <f>SUM(H56+I56+J56+Q56+T56+U56+V56+AE56)</f>
        <v>524239</v>
      </c>
      <c r="H56" s="16">
        <v>0</v>
      </c>
      <c r="I56" s="16">
        <v>0</v>
      </c>
      <c r="J56" s="16">
        <f t="shared" si="7"/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f t="shared" si="8"/>
        <v>0</v>
      </c>
      <c r="R56" s="16">
        <v>0</v>
      </c>
      <c r="S56" s="16">
        <v>0</v>
      </c>
      <c r="T56" s="16">
        <v>0</v>
      </c>
      <c r="U56" s="16">
        <v>0</v>
      </c>
      <c r="V56" s="16">
        <f>SUM(W56:AD56)</f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f>SUM(AF56:AZ56)</f>
        <v>524239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524239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f>SUM(BB56+BF56+BI56+BJ56+BK56+BM56)</f>
        <v>0</v>
      </c>
      <c r="BB56" s="16">
        <f>SUM(BC56:BE56)</f>
        <v>0</v>
      </c>
      <c r="BC56" s="16">
        <v>0</v>
      </c>
      <c r="BD56" s="16">
        <v>0</v>
      </c>
      <c r="BE56" s="16">
        <v>0</v>
      </c>
      <c r="BF56" s="16">
        <f t="shared" si="9"/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f t="shared" si="10"/>
        <v>0</v>
      </c>
      <c r="BL56" s="16">
        <v>0</v>
      </c>
      <c r="BM56" s="16">
        <f t="shared" si="11"/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f>SUM(BZ56+CS56)</f>
        <v>0</v>
      </c>
      <c r="BZ56" s="16">
        <f>SUM(CA56+CD56+CK56)</f>
        <v>0</v>
      </c>
      <c r="CA56" s="16">
        <f t="shared" si="12"/>
        <v>0</v>
      </c>
      <c r="CB56" s="16">
        <v>0</v>
      </c>
      <c r="CC56" s="16">
        <v>0</v>
      </c>
      <c r="CD56" s="16">
        <f t="shared" si="13"/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f t="shared" si="14"/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  <c r="CS56" s="16">
        <v>0</v>
      </c>
      <c r="CT56" s="16">
        <f t="shared" si="15"/>
        <v>0</v>
      </c>
      <c r="CU56" s="16">
        <f t="shared" si="16"/>
        <v>0</v>
      </c>
      <c r="CV56" s="16">
        <v>0</v>
      </c>
      <c r="CW56" s="17">
        <v>0</v>
      </c>
      <c r="CX56" s="40"/>
    </row>
    <row r="57" spans="1:102" ht="15.75" hidden="1" x14ac:dyDescent="0.25">
      <c r="A57" s="18" t="s">
        <v>77</v>
      </c>
      <c r="B57" s="19" t="s">
        <v>1</v>
      </c>
      <c r="C57" s="19" t="s">
        <v>1</v>
      </c>
      <c r="D57" s="31" t="s">
        <v>78</v>
      </c>
      <c r="E57" s="20">
        <f>SUM(E58+E60)</f>
        <v>5683420</v>
      </c>
      <c r="F57" s="21">
        <f t="shared" ref="F57:BS57" si="65">SUM(F58+F60)</f>
        <v>5643698</v>
      </c>
      <c r="G57" s="21">
        <f t="shared" si="65"/>
        <v>5643698</v>
      </c>
      <c r="H57" s="21">
        <f t="shared" si="65"/>
        <v>1947456</v>
      </c>
      <c r="I57" s="21">
        <f t="shared" si="65"/>
        <v>486864</v>
      </c>
      <c r="J57" s="21">
        <f t="shared" si="65"/>
        <v>69066</v>
      </c>
      <c r="K57" s="21">
        <f t="shared" si="65"/>
        <v>0</v>
      </c>
      <c r="L57" s="21">
        <f t="shared" si="65"/>
        <v>0</v>
      </c>
      <c r="M57" s="21">
        <f t="shared" si="65"/>
        <v>0</v>
      </c>
      <c r="N57" s="21">
        <f t="shared" si="65"/>
        <v>0</v>
      </c>
      <c r="O57" s="21">
        <f t="shared" si="65"/>
        <v>39576</v>
      </c>
      <c r="P57" s="21">
        <f t="shared" si="65"/>
        <v>29490</v>
      </c>
      <c r="Q57" s="21">
        <f t="shared" si="65"/>
        <v>610538</v>
      </c>
      <c r="R57" s="21">
        <f t="shared" si="65"/>
        <v>0</v>
      </c>
      <c r="S57" s="21">
        <f t="shared" si="65"/>
        <v>610538</v>
      </c>
      <c r="T57" s="21">
        <f t="shared" si="65"/>
        <v>0</v>
      </c>
      <c r="U57" s="21">
        <f t="shared" si="65"/>
        <v>71271</v>
      </c>
      <c r="V57" s="21">
        <f t="shared" si="65"/>
        <v>888553</v>
      </c>
      <c r="W57" s="21">
        <f t="shared" si="65"/>
        <v>18887</v>
      </c>
      <c r="X57" s="21">
        <f t="shared" si="65"/>
        <v>0</v>
      </c>
      <c r="Y57" s="21">
        <f t="shared" si="65"/>
        <v>0</v>
      </c>
      <c r="Z57" s="21">
        <f t="shared" si="65"/>
        <v>0</v>
      </c>
      <c r="AA57" s="21">
        <f t="shared" si="65"/>
        <v>0</v>
      </c>
      <c r="AB57" s="21">
        <f t="shared" si="65"/>
        <v>869666</v>
      </c>
      <c r="AC57" s="21">
        <f t="shared" si="65"/>
        <v>0</v>
      </c>
      <c r="AD57" s="21">
        <f t="shared" ref="AD57" si="66">SUM(AD58+AD60)</f>
        <v>0</v>
      </c>
      <c r="AE57" s="21">
        <f t="shared" si="65"/>
        <v>1569950</v>
      </c>
      <c r="AF57" s="21">
        <f t="shared" si="65"/>
        <v>289800</v>
      </c>
      <c r="AG57" s="21">
        <f t="shared" si="65"/>
        <v>0</v>
      </c>
      <c r="AH57" s="21">
        <f t="shared" si="65"/>
        <v>547</v>
      </c>
      <c r="AI57" s="21">
        <f t="shared" si="65"/>
        <v>0</v>
      </c>
      <c r="AJ57" s="21">
        <f t="shared" si="65"/>
        <v>6364</v>
      </c>
      <c r="AK57" s="21">
        <f t="shared" si="65"/>
        <v>0</v>
      </c>
      <c r="AL57" s="21">
        <f t="shared" si="65"/>
        <v>19861</v>
      </c>
      <c r="AM57" s="21">
        <f t="shared" si="65"/>
        <v>0</v>
      </c>
      <c r="AN57" s="21">
        <f t="shared" si="65"/>
        <v>475883</v>
      </c>
      <c r="AO57" s="21">
        <f t="shared" si="65"/>
        <v>0</v>
      </c>
      <c r="AP57" s="21">
        <f>SUM(AP58+AP60)</f>
        <v>0</v>
      </c>
      <c r="AQ57" s="21">
        <f t="shared" si="65"/>
        <v>0</v>
      </c>
      <c r="AR57" s="21">
        <f t="shared" si="65"/>
        <v>0</v>
      </c>
      <c r="AS57" s="21">
        <f t="shared" si="65"/>
        <v>0</v>
      </c>
      <c r="AT57" s="21">
        <f t="shared" si="65"/>
        <v>0</v>
      </c>
      <c r="AU57" s="21">
        <f t="shared" si="65"/>
        <v>0</v>
      </c>
      <c r="AV57" s="21">
        <f t="shared" si="65"/>
        <v>0</v>
      </c>
      <c r="AW57" s="21">
        <f t="shared" si="65"/>
        <v>0</v>
      </c>
      <c r="AX57" s="21">
        <f t="shared" si="65"/>
        <v>0</v>
      </c>
      <c r="AY57" s="21">
        <f t="shared" si="65"/>
        <v>0</v>
      </c>
      <c r="AZ57" s="21">
        <f t="shared" si="65"/>
        <v>777495</v>
      </c>
      <c r="BA57" s="21">
        <f t="shared" si="65"/>
        <v>0</v>
      </c>
      <c r="BB57" s="21">
        <f t="shared" si="65"/>
        <v>0</v>
      </c>
      <c r="BC57" s="21">
        <f t="shared" si="65"/>
        <v>0</v>
      </c>
      <c r="BD57" s="21">
        <f t="shared" si="65"/>
        <v>0</v>
      </c>
      <c r="BE57" s="21">
        <f t="shared" si="65"/>
        <v>0</v>
      </c>
      <c r="BF57" s="21">
        <f t="shared" si="65"/>
        <v>0</v>
      </c>
      <c r="BG57" s="21">
        <f t="shared" si="65"/>
        <v>0</v>
      </c>
      <c r="BH57" s="21">
        <f t="shared" si="65"/>
        <v>0</v>
      </c>
      <c r="BI57" s="21">
        <f t="shared" si="65"/>
        <v>0</v>
      </c>
      <c r="BJ57" s="21">
        <f t="shared" si="65"/>
        <v>0</v>
      </c>
      <c r="BK57" s="21">
        <f t="shared" si="65"/>
        <v>0</v>
      </c>
      <c r="BL57" s="21">
        <f t="shared" si="65"/>
        <v>0</v>
      </c>
      <c r="BM57" s="21">
        <f t="shared" si="65"/>
        <v>0</v>
      </c>
      <c r="BN57" s="21">
        <f t="shared" si="65"/>
        <v>0</v>
      </c>
      <c r="BO57" s="21">
        <f t="shared" si="65"/>
        <v>0</v>
      </c>
      <c r="BP57" s="21">
        <f t="shared" si="65"/>
        <v>0</v>
      </c>
      <c r="BQ57" s="21">
        <f t="shared" si="65"/>
        <v>0</v>
      </c>
      <c r="BR57" s="21">
        <f t="shared" si="65"/>
        <v>0</v>
      </c>
      <c r="BS57" s="21">
        <f t="shared" si="65"/>
        <v>0</v>
      </c>
      <c r="BT57" s="21">
        <f t="shared" ref="BT57:CW57" si="67">SUM(BT58+BT60)</f>
        <v>0</v>
      </c>
      <c r="BU57" s="21">
        <f t="shared" si="67"/>
        <v>0</v>
      </c>
      <c r="BV57" s="21">
        <f t="shared" si="67"/>
        <v>0</v>
      </c>
      <c r="BW57" s="21">
        <f t="shared" si="67"/>
        <v>0</v>
      </c>
      <c r="BX57" s="21">
        <f t="shared" si="67"/>
        <v>0</v>
      </c>
      <c r="BY57" s="21">
        <f t="shared" si="67"/>
        <v>39722</v>
      </c>
      <c r="BZ57" s="21">
        <f t="shared" si="67"/>
        <v>39722</v>
      </c>
      <c r="CA57" s="21">
        <f t="shared" si="67"/>
        <v>39722</v>
      </c>
      <c r="CB57" s="21">
        <f t="shared" si="67"/>
        <v>0</v>
      </c>
      <c r="CC57" s="21">
        <f t="shared" si="67"/>
        <v>39722</v>
      </c>
      <c r="CD57" s="21">
        <f t="shared" si="67"/>
        <v>0</v>
      </c>
      <c r="CE57" s="21">
        <f t="shared" si="67"/>
        <v>0</v>
      </c>
      <c r="CF57" s="21">
        <f>SUM(CF58+CF60)</f>
        <v>0</v>
      </c>
      <c r="CG57" s="21">
        <f t="shared" si="67"/>
        <v>0</v>
      </c>
      <c r="CH57" s="21">
        <f t="shared" si="67"/>
        <v>0</v>
      </c>
      <c r="CI57" s="21">
        <f t="shared" si="67"/>
        <v>0</v>
      </c>
      <c r="CJ57" s="21">
        <f t="shared" ref="CJ57" si="68">SUM(CJ58+CJ60)</f>
        <v>0</v>
      </c>
      <c r="CK57" s="21">
        <f t="shared" si="67"/>
        <v>0</v>
      </c>
      <c r="CL57" s="21">
        <f t="shared" si="67"/>
        <v>0</v>
      </c>
      <c r="CM57" s="21">
        <f>SUM(CM58+CM60)</f>
        <v>0</v>
      </c>
      <c r="CN57" s="21">
        <f t="shared" si="67"/>
        <v>0</v>
      </c>
      <c r="CO57" s="21">
        <f t="shared" si="67"/>
        <v>0</v>
      </c>
      <c r="CP57" s="21">
        <f t="shared" si="67"/>
        <v>0</v>
      </c>
      <c r="CQ57" s="21">
        <f t="shared" si="67"/>
        <v>0</v>
      </c>
      <c r="CR57" s="21">
        <f t="shared" si="67"/>
        <v>0</v>
      </c>
      <c r="CS57" s="21">
        <f t="shared" si="67"/>
        <v>0</v>
      </c>
      <c r="CT57" s="21">
        <f t="shared" si="67"/>
        <v>0</v>
      </c>
      <c r="CU57" s="21">
        <f t="shared" si="67"/>
        <v>0</v>
      </c>
      <c r="CV57" s="21">
        <f t="shared" si="67"/>
        <v>0</v>
      </c>
      <c r="CW57" s="22">
        <f t="shared" si="67"/>
        <v>0</v>
      </c>
      <c r="CX57" s="40"/>
    </row>
    <row r="58" spans="1:102" ht="15.75" hidden="1" x14ac:dyDescent="0.25">
      <c r="A58" s="13" t="s">
        <v>15</v>
      </c>
      <c r="B58" s="14" t="s">
        <v>3</v>
      </c>
      <c r="C58" s="14" t="s">
        <v>1</v>
      </c>
      <c r="D58" s="30" t="s">
        <v>79</v>
      </c>
      <c r="E58" s="15">
        <f t="shared" ref="E58:AJ58" si="69">SUM(E59)</f>
        <v>4933420</v>
      </c>
      <c r="F58" s="16">
        <f t="shared" si="69"/>
        <v>4893698</v>
      </c>
      <c r="G58" s="16">
        <f t="shared" si="69"/>
        <v>4893698</v>
      </c>
      <c r="H58" s="16">
        <f t="shared" si="69"/>
        <v>1947456</v>
      </c>
      <c r="I58" s="16">
        <f t="shared" si="69"/>
        <v>486864</v>
      </c>
      <c r="J58" s="16">
        <f t="shared" si="69"/>
        <v>69066</v>
      </c>
      <c r="K58" s="16">
        <f t="shared" si="69"/>
        <v>0</v>
      </c>
      <c r="L58" s="16">
        <f t="shared" si="69"/>
        <v>0</v>
      </c>
      <c r="M58" s="16">
        <f t="shared" si="69"/>
        <v>0</v>
      </c>
      <c r="N58" s="16">
        <f t="shared" si="69"/>
        <v>0</v>
      </c>
      <c r="O58" s="16">
        <f t="shared" si="69"/>
        <v>39576</v>
      </c>
      <c r="P58" s="16">
        <f t="shared" si="69"/>
        <v>29490</v>
      </c>
      <c r="Q58" s="16">
        <f t="shared" si="69"/>
        <v>610538</v>
      </c>
      <c r="R58" s="16">
        <f t="shared" si="69"/>
        <v>0</v>
      </c>
      <c r="S58" s="16">
        <f t="shared" si="69"/>
        <v>610538</v>
      </c>
      <c r="T58" s="16">
        <f t="shared" si="69"/>
        <v>0</v>
      </c>
      <c r="U58" s="16">
        <f t="shared" si="69"/>
        <v>71271</v>
      </c>
      <c r="V58" s="16">
        <f t="shared" si="69"/>
        <v>888553</v>
      </c>
      <c r="W58" s="16">
        <f t="shared" si="69"/>
        <v>18887</v>
      </c>
      <c r="X58" s="16">
        <f t="shared" si="69"/>
        <v>0</v>
      </c>
      <c r="Y58" s="16">
        <f t="shared" si="69"/>
        <v>0</v>
      </c>
      <c r="Z58" s="16">
        <f t="shared" si="69"/>
        <v>0</v>
      </c>
      <c r="AA58" s="16">
        <f t="shared" si="69"/>
        <v>0</v>
      </c>
      <c r="AB58" s="16">
        <f t="shared" si="69"/>
        <v>869666</v>
      </c>
      <c r="AC58" s="16">
        <f t="shared" si="69"/>
        <v>0</v>
      </c>
      <c r="AD58" s="16">
        <f t="shared" si="69"/>
        <v>0</v>
      </c>
      <c r="AE58" s="16">
        <f t="shared" si="69"/>
        <v>819950</v>
      </c>
      <c r="AF58" s="16">
        <f t="shared" si="69"/>
        <v>289800</v>
      </c>
      <c r="AG58" s="16">
        <f t="shared" si="69"/>
        <v>0</v>
      </c>
      <c r="AH58" s="16">
        <f t="shared" si="69"/>
        <v>547</v>
      </c>
      <c r="AI58" s="16">
        <f t="shared" si="69"/>
        <v>0</v>
      </c>
      <c r="AJ58" s="16">
        <f t="shared" si="69"/>
        <v>6364</v>
      </c>
      <c r="AK58" s="16">
        <f t="shared" ref="AK58:BR58" si="70">SUM(AK59)</f>
        <v>0</v>
      </c>
      <c r="AL58" s="16">
        <f t="shared" si="70"/>
        <v>19861</v>
      </c>
      <c r="AM58" s="16">
        <f t="shared" si="70"/>
        <v>0</v>
      </c>
      <c r="AN58" s="16">
        <f t="shared" si="70"/>
        <v>475883</v>
      </c>
      <c r="AO58" s="16">
        <f t="shared" si="70"/>
        <v>0</v>
      </c>
      <c r="AP58" s="16">
        <f t="shared" si="70"/>
        <v>0</v>
      </c>
      <c r="AQ58" s="16">
        <f t="shared" si="70"/>
        <v>0</v>
      </c>
      <c r="AR58" s="16">
        <f t="shared" si="70"/>
        <v>0</v>
      </c>
      <c r="AS58" s="16">
        <f t="shared" si="70"/>
        <v>0</v>
      </c>
      <c r="AT58" s="16">
        <f t="shared" si="70"/>
        <v>0</v>
      </c>
      <c r="AU58" s="16">
        <f t="shared" si="70"/>
        <v>0</v>
      </c>
      <c r="AV58" s="16">
        <f t="shared" si="70"/>
        <v>0</v>
      </c>
      <c r="AW58" s="16">
        <f t="shared" si="70"/>
        <v>0</v>
      </c>
      <c r="AX58" s="16">
        <f t="shared" si="70"/>
        <v>0</v>
      </c>
      <c r="AY58" s="16">
        <f t="shared" si="70"/>
        <v>0</v>
      </c>
      <c r="AZ58" s="16">
        <f t="shared" si="70"/>
        <v>27495</v>
      </c>
      <c r="BA58" s="16">
        <f t="shared" si="70"/>
        <v>0</v>
      </c>
      <c r="BB58" s="16">
        <f t="shared" si="70"/>
        <v>0</v>
      </c>
      <c r="BC58" s="16">
        <f t="shared" si="70"/>
        <v>0</v>
      </c>
      <c r="BD58" s="16">
        <f t="shared" si="70"/>
        <v>0</v>
      </c>
      <c r="BE58" s="16">
        <f t="shared" si="70"/>
        <v>0</v>
      </c>
      <c r="BF58" s="16">
        <f t="shared" si="70"/>
        <v>0</v>
      </c>
      <c r="BG58" s="16">
        <f t="shared" si="70"/>
        <v>0</v>
      </c>
      <c r="BH58" s="16">
        <f t="shared" si="70"/>
        <v>0</v>
      </c>
      <c r="BI58" s="16">
        <f t="shared" si="70"/>
        <v>0</v>
      </c>
      <c r="BJ58" s="16">
        <f t="shared" si="70"/>
        <v>0</v>
      </c>
      <c r="BK58" s="16">
        <f t="shared" si="70"/>
        <v>0</v>
      </c>
      <c r="BL58" s="16">
        <f t="shared" si="70"/>
        <v>0</v>
      </c>
      <c r="BM58" s="16">
        <f t="shared" si="70"/>
        <v>0</v>
      </c>
      <c r="BN58" s="16">
        <f t="shared" si="70"/>
        <v>0</v>
      </c>
      <c r="BO58" s="16">
        <f t="shared" si="70"/>
        <v>0</v>
      </c>
      <c r="BP58" s="16">
        <f t="shared" si="70"/>
        <v>0</v>
      </c>
      <c r="BQ58" s="16">
        <f t="shared" si="70"/>
        <v>0</v>
      </c>
      <c r="BR58" s="16">
        <f t="shared" si="70"/>
        <v>0</v>
      </c>
      <c r="BS58" s="16">
        <f t="shared" ref="BS58:CW58" si="71">SUM(BS59)</f>
        <v>0</v>
      </c>
      <c r="BT58" s="16">
        <f t="shared" si="71"/>
        <v>0</v>
      </c>
      <c r="BU58" s="16">
        <f t="shared" si="71"/>
        <v>0</v>
      </c>
      <c r="BV58" s="16">
        <f t="shared" si="71"/>
        <v>0</v>
      </c>
      <c r="BW58" s="16">
        <f t="shared" si="71"/>
        <v>0</v>
      </c>
      <c r="BX58" s="16">
        <f t="shared" si="71"/>
        <v>0</v>
      </c>
      <c r="BY58" s="16">
        <f t="shared" si="71"/>
        <v>39722</v>
      </c>
      <c r="BZ58" s="16">
        <f t="shared" si="71"/>
        <v>39722</v>
      </c>
      <c r="CA58" s="16">
        <f t="shared" si="71"/>
        <v>39722</v>
      </c>
      <c r="CB58" s="16">
        <f t="shared" si="71"/>
        <v>0</v>
      </c>
      <c r="CC58" s="16">
        <f t="shared" si="71"/>
        <v>39722</v>
      </c>
      <c r="CD58" s="16">
        <f t="shared" si="71"/>
        <v>0</v>
      </c>
      <c r="CE58" s="16">
        <f t="shared" si="71"/>
        <v>0</v>
      </c>
      <c r="CF58" s="16">
        <f t="shared" si="71"/>
        <v>0</v>
      </c>
      <c r="CG58" s="16">
        <f t="shared" si="71"/>
        <v>0</v>
      </c>
      <c r="CH58" s="16">
        <f t="shared" si="71"/>
        <v>0</v>
      </c>
      <c r="CI58" s="16">
        <f t="shared" si="71"/>
        <v>0</v>
      </c>
      <c r="CJ58" s="16">
        <f t="shared" si="71"/>
        <v>0</v>
      </c>
      <c r="CK58" s="16">
        <f t="shared" si="71"/>
        <v>0</v>
      </c>
      <c r="CL58" s="16">
        <f t="shared" si="71"/>
        <v>0</v>
      </c>
      <c r="CM58" s="16">
        <f t="shared" si="71"/>
        <v>0</v>
      </c>
      <c r="CN58" s="16">
        <f t="shared" si="71"/>
        <v>0</v>
      </c>
      <c r="CO58" s="16">
        <f t="shared" si="71"/>
        <v>0</v>
      </c>
      <c r="CP58" s="16">
        <f t="shared" si="71"/>
        <v>0</v>
      </c>
      <c r="CQ58" s="16">
        <f t="shared" si="71"/>
        <v>0</v>
      </c>
      <c r="CR58" s="16">
        <f t="shared" si="71"/>
        <v>0</v>
      </c>
      <c r="CS58" s="16">
        <f t="shared" si="71"/>
        <v>0</v>
      </c>
      <c r="CT58" s="16">
        <f t="shared" si="71"/>
        <v>0</v>
      </c>
      <c r="CU58" s="16">
        <f t="shared" si="71"/>
        <v>0</v>
      </c>
      <c r="CV58" s="16">
        <f t="shared" si="71"/>
        <v>0</v>
      </c>
      <c r="CW58" s="17">
        <f t="shared" si="71"/>
        <v>0</v>
      </c>
      <c r="CX58" s="40"/>
    </row>
    <row r="59" spans="1:102" ht="31.5" hidden="1" x14ac:dyDescent="0.25">
      <c r="A59" s="13" t="s">
        <v>1</v>
      </c>
      <c r="B59" s="14" t="s">
        <v>1</v>
      </c>
      <c r="C59" s="14" t="s">
        <v>27</v>
      </c>
      <c r="D59" s="30" t="s">
        <v>80</v>
      </c>
      <c r="E59" s="15">
        <f>SUM(F59+BY59+CT59)</f>
        <v>4933420</v>
      </c>
      <c r="F59" s="16">
        <f>SUM(G59+BA59)</f>
        <v>4893698</v>
      </c>
      <c r="G59" s="16">
        <f>SUM(H59+I59+J59+Q59+T59+U59+V59+AE59)</f>
        <v>4893698</v>
      </c>
      <c r="H59" s="16">
        <v>1947456</v>
      </c>
      <c r="I59" s="16">
        <v>486864</v>
      </c>
      <c r="J59" s="16">
        <f t="shared" si="7"/>
        <v>69066</v>
      </c>
      <c r="K59" s="16">
        <v>0</v>
      </c>
      <c r="L59" s="16">
        <v>0</v>
      </c>
      <c r="M59" s="16">
        <v>0</v>
      </c>
      <c r="N59" s="16">
        <v>0</v>
      </c>
      <c r="O59" s="16">
        <v>39576</v>
      </c>
      <c r="P59" s="16">
        <v>29490</v>
      </c>
      <c r="Q59" s="16">
        <f t="shared" si="8"/>
        <v>610538</v>
      </c>
      <c r="R59" s="16">
        <v>0</v>
      </c>
      <c r="S59" s="16">
        <v>610538</v>
      </c>
      <c r="T59" s="16">
        <v>0</v>
      </c>
      <c r="U59" s="16">
        <v>71271</v>
      </c>
      <c r="V59" s="16">
        <f>SUM(W59:AD59)</f>
        <v>888553</v>
      </c>
      <c r="W59" s="16">
        <v>18887</v>
      </c>
      <c r="X59" s="16">
        <v>0</v>
      </c>
      <c r="Y59" s="16">
        <v>0</v>
      </c>
      <c r="Z59" s="16">
        <v>0</v>
      </c>
      <c r="AA59" s="16">
        <v>0</v>
      </c>
      <c r="AB59" s="16">
        <v>869666</v>
      </c>
      <c r="AC59" s="16">
        <v>0</v>
      </c>
      <c r="AD59" s="16">
        <v>0</v>
      </c>
      <c r="AE59" s="16">
        <f>SUM(AF59:AZ59)</f>
        <v>819950</v>
      </c>
      <c r="AF59" s="16">
        <v>289800</v>
      </c>
      <c r="AG59" s="16">
        <v>0</v>
      </c>
      <c r="AH59" s="16">
        <v>547</v>
      </c>
      <c r="AI59" s="16">
        <v>0</v>
      </c>
      <c r="AJ59" s="16">
        <v>6364</v>
      </c>
      <c r="AK59" s="16">
        <v>0</v>
      </c>
      <c r="AL59" s="16">
        <v>19861</v>
      </c>
      <c r="AM59" s="16">
        <v>0</v>
      </c>
      <c r="AN59" s="16">
        <v>475883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27495</v>
      </c>
      <c r="BA59" s="16">
        <f>SUM(BB59+BF59+BI59+BJ59+BK59+BM59)</f>
        <v>0</v>
      </c>
      <c r="BB59" s="16">
        <f>SUM(BC59:BE59)</f>
        <v>0</v>
      </c>
      <c r="BC59" s="16">
        <v>0</v>
      </c>
      <c r="BD59" s="16">
        <v>0</v>
      </c>
      <c r="BE59" s="16">
        <v>0</v>
      </c>
      <c r="BF59" s="16">
        <f t="shared" si="9"/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f t="shared" si="10"/>
        <v>0</v>
      </c>
      <c r="BL59" s="16">
        <v>0</v>
      </c>
      <c r="BM59" s="16">
        <f t="shared" si="11"/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  <c r="BX59" s="16">
        <v>0</v>
      </c>
      <c r="BY59" s="16">
        <f>SUM(BZ59+CS59)</f>
        <v>39722</v>
      </c>
      <c r="BZ59" s="16">
        <f>SUM(CA59+CD59+CK59)</f>
        <v>39722</v>
      </c>
      <c r="CA59" s="16">
        <f t="shared" si="12"/>
        <v>39722</v>
      </c>
      <c r="CB59" s="16">
        <v>0</v>
      </c>
      <c r="CC59" s="16">
        <v>39722</v>
      </c>
      <c r="CD59" s="16">
        <f t="shared" si="13"/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16">
        <f t="shared" si="14"/>
        <v>0</v>
      </c>
      <c r="CL59" s="16">
        <v>0</v>
      </c>
      <c r="CM59" s="16">
        <v>0</v>
      </c>
      <c r="CN59" s="16">
        <v>0</v>
      </c>
      <c r="CO59" s="16">
        <v>0</v>
      </c>
      <c r="CP59" s="16">
        <v>0</v>
      </c>
      <c r="CQ59" s="16">
        <v>0</v>
      </c>
      <c r="CR59" s="16">
        <v>0</v>
      </c>
      <c r="CS59" s="16">
        <v>0</v>
      </c>
      <c r="CT59" s="16">
        <f t="shared" si="15"/>
        <v>0</v>
      </c>
      <c r="CU59" s="16">
        <f t="shared" si="16"/>
        <v>0</v>
      </c>
      <c r="CV59" s="16">
        <v>0</v>
      </c>
      <c r="CW59" s="17">
        <v>0</v>
      </c>
      <c r="CX59" s="40"/>
    </row>
    <row r="60" spans="1:102" ht="15.75" hidden="1" x14ac:dyDescent="0.25">
      <c r="A60" s="13" t="s">
        <v>15</v>
      </c>
      <c r="B60" s="14" t="s">
        <v>15</v>
      </c>
      <c r="C60" s="14" t="s">
        <v>1</v>
      </c>
      <c r="D60" s="30" t="s">
        <v>81</v>
      </c>
      <c r="E60" s="15">
        <f t="shared" ref="E60:AJ60" si="72">SUM(E61)</f>
        <v>750000</v>
      </c>
      <c r="F60" s="16">
        <f t="shared" si="72"/>
        <v>750000</v>
      </c>
      <c r="G60" s="16">
        <f t="shared" si="72"/>
        <v>750000</v>
      </c>
      <c r="H60" s="16">
        <f t="shared" si="72"/>
        <v>0</v>
      </c>
      <c r="I60" s="16">
        <f t="shared" si="72"/>
        <v>0</v>
      </c>
      <c r="J60" s="16">
        <f t="shared" si="72"/>
        <v>0</v>
      </c>
      <c r="K60" s="16">
        <f t="shared" si="72"/>
        <v>0</v>
      </c>
      <c r="L60" s="16">
        <f t="shared" si="72"/>
        <v>0</v>
      </c>
      <c r="M60" s="16">
        <f t="shared" si="72"/>
        <v>0</v>
      </c>
      <c r="N60" s="16">
        <f t="shared" si="72"/>
        <v>0</v>
      </c>
      <c r="O60" s="16">
        <f t="shared" si="72"/>
        <v>0</v>
      </c>
      <c r="P60" s="16">
        <f t="shared" si="72"/>
        <v>0</v>
      </c>
      <c r="Q60" s="16">
        <f t="shared" si="72"/>
        <v>0</v>
      </c>
      <c r="R60" s="16">
        <f t="shared" si="72"/>
        <v>0</v>
      </c>
      <c r="S60" s="16">
        <f t="shared" si="72"/>
        <v>0</v>
      </c>
      <c r="T60" s="16">
        <f t="shared" si="72"/>
        <v>0</v>
      </c>
      <c r="U60" s="16">
        <f t="shared" si="72"/>
        <v>0</v>
      </c>
      <c r="V60" s="16">
        <f t="shared" si="72"/>
        <v>0</v>
      </c>
      <c r="W60" s="16">
        <f t="shared" si="72"/>
        <v>0</v>
      </c>
      <c r="X60" s="16">
        <f t="shared" si="72"/>
        <v>0</v>
      </c>
      <c r="Y60" s="16">
        <f t="shared" si="72"/>
        <v>0</v>
      </c>
      <c r="Z60" s="16">
        <f t="shared" si="72"/>
        <v>0</v>
      </c>
      <c r="AA60" s="16">
        <f t="shared" si="72"/>
        <v>0</v>
      </c>
      <c r="AB60" s="16">
        <f t="shared" si="72"/>
        <v>0</v>
      </c>
      <c r="AC60" s="16">
        <f t="shared" si="72"/>
        <v>0</v>
      </c>
      <c r="AD60" s="16">
        <f t="shared" si="72"/>
        <v>0</v>
      </c>
      <c r="AE60" s="16">
        <f t="shared" si="72"/>
        <v>750000</v>
      </c>
      <c r="AF60" s="16">
        <f t="shared" si="72"/>
        <v>0</v>
      </c>
      <c r="AG60" s="16">
        <f t="shared" si="72"/>
        <v>0</v>
      </c>
      <c r="AH60" s="16">
        <f t="shared" si="72"/>
        <v>0</v>
      </c>
      <c r="AI60" s="16">
        <f t="shared" si="72"/>
        <v>0</v>
      </c>
      <c r="AJ60" s="16">
        <f t="shared" si="72"/>
        <v>0</v>
      </c>
      <c r="AK60" s="16">
        <f t="shared" ref="AK60:BR60" si="73">SUM(AK61)</f>
        <v>0</v>
      </c>
      <c r="AL60" s="16">
        <f t="shared" si="73"/>
        <v>0</v>
      </c>
      <c r="AM60" s="16">
        <f t="shared" si="73"/>
        <v>0</v>
      </c>
      <c r="AN60" s="16">
        <f t="shared" si="73"/>
        <v>0</v>
      </c>
      <c r="AO60" s="16">
        <f t="shared" si="73"/>
        <v>0</v>
      </c>
      <c r="AP60" s="16">
        <f t="shared" si="73"/>
        <v>0</v>
      </c>
      <c r="AQ60" s="16">
        <f t="shared" si="73"/>
        <v>0</v>
      </c>
      <c r="AR60" s="16">
        <f t="shared" si="73"/>
        <v>0</v>
      </c>
      <c r="AS60" s="16">
        <f t="shared" si="73"/>
        <v>0</v>
      </c>
      <c r="AT60" s="16">
        <f t="shared" si="73"/>
        <v>0</v>
      </c>
      <c r="AU60" s="16">
        <f t="shared" si="73"/>
        <v>0</v>
      </c>
      <c r="AV60" s="16">
        <f t="shared" si="73"/>
        <v>0</v>
      </c>
      <c r="AW60" s="16">
        <f t="shared" si="73"/>
        <v>0</v>
      </c>
      <c r="AX60" s="16">
        <f t="shared" si="73"/>
        <v>0</v>
      </c>
      <c r="AY60" s="16">
        <f t="shared" si="73"/>
        <v>0</v>
      </c>
      <c r="AZ60" s="16">
        <f t="shared" si="73"/>
        <v>750000</v>
      </c>
      <c r="BA60" s="16">
        <f t="shared" si="73"/>
        <v>0</v>
      </c>
      <c r="BB60" s="16">
        <f t="shared" si="73"/>
        <v>0</v>
      </c>
      <c r="BC60" s="16">
        <f t="shared" si="73"/>
        <v>0</v>
      </c>
      <c r="BD60" s="16">
        <f t="shared" si="73"/>
        <v>0</v>
      </c>
      <c r="BE60" s="16">
        <f t="shared" si="73"/>
        <v>0</v>
      </c>
      <c r="BF60" s="16">
        <f t="shared" si="73"/>
        <v>0</v>
      </c>
      <c r="BG60" s="16">
        <f t="shared" si="73"/>
        <v>0</v>
      </c>
      <c r="BH60" s="16">
        <f t="shared" si="73"/>
        <v>0</v>
      </c>
      <c r="BI60" s="16">
        <f t="shared" si="73"/>
        <v>0</v>
      </c>
      <c r="BJ60" s="16">
        <f t="shared" si="73"/>
        <v>0</v>
      </c>
      <c r="BK60" s="16">
        <f t="shared" si="73"/>
        <v>0</v>
      </c>
      <c r="BL60" s="16">
        <f t="shared" si="73"/>
        <v>0</v>
      </c>
      <c r="BM60" s="16">
        <f t="shared" si="73"/>
        <v>0</v>
      </c>
      <c r="BN60" s="16">
        <f t="shared" si="73"/>
        <v>0</v>
      </c>
      <c r="BO60" s="16">
        <f t="shared" si="73"/>
        <v>0</v>
      </c>
      <c r="BP60" s="16">
        <f t="shared" si="73"/>
        <v>0</v>
      </c>
      <c r="BQ60" s="16">
        <f t="shared" si="73"/>
        <v>0</v>
      </c>
      <c r="BR60" s="16">
        <f t="shared" si="73"/>
        <v>0</v>
      </c>
      <c r="BS60" s="16">
        <f t="shared" ref="BS60:CW60" si="74">SUM(BS61)</f>
        <v>0</v>
      </c>
      <c r="BT60" s="16">
        <f t="shared" si="74"/>
        <v>0</v>
      </c>
      <c r="BU60" s="16">
        <f t="shared" si="74"/>
        <v>0</v>
      </c>
      <c r="BV60" s="16">
        <f t="shared" si="74"/>
        <v>0</v>
      </c>
      <c r="BW60" s="16">
        <f t="shared" si="74"/>
        <v>0</v>
      </c>
      <c r="BX60" s="16">
        <f t="shared" si="74"/>
        <v>0</v>
      </c>
      <c r="BY60" s="16">
        <f t="shared" si="74"/>
        <v>0</v>
      </c>
      <c r="BZ60" s="16">
        <f t="shared" si="74"/>
        <v>0</v>
      </c>
      <c r="CA60" s="16">
        <f t="shared" si="74"/>
        <v>0</v>
      </c>
      <c r="CB60" s="16">
        <f t="shared" si="74"/>
        <v>0</v>
      </c>
      <c r="CC60" s="16">
        <f t="shared" si="74"/>
        <v>0</v>
      </c>
      <c r="CD60" s="16">
        <f t="shared" si="74"/>
        <v>0</v>
      </c>
      <c r="CE60" s="16">
        <f t="shared" si="74"/>
        <v>0</v>
      </c>
      <c r="CF60" s="16">
        <f t="shared" si="74"/>
        <v>0</v>
      </c>
      <c r="CG60" s="16">
        <f t="shared" si="74"/>
        <v>0</v>
      </c>
      <c r="CH60" s="16">
        <f t="shared" si="74"/>
        <v>0</v>
      </c>
      <c r="CI60" s="16">
        <f t="shared" si="74"/>
        <v>0</v>
      </c>
      <c r="CJ60" s="16">
        <f t="shared" si="74"/>
        <v>0</v>
      </c>
      <c r="CK60" s="16">
        <f t="shared" si="74"/>
        <v>0</v>
      </c>
      <c r="CL60" s="16">
        <f t="shared" si="74"/>
        <v>0</v>
      </c>
      <c r="CM60" s="16">
        <f t="shared" si="74"/>
        <v>0</v>
      </c>
      <c r="CN60" s="16">
        <f t="shared" si="74"/>
        <v>0</v>
      </c>
      <c r="CO60" s="16">
        <f t="shared" si="74"/>
        <v>0</v>
      </c>
      <c r="CP60" s="16">
        <f t="shared" si="74"/>
        <v>0</v>
      </c>
      <c r="CQ60" s="16">
        <f t="shared" si="74"/>
        <v>0</v>
      </c>
      <c r="CR60" s="16">
        <f t="shared" si="74"/>
        <v>0</v>
      </c>
      <c r="CS60" s="16">
        <f t="shared" si="74"/>
        <v>0</v>
      </c>
      <c r="CT60" s="16">
        <f t="shared" si="74"/>
        <v>0</v>
      </c>
      <c r="CU60" s="16">
        <f t="shared" si="74"/>
        <v>0</v>
      </c>
      <c r="CV60" s="16">
        <f t="shared" si="74"/>
        <v>0</v>
      </c>
      <c r="CW60" s="17">
        <f t="shared" si="74"/>
        <v>0</v>
      </c>
      <c r="CX60" s="40"/>
    </row>
    <row r="61" spans="1:102" ht="15.75" hidden="1" x14ac:dyDescent="0.25">
      <c r="A61" s="13" t="s">
        <v>1</v>
      </c>
      <c r="B61" s="14" t="s">
        <v>1</v>
      </c>
      <c r="C61" s="14" t="s">
        <v>17</v>
      </c>
      <c r="D61" s="30" t="s">
        <v>499</v>
      </c>
      <c r="E61" s="15">
        <f>SUM(F61+BY61+CT61)</f>
        <v>750000</v>
      </c>
      <c r="F61" s="16">
        <f>SUM(G61+BA61)</f>
        <v>750000</v>
      </c>
      <c r="G61" s="16">
        <f>SUM(H61+I61+J61+Q61+T61+U61+V61+AE61)</f>
        <v>750000</v>
      </c>
      <c r="H61" s="16">
        <v>0</v>
      </c>
      <c r="I61" s="16">
        <v>0</v>
      </c>
      <c r="J61" s="16">
        <f t="shared" si="7"/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f t="shared" si="8"/>
        <v>0</v>
      </c>
      <c r="R61" s="16">
        <v>0</v>
      </c>
      <c r="S61" s="16">
        <v>0</v>
      </c>
      <c r="T61" s="16">
        <v>0</v>
      </c>
      <c r="U61" s="16">
        <v>0</v>
      </c>
      <c r="V61" s="16">
        <f>SUM(W61:AD61)</f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f>SUM(AF61:AZ61)</f>
        <v>750000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f>1531800-781800</f>
        <v>750000</v>
      </c>
      <c r="BA61" s="16">
        <f>SUM(BB61+BF61+BI61+BJ61+BK61+BM61)</f>
        <v>0</v>
      </c>
      <c r="BB61" s="16">
        <f>SUM(BC61:BE61)</f>
        <v>0</v>
      </c>
      <c r="BC61" s="16">
        <v>0</v>
      </c>
      <c r="BD61" s="16">
        <v>0</v>
      </c>
      <c r="BE61" s="16">
        <v>0</v>
      </c>
      <c r="BF61" s="16">
        <f t="shared" si="9"/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f t="shared" si="10"/>
        <v>0</v>
      </c>
      <c r="BL61" s="16">
        <v>0</v>
      </c>
      <c r="BM61" s="16">
        <f t="shared" si="11"/>
        <v>0</v>
      </c>
      <c r="BN61" s="16">
        <v>0</v>
      </c>
      <c r="BO61" s="16">
        <v>0</v>
      </c>
      <c r="BP61" s="16">
        <v>0</v>
      </c>
      <c r="BQ61" s="16">
        <v>0</v>
      </c>
      <c r="BR61" s="16">
        <v>0</v>
      </c>
      <c r="BS61" s="16">
        <v>0</v>
      </c>
      <c r="BT61" s="16">
        <v>0</v>
      </c>
      <c r="BU61" s="16">
        <v>0</v>
      </c>
      <c r="BV61" s="16">
        <v>0</v>
      </c>
      <c r="BW61" s="16">
        <v>0</v>
      </c>
      <c r="BX61" s="16">
        <v>0</v>
      </c>
      <c r="BY61" s="16">
        <f>SUM(BZ61+CS61)</f>
        <v>0</v>
      </c>
      <c r="BZ61" s="16">
        <f>SUM(CA61+CD61+CK61)</f>
        <v>0</v>
      </c>
      <c r="CA61" s="16">
        <f t="shared" si="12"/>
        <v>0</v>
      </c>
      <c r="CB61" s="16">
        <v>0</v>
      </c>
      <c r="CC61" s="16">
        <v>0</v>
      </c>
      <c r="CD61" s="16">
        <f t="shared" si="13"/>
        <v>0</v>
      </c>
      <c r="CE61" s="16">
        <v>0</v>
      </c>
      <c r="CF61" s="16">
        <v>0</v>
      </c>
      <c r="CG61" s="16">
        <v>0</v>
      </c>
      <c r="CH61" s="16">
        <v>0</v>
      </c>
      <c r="CI61" s="16">
        <v>0</v>
      </c>
      <c r="CJ61" s="16">
        <v>0</v>
      </c>
      <c r="CK61" s="16">
        <f t="shared" si="14"/>
        <v>0</v>
      </c>
      <c r="CL61" s="16">
        <v>0</v>
      </c>
      <c r="CM61" s="16">
        <v>0</v>
      </c>
      <c r="CN61" s="16">
        <v>0</v>
      </c>
      <c r="CO61" s="16">
        <v>0</v>
      </c>
      <c r="CP61" s="16">
        <v>0</v>
      </c>
      <c r="CQ61" s="16">
        <v>0</v>
      </c>
      <c r="CR61" s="16">
        <v>0</v>
      </c>
      <c r="CS61" s="16">
        <v>0</v>
      </c>
      <c r="CT61" s="16">
        <f t="shared" si="15"/>
        <v>0</v>
      </c>
      <c r="CU61" s="16">
        <f t="shared" si="16"/>
        <v>0</v>
      </c>
      <c r="CV61" s="16">
        <v>0</v>
      </c>
      <c r="CW61" s="17">
        <v>0</v>
      </c>
      <c r="CX61" s="40"/>
    </row>
    <row r="62" spans="1:102" ht="15.75" hidden="1" x14ac:dyDescent="0.25">
      <c r="A62" s="18" t="s">
        <v>82</v>
      </c>
      <c r="B62" s="19" t="s">
        <v>1</v>
      </c>
      <c r="C62" s="19" t="s">
        <v>1</v>
      </c>
      <c r="D62" s="31" t="s">
        <v>83</v>
      </c>
      <c r="E62" s="20">
        <f t="shared" ref="E62:AJ62" si="75">SUM(E63+E65)</f>
        <v>224785359</v>
      </c>
      <c r="F62" s="21">
        <f t="shared" si="75"/>
        <v>216612850</v>
      </c>
      <c r="G62" s="21">
        <f t="shared" si="75"/>
        <v>215920372</v>
      </c>
      <c r="H62" s="21">
        <f t="shared" si="75"/>
        <v>119872027</v>
      </c>
      <c r="I62" s="21">
        <f t="shared" si="75"/>
        <v>4508636</v>
      </c>
      <c r="J62" s="21">
        <f t="shared" si="75"/>
        <v>72855883</v>
      </c>
      <c r="K62" s="21">
        <f t="shared" si="75"/>
        <v>100000</v>
      </c>
      <c r="L62" s="21">
        <f t="shared" si="75"/>
        <v>27228038</v>
      </c>
      <c r="M62" s="21">
        <f t="shared" si="75"/>
        <v>23107272</v>
      </c>
      <c r="N62" s="21">
        <f t="shared" si="75"/>
        <v>2966931</v>
      </c>
      <c r="O62" s="21">
        <f t="shared" si="75"/>
        <v>18000000</v>
      </c>
      <c r="P62" s="21">
        <f t="shared" si="75"/>
        <v>1453642</v>
      </c>
      <c r="Q62" s="21">
        <f t="shared" si="75"/>
        <v>134892</v>
      </c>
      <c r="R62" s="21">
        <f t="shared" si="75"/>
        <v>59181</v>
      </c>
      <c r="S62" s="21">
        <f t="shared" si="75"/>
        <v>75711</v>
      </c>
      <c r="T62" s="21">
        <f t="shared" si="75"/>
        <v>0</v>
      </c>
      <c r="U62" s="21">
        <f t="shared" si="75"/>
        <v>485731</v>
      </c>
      <c r="V62" s="21">
        <f t="shared" si="75"/>
        <v>3553477</v>
      </c>
      <c r="W62" s="21">
        <f t="shared" si="75"/>
        <v>918259</v>
      </c>
      <c r="X62" s="21">
        <f t="shared" si="75"/>
        <v>634628</v>
      </c>
      <c r="Y62" s="21">
        <f t="shared" si="75"/>
        <v>1324831</v>
      </c>
      <c r="Z62" s="21">
        <f t="shared" si="75"/>
        <v>394535</v>
      </c>
      <c r="AA62" s="21">
        <f t="shared" si="75"/>
        <v>92125</v>
      </c>
      <c r="AB62" s="21">
        <f t="shared" si="75"/>
        <v>0</v>
      </c>
      <c r="AC62" s="21">
        <f t="shared" si="75"/>
        <v>0</v>
      </c>
      <c r="AD62" s="21">
        <f t="shared" ref="AD62" si="76">SUM(AD63+AD65)</f>
        <v>189099</v>
      </c>
      <c r="AE62" s="21">
        <f t="shared" si="75"/>
        <v>14509726</v>
      </c>
      <c r="AF62" s="21">
        <f t="shared" si="75"/>
        <v>0</v>
      </c>
      <c r="AG62" s="21">
        <f t="shared" si="75"/>
        <v>87884</v>
      </c>
      <c r="AH62" s="21">
        <f t="shared" si="75"/>
        <v>525510</v>
      </c>
      <c r="AI62" s="21">
        <f t="shared" si="75"/>
        <v>19812</v>
      </c>
      <c r="AJ62" s="21">
        <f t="shared" si="75"/>
        <v>41956</v>
      </c>
      <c r="AK62" s="21">
        <f t="shared" ref="AK62:BR62" si="77">SUM(AK63+AK65)</f>
        <v>0</v>
      </c>
      <c r="AL62" s="21">
        <f t="shared" si="77"/>
        <v>27327</v>
      </c>
      <c r="AM62" s="21">
        <f t="shared" si="77"/>
        <v>29953</v>
      </c>
      <c r="AN62" s="21">
        <f t="shared" si="77"/>
        <v>61692</v>
      </c>
      <c r="AO62" s="21">
        <f t="shared" si="77"/>
        <v>96005</v>
      </c>
      <c r="AP62" s="21">
        <f>SUM(AP63+AP65)</f>
        <v>0</v>
      </c>
      <c r="AQ62" s="21">
        <f t="shared" si="77"/>
        <v>780000</v>
      </c>
      <c r="AR62" s="21">
        <f t="shared" si="77"/>
        <v>43464</v>
      </c>
      <c r="AS62" s="21">
        <f t="shared" si="77"/>
        <v>0</v>
      </c>
      <c r="AT62" s="21">
        <f t="shared" si="77"/>
        <v>0</v>
      </c>
      <c r="AU62" s="21">
        <f t="shared" si="77"/>
        <v>0</v>
      </c>
      <c r="AV62" s="21">
        <f t="shared" si="77"/>
        <v>0</v>
      </c>
      <c r="AW62" s="21">
        <f t="shared" si="77"/>
        <v>8500044</v>
      </c>
      <c r="AX62" s="21">
        <f t="shared" si="77"/>
        <v>0</v>
      </c>
      <c r="AY62" s="21">
        <f t="shared" si="77"/>
        <v>0</v>
      </c>
      <c r="AZ62" s="21">
        <f t="shared" si="77"/>
        <v>4296079</v>
      </c>
      <c r="BA62" s="21">
        <f t="shared" si="77"/>
        <v>692478</v>
      </c>
      <c r="BB62" s="21">
        <f t="shared" si="77"/>
        <v>0</v>
      </c>
      <c r="BC62" s="21">
        <f t="shared" si="77"/>
        <v>0</v>
      </c>
      <c r="BD62" s="21">
        <f t="shared" si="77"/>
        <v>0</v>
      </c>
      <c r="BE62" s="21">
        <f t="shared" si="77"/>
        <v>0</v>
      </c>
      <c r="BF62" s="21">
        <f t="shared" si="77"/>
        <v>0</v>
      </c>
      <c r="BG62" s="21">
        <f t="shared" si="77"/>
        <v>0</v>
      </c>
      <c r="BH62" s="21">
        <f t="shared" si="77"/>
        <v>0</v>
      </c>
      <c r="BI62" s="21">
        <f t="shared" si="77"/>
        <v>0</v>
      </c>
      <c r="BJ62" s="21">
        <f t="shared" si="77"/>
        <v>0</v>
      </c>
      <c r="BK62" s="21">
        <f t="shared" si="77"/>
        <v>285362</v>
      </c>
      <c r="BL62" s="21">
        <f t="shared" si="77"/>
        <v>285362</v>
      </c>
      <c r="BM62" s="21">
        <f t="shared" si="77"/>
        <v>407116</v>
      </c>
      <c r="BN62" s="21">
        <f t="shared" si="77"/>
        <v>0</v>
      </c>
      <c r="BO62" s="21">
        <f t="shared" si="77"/>
        <v>0</v>
      </c>
      <c r="BP62" s="21">
        <f t="shared" si="77"/>
        <v>0</v>
      </c>
      <c r="BQ62" s="21">
        <f t="shared" si="77"/>
        <v>0</v>
      </c>
      <c r="BR62" s="21">
        <f t="shared" si="77"/>
        <v>0</v>
      </c>
      <c r="BS62" s="21">
        <f t="shared" ref="BS62:CW62" si="78">SUM(BS63+BS65)</f>
        <v>0</v>
      </c>
      <c r="BT62" s="21">
        <f t="shared" si="78"/>
        <v>0</v>
      </c>
      <c r="BU62" s="21">
        <f t="shared" si="78"/>
        <v>0</v>
      </c>
      <c r="BV62" s="21">
        <f t="shared" si="78"/>
        <v>0</v>
      </c>
      <c r="BW62" s="21">
        <f t="shared" si="78"/>
        <v>39595</v>
      </c>
      <c r="BX62" s="21">
        <f t="shared" si="78"/>
        <v>367521</v>
      </c>
      <c r="BY62" s="21">
        <f t="shared" si="78"/>
        <v>8172509</v>
      </c>
      <c r="BZ62" s="21">
        <f t="shared" si="78"/>
        <v>8172509</v>
      </c>
      <c r="CA62" s="21">
        <f t="shared" si="78"/>
        <v>8172509</v>
      </c>
      <c r="CB62" s="21">
        <f t="shared" si="78"/>
        <v>0</v>
      </c>
      <c r="CC62" s="21">
        <f t="shared" si="78"/>
        <v>8172509</v>
      </c>
      <c r="CD62" s="21">
        <f t="shared" si="78"/>
        <v>0</v>
      </c>
      <c r="CE62" s="21">
        <f t="shared" si="78"/>
        <v>0</v>
      </c>
      <c r="CF62" s="21">
        <f t="shared" si="78"/>
        <v>0</v>
      </c>
      <c r="CG62" s="21">
        <f t="shared" si="78"/>
        <v>0</v>
      </c>
      <c r="CH62" s="21">
        <f t="shared" si="78"/>
        <v>0</v>
      </c>
      <c r="CI62" s="21">
        <f t="shared" si="78"/>
        <v>0</v>
      </c>
      <c r="CJ62" s="21">
        <f t="shared" ref="CJ62" si="79">SUM(CJ63+CJ65)</f>
        <v>0</v>
      </c>
      <c r="CK62" s="21">
        <f t="shared" si="78"/>
        <v>0</v>
      </c>
      <c r="CL62" s="21">
        <f t="shared" si="78"/>
        <v>0</v>
      </c>
      <c r="CM62" s="21">
        <f t="shared" si="78"/>
        <v>0</v>
      </c>
      <c r="CN62" s="21">
        <f t="shared" si="78"/>
        <v>0</v>
      </c>
      <c r="CO62" s="21">
        <f t="shared" si="78"/>
        <v>0</v>
      </c>
      <c r="CP62" s="21">
        <f t="shared" si="78"/>
        <v>0</v>
      </c>
      <c r="CQ62" s="21">
        <f t="shared" si="78"/>
        <v>0</v>
      </c>
      <c r="CR62" s="21">
        <f t="shared" si="78"/>
        <v>0</v>
      </c>
      <c r="CS62" s="21">
        <f t="shared" si="78"/>
        <v>0</v>
      </c>
      <c r="CT62" s="21">
        <f t="shared" si="78"/>
        <v>0</v>
      </c>
      <c r="CU62" s="21">
        <f t="shared" si="78"/>
        <v>0</v>
      </c>
      <c r="CV62" s="21">
        <f t="shared" si="78"/>
        <v>0</v>
      </c>
      <c r="CW62" s="22">
        <f t="shared" si="78"/>
        <v>0</v>
      </c>
      <c r="CX62" s="40"/>
    </row>
    <row r="63" spans="1:102" ht="15.75" hidden="1" x14ac:dyDescent="0.25">
      <c r="A63" s="13" t="s">
        <v>47</v>
      </c>
      <c r="B63" s="14" t="s">
        <v>3</v>
      </c>
      <c r="C63" s="14" t="s">
        <v>1</v>
      </c>
      <c r="D63" s="30" t="s">
        <v>84</v>
      </c>
      <c r="E63" s="15">
        <f t="shared" ref="E63:AJ63" si="80">SUM(E64)</f>
        <v>184959764</v>
      </c>
      <c r="F63" s="16">
        <f t="shared" si="80"/>
        <v>177687255</v>
      </c>
      <c r="G63" s="16">
        <f t="shared" si="80"/>
        <v>177057276</v>
      </c>
      <c r="H63" s="16">
        <f t="shared" si="80"/>
        <v>88202757</v>
      </c>
      <c r="I63" s="16">
        <f t="shared" si="80"/>
        <v>4287390</v>
      </c>
      <c r="J63" s="16">
        <f t="shared" si="80"/>
        <v>68437901</v>
      </c>
      <c r="K63" s="16">
        <f t="shared" si="80"/>
        <v>75000</v>
      </c>
      <c r="L63" s="16">
        <f t="shared" si="80"/>
        <v>24624858</v>
      </c>
      <c r="M63" s="16">
        <f t="shared" si="80"/>
        <v>22907272</v>
      </c>
      <c r="N63" s="16">
        <f t="shared" si="80"/>
        <v>2966931</v>
      </c>
      <c r="O63" s="16">
        <f t="shared" si="80"/>
        <v>16500000</v>
      </c>
      <c r="P63" s="16">
        <f t="shared" si="80"/>
        <v>1363840</v>
      </c>
      <c r="Q63" s="16">
        <f t="shared" si="80"/>
        <v>8058</v>
      </c>
      <c r="R63" s="16">
        <f t="shared" si="80"/>
        <v>8058</v>
      </c>
      <c r="S63" s="16">
        <f t="shared" si="80"/>
        <v>0</v>
      </c>
      <c r="T63" s="16">
        <f t="shared" si="80"/>
        <v>0</v>
      </c>
      <c r="U63" s="16">
        <f t="shared" si="80"/>
        <v>442113</v>
      </c>
      <c r="V63" s="16">
        <f t="shared" si="80"/>
        <v>3548161</v>
      </c>
      <c r="W63" s="16">
        <f t="shared" si="80"/>
        <v>912943</v>
      </c>
      <c r="X63" s="16">
        <f t="shared" si="80"/>
        <v>634628</v>
      </c>
      <c r="Y63" s="16">
        <f t="shared" si="80"/>
        <v>1324831</v>
      </c>
      <c r="Z63" s="16">
        <f t="shared" si="80"/>
        <v>394535</v>
      </c>
      <c r="AA63" s="16">
        <f t="shared" si="80"/>
        <v>92125</v>
      </c>
      <c r="AB63" s="16">
        <f t="shared" si="80"/>
        <v>0</v>
      </c>
      <c r="AC63" s="16">
        <f t="shared" si="80"/>
        <v>0</v>
      </c>
      <c r="AD63" s="16">
        <f t="shared" si="80"/>
        <v>189099</v>
      </c>
      <c r="AE63" s="16">
        <f t="shared" si="80"/>
        <v>12130896</v>
      </c>
      <c r="AF63" s="16">
        <f t="shared" si="80"/>
        <v>0</v>
      </c>
      <c r="AG63" s="16">
        <f t="shared" si="80"/>
        <v>87735</v>
      </c>
      <c r="AH63" s="16">
        <f t="shared" si="80"/>
        <v>520611</v>
      </c>
      <c r="AI63" s="16">
        <f t="shared" si="80"/>
        <v>19812</v>
      </c>
      <c r="AJ63" s="16">
        <f t="shared" si="80"/>
        <v>41956</v>
      </c>
      <c r="AK63" s="16">
        <f t="shared" ref="AK63:BR63" si="81">SUM(AK64)</f>
        <v>0</v>
      </c>
      <c r="AL63" s="16">
        <f t="shared" si="81"/>
        <v>27327</v>
      </c>
      <c r="AM63" s="16">
        <f t="shared" si="81"/>
        <v>29953</v>
      </c>
      <c r="AN63" s="16">
        <f t="shared" si="81"/>
        <v>32010</v>
      </c>
      <c r="AO63" s="16">
        <f t="shared" si="81"/>
        <v>96005</v>
      </c>
      <c r="AP63" s="16">
        <f t="shared" si="81"/>
        <v>0</v>
      </c>
      <c r="AQ63" s="16">
        <f t="shared" si="81"/>
        <v>780000</v>
      </c>
      <c r="AR63" s="16">
        <f t="shared" si="81"/>
        <v>43464</v>
      </c>
      <c r="AS63" s="16">
        <f t="shared" si="81"/>
        <v>0</v>
      </c>
      <c r="AT63" s="16">
        <f t="shared" si="81"/>
        <v>0</v>
      </c>
      <c r="AU63" s="16">
        <f t="shared" si="81"/>
        <v>0</v>
      </c>
      <c r="AV63" s="16">
        <f t="shared" si="81"/>
        <v>0</v>
      </c>
      <c r="AW63" s="16">
        <f t="shared" si="81"/>
        <v>6160044</v>
      </c>
      <c r="AX63" s="16">
        <f t="shared" si="81"/>
        <v>0</v>
      </c>
      <c r="AY63" s="16">
        <f t="shared" si="81"/>
        <v>0</v>
      </c>
      <c r="AZ63" s="16">
        <f t="shared" si="81"/>
        <v>4291979</v>
      </c>
      <c r="BA63" s="16">
        <f t="shared" si="81"/>
        <v>629979</v>
      </c>
      <c r="BB63" s="16">
        <f t="shared" si="81"/>
        <v>0</v>
      </c>
      <c r="BC63" s="16">
        <f t="shared" si="81"/>
        <v>0</v>
      </c>
      <c r="BD63" s="16">
        <f t="shared" si="81"/>
        <v>0</v>
      </c>
      <c r="BE63" s="16">
        <f t="shared" si="81"/>
        <v>0</v>
      </c>
      <c r="BF63" s="16">
        <f t="shared" si="81"/>
        <v>0</v>
      </c>
      <c r="BG63" s="16">
        <f t="shared" si="81"/>
        <v>0</v>
      </c>
      <c r="BH63" s="16">
        <f t="shared" si="81"/>
        <v>0</v>
      </c>
      <c r="BI63" s="16">
        <f t="shared" si="81"/>
        <v>0</v>
      </c>
      <c r="BJ63" s="16">
        <f t="shared" si="81"/>
        <v>0</v>
      </c>
      <c r="BK63" s="16">
        <f t="shared" si="81"/>
        <v>285362</v>
      </c>
      <c r="BL63" s="16">
        <f t="shared" si="81"/>
        <v>285362</v>
      </c>
      <c r="BM63" s="16">
        <f t="shared" si="81"/>
        <v>344617</v>
      </c>
      <c r="BN63" s="16">
        <f t="shared" si="81"/>
        <v>0</v>
      </c>
      <c r="BO63" s="16">
        <f t="shared" si="81"/>
        <v>0</v>
      </c>
      <c r="BP63" s="16">
        <f t="shared" si="81"/>
        <v>0</v>
      </c>
      <c r="BQ63" s="16">
        <f t="shared" si="81"/>
        <v>0</v>
      </c>
      <c r="BR63" s="16">
        <f t="shared" si="81"/>
        <v>0</v>
      </c>
      <c r="BS63" s="16">
        <f t="shared" ref="BS63:CW63" si="82">SUM(BS64)</f>
        <v>0</v>
      </c>
      <c r="BT63" s="16">
        <f t="shared" si="82"/>
        <v>0</v>
      </c>
      <c r="BU63" s="16">
        <f t="shared" si="82"/>
        <v>0</v>
      </c>
      <c r="BV63" s="16">
        <f t="shared" si="82"/>
        <v>0</v>
      </c>
      <c r="BW63" s="16">
        <f t="shared" si="82"/>
        <v>39595</v>
      </c>
      <c r="BX63" s="16">
        <f t="shared" si="82"/>
        <v>305022</v>
      </c>
      <c r="BY63" s="16">
        <f t="shared" si="82"/>
        <v>7272509</v>
      </c>
      <c r="BZ63" s="16">
        <f t="shared" si="82"/>
        <v>7272509</v>
      </c>
      <c r="CA63" s="16">
        <f t="shared" si="82"/>
        <v>7272509</v>
      </c>
      <c r="CB63" s="16">
        <f t="shared" si="82"/>
        <v>0</v>
      </c>
      <c r="CC63" s="16">
        <f t="shared" si="82"/>
        <v>7272509</v>
      </c>
      <c r="CD63" s="16">
        <f t="shared" si="82"/>
        <v>0</v>
      </c>
      <c r="CE63" s="16">
        <f t="shared" si="82"/>
        <v>0</v>
      </c>
      <c r="CF63" s="16">
        <f t="shared" si="82"/>
        <v>0</v>
      </c>
      <c r="CG63" s="16">
        <f t="shared" si="82"/>
        <v>0</v>
      </c>
      <c r="CH63" s="16">
        <f t="shared" si="82"/>
        <v>0</v>
      </c>
      <c r="CI63" s="16">
        <f t="shared" si="82"/>
        <v>0</v>
      </c>
      <c r="CJ63" s="16">
        <f t="shared" si="82"/>
        <v>0</v>
      </c>
      <c r="CK63" s="16">
        <f t="shared" si="82"/>
        <v>0</v>
      </c>
      <c r="CL63" s="16">
        <f t="shared" si="82"/>
        <v>0</v>
      </c>
      <c r="CM63" s="16">
        <f t="shared" si="82"/>
        <v>0</v>
      </c>
      <c r="CN63" s="16">
        <f t="shared" si="82"/>
        <v>0</v>
      </c>
      <c r="CO63" s="16">
        <f t="shared" si="82"/>
        <v>0</v>
      </c>
      <c r="CP63" s="16">
        <f t="shared" si="82"/>
        <v>0</v>
      </c>
      <c r="CQ63" s="16">
        <f t="shared" si="82"/>
        <v>0</v>
      </c>
      <c r="CR63" s="16">
        <f t="shared" si="82"/>
        <v>0</v>
      </c>
      <c r="CS63" s="16">
        <f t="shared" si="82"/>
        <v>0</v>
      </c>
      <c r="CT63" s="16">
        <f t="shared" si="82"/>
        <v>0</v>
      </c>
      <c r="CU63" s="16">
        <f t="shared" si="82"/>
        <v>0</v>
      </c>
      <c r="CV63" s="16">
        <f t="shared" si="82"/>
        <v>0</v>
      </c>
      <c r="CW63" s="17">
        <f t="shared" si="82"/>
        <v>0</v>
      </c>
      <c r="CX63" s="40"/>
    </row>
    <row r="64" spans="1:102" ht="15.75" hidden="1" x14ac:dyDescent="0.25">
      <c r="A64" s="13" t="s">
        <v>1</v>
      </c>
      <c r="B64" s="14" t="s">
        <v>1</v>
      </c>
      <c r="C64" s="14" t="s">
        <v>85</v>
      </c>
      <c r="D64" s="30" t="s">
        <v>86</v>
      </c>
      <c r="E64" s="15">
        <f>SUM(F64+BY64+CT64)</f>
        <v>184959764</v>
      </c>
      <c r="F64" s="16">
        <f>SUM(G64+BA64)</f>
        <v>177687255</v>
      </c>
      <c r="G64" s="16">
        <f>SUM(H64+I64+J64+Q64+T64+U64+V64+AE64)</f>
        <v>177057276</v>
      </c>
      <c r="H64" s="16">
        <f>88127257+75500</f>
        <v>88202757</v>
      </c>
      <c r="I64" s="16">
        <v>4287390</v>
      </c>
      <c r="J64" s="16">
        <f t="shared" si="7"/>
        <v>68437901</v>
      </c>
      <c r="K64" s="16">
        <v>75000</v>
      </c>
      <c r="L64" s="16">
        <f>20597398+4027460</f>
        <v>24624858</v>
      </c>
      <c r="M64" s="16">
        <v>22907272</v>
      </c>
      <c r="N64" s="16">
        <v>2966931</v>
      </c>
      <c r="O64" s="16">
        <v>16500000</v>
      </c>
      <c r="P64" s="16">
        <v>1363840</v>
      </c>
      <c r="Q64" s="16">
        <f t="shared" si="8"/>
        <v>8058</v>
      </c>
      <c r="R64" s="16">
        <v>8058</v>
      </c>
      <c r="S64" s="16">
        <v>0</v>
      </c>
      <c r="T64" s="16">
        <v>0</v>
      </c>
      <c r="U64" s="16">
        <v>442113</v>
      </c>
      <c r="V64" s="16">
        <f>SUM(W64:AD64)</f>
        <v>3548161</v>
      </c>
      <c r="W64" s="16">
        <v>912943</v>
      </c>
      <c r="X64" s="16">
        <v>634628</v>
      </c>
      <c r="Y64" s="16">
        <v>1324831</v>
      </c>
      <c r="Z64" s="16">
        <v>394535</v>
      </c>
      <c r="AA64" s="16">
        <v>92125</v>
      </c>
      <c r="AB64" s="16">
        <v>0</v>
      </c>
      <c r="AC64" s="16">
        <v>0</v>
      </c>
      <c r="AD64" s="16">
        <f>124241+64858</f>
        <v>189099</v>
      </c>
      <c r="AE64" s="16">
        <f>SUM(AF64:AZ64)</f>
        <v>12130896</v>
      </c>
      <c r="AF64" s="16">
        <v>0</v>
      </c>
      <c r="AG64" s="16">
        <v>87735</v>
      </c>
      <c r="AH64" s="16">
        <f>585469-64858</f>
        <v>520611</v>
      </c>
      <c r="AI64" s="16">
        <v>19812</v>
      </c>
      <c r="AJ64" s="16">
        <v>41956</v>
      </c>
      <c r="AK64" s="16">
        <v>0</v>
      </c>
      <c r="AL64" s="16">
        <v>27327</v>
      </c>
      <c r="AM64" s="16">
        <v>29953</v>
      </c>
      <c r="AN64" s="16">
        <v>32010</v>
      </c>
      <c r="AO64" s="16">
        <v>96005</v>
      </c>
      <c r="AP64" s="16"/>
      <c r="AQ64" s="16">
        <v>780000</v>
      </c>
      <c r="AR64" s="16">
        <v>43464</v>
      </c>
      <c r="AS64" s="16">
        <v>0</v>
      </c>
      <c r="AT64" s="16">
        <v>0</v>
      </c>
      <c r="AU64" s="16">
        <v>0</v>
      </c>
      <c r="AV64" s="16">
        <v>0</v>
      </c>
      <c r="AW64" s="16">
        <v>6160044</v>
      </c>
      <c r="AX64" s="16">
        <v>0</v>
      </c>
      <c r="AY64" s="16"/>
      <c r="AZ64" s="16">
        <v>4291979</v>
      </c>
      <c r="BA64" s="16">
        <f>SUM(BB64+BF64+BI64+BK64+BM64)</f>
        <v>629979</v>
      </c>
      <c r="BB64" s="16">
        <f>SUM(BC64:BE64)</f>
        <v>0</v>
      </c>
      <c r="BC64" s="16">
        <v>0</v>
      </c>
      <c r="BD64" s="16">
        <v>0</v>
      </c>
      <c r="BE64" s="16">
        <v>0</v>
      </c>
      <c r="BF64" s="16">
        <f t="shared" si="9"/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f t="shared" si="10"/>
        <v>285362</v>
      </c>
      <c r="BL64" s="16">
        <v>285362</v>
      </c>
      <c r="BM64" s="16">
        <f t="shared" si="11"/>
        <v>344617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39595</v>
      </c>
      <c r="BX64" s="16">
        <v>305022</v>
      </c>
      <c r="BY64" s="16">
        <f>SUM(BZ64+CS64)</f>
        <v>7272509</v>
      </c>
      <c r="BZ64" s="16">
        <f>SUM(CA64+CD64+CK64)</f>
        <v>7272509</v>
      </c>
      <c r="CA64" s="16">
        <f t="shared" si="12"/>
        <v>7272509</v>
      </c>
      <c r="CB64" s="16">
        <v>0</v>
      </c>
      <c r="CC64" s="16">
        <v>7272509</v>
      </c>
      <c r="CD64" s="16">
        <f t="shared" si="13"/>
        <v>0</v>
      </c>
      <c r="CE64" s="16">
        <v>0</v>
      </c>
      <c r="CF64" s="16">
        <v>0</v>
      </c>
      <c r="CG64" s="16">
        <v>0</v>
      </c>
      <c r="CH64" s="16">
        <v>0</v>
      </c>
      <c r="CI64" s="16">
        <v>0</v>
      </c>
      <c r="CJ64" s="16">
        <v>0</v>
      </c>
      <c r="CK64" s="16">
        <f t="shared" si="14"/>
        <v>0</v>
      </c>
      <c r="CL64" s="16">
        <v>0</v>
      </c>
      <c r="CM64" s="16">
        <v>0</v>
      </c>
      <c r="CN64" s="16">
        <v>0</v>
      </c>
      <c r="CO64" s="16">
        <v>0</v>
      </c>
      <c r="CP64" s="16">
        <v>0</v>
      </c>
      <c r="CQ64" s="16"/>
      <c r="CR64" s="16"/>
      <c r="CS64" s="16">
        <v>0</v>
      </c>
      <c r="CT64" s="16">
        <f t="shared" si="15"/>
        <v>0</v>
      </c>
      <c r="CU64" s="16">
        <f t="shared" si="16"/>
        <v>0</v>
      </c>
      <c r="CV64" s="16">
        <v>0</v>
      </c>
      <c r="CW64" s="17">
        <v>0</v>
      </c>
      <c r="CX64" s="40"/>
    </row>
    <row r="65" spans="1:102" ht="15.75" hidden="1" x14ac:dyDescent="0.25">
      <c r="A65" s="13" t="s">
        <v>47</v>
      </c>
      <c r="B65" s="14" t="s">
        <v>7</v>
      </c>
      <c r="C65" s="14" t="s">
        <v>1</v>
      </c>
      <c r="D65" s="30" t="s">
        <v>87</v>
      </c>
      <c r="E65" s="15">
        <f t="shared" ref="E65:AJ65" si="83">SUM(E66)</f>
        <v>39825595</v>
      </c>
      <c r="F65" s="16">
        <f t="shared" si="83"/>
        <v>38925595</v>
      </c>
      <c r="G65" s="16">
        <f t="shared" si="83"/>
        <v>38863096</v>
      </c>
      <c r="H65" s="16">
        <f t="shared" si="83"/>
        <v>31669270</v>
      </c>
      <c r="I65" s="16">
        <f t="shared" si="83"/>
        <v>221246</v>
      </c>
      <c r="J65" s="16">
        <f t="shared" si="83"/>
        <v>4417982</v>
      </c>
      <c r="K65" s="16">
        <f t="shared" si="83"/>
        <v>25000</v>
      </c>
      <c r="L65" s="16">
        <f t="shared" si="83"/>
        <v>2603180</v>
      </c>
      <c r="M65" s="16">
        <f t="shared" si="83"/>
        <v>200000</v>
      </c>
      <c r="N65" s="16">
        <f t="shared" si="83"/>
        <v>0</v>
      </c>
      <c r="O65" s="16">
        <f t="shared" si="83"/>
        <v>1500000</v>
      </c>
      <c r="P65" s="16">
        <f t="shared" si="83"/>
        <v>89802</v>
      </c>
      <c r="Q65" s="16">
        <f t="shared" si="83"/>
        <v>126834</v>
      </c>
      <c r="R65" s="16">
        <f t="shared" si="83"/>
        <v>51123</v>
      </c>
      <c r="S65" s="16">
        <f t="shared" si="83"/>
        <v>75711</v>
      </c>
      <c r="T65" s="16">
        <f t="shared" si="83"/>
        <v>0</v>
      </c>
      <c r="U65" s="16">
        <f t="shared" si="83"/>
        <v>43618</v>
      </c>
      <c r="V65" s="16">
        <f t="shared" si="83"/>
        <v>5316</v>
      </c>
      <c r="W65" s="16">
        <f t="shared" si="83"/>
        <v>5316</v>
      </c>
      <c r="X65" s="16">
        <f t="shared" si="83"/>
        <v>0</v>
      </c>
      <c r="Y65" s="16">
        <f t="shared" si="83"/>
        <v>0</v>
      </c>
      <c r="Z65" s="16">
        <f t="shared" si="83"/>
        <v>0</v>
      </c>
      <c r="AA65" s="16">
        <f t="shared" si="83"/>
        <v>0</v>
      </c>
      <c r="AB65" s="16">
        <f t="shared" si="83"/>
        <v>0</v>
      </c>
      <c r="AC65" s="16">
        <f t="shared" si="83"/>
        <v>0</v>
      </c>
      <c r="AD65" s="16">
        <f t="shared" si="83"/>
        <v>0</v>
      </c>
      <c r="AE65" s="16">
        <f t="shared" si="83"/>
        <v>2378830</v>
      </c>
      <c r="AF65" s="16">
        <f t="shared" si="83"/>
        <v>0</v>
      </c>
      <c r="AG65" s="16">
        <f t="shared" si="83"/>
        <v>149</v>
      </c>
      <c r="AH65" s="16">
        <f t="shared" si="83"/>
        <v>4899</v>
      </c>
      <c r="AI65" s="16">
        <f t="shared" si="83"/>
        <v>0</v>
      </c>
      <c r="AJ65" s="16">
        <f t="shared" si="83"/>
        <v>0</v>
      </c>
      <c r="AK65" s="16">
        <f t="shared" ref="AK65:BR65" si="84">SUM(AK66)</f>
        <v>0</v>
      </c>
      <c r="AL65" s="16">
        <f t="shared" si="84"/>
        <v>0</v>
      </c>
      <c r="AM65" s="16">
        <f t="shared" si="84"/>
        <v>0</v>
      </c>
      <c r="AN65" s="16">
        <f t="shared" si="84"/>
        <v>29682</v>
      </c>
      <c r="AO65" s="16">
        <f t="shared" si="84"/>
        <v>0</v>
      </c>
      <c r="AP65" s="16">
        <f t="shared" si="84"/>
        <v>0</v>
      </c>
      <c r="AQ65" s="16">
        <f t="shared" si="84"/>
        <v>0</v>
      </c>
      <c r="AR65" s="16">
        <f t="shared" si="84"/>
        <v>0</v>
      </c>
      <c r="AS65" s="16">
        <f t="shared" si="84"/>
        <v>0</v>
      </c>
      <c r="AT65" s="16">
        <f t="shared" si="84"/>
        <v>0</v>
      </c>
      <c r="AU65" s="16">
        <f t="shared" si="84"/>
        <v>0</v>
      </c>
      <c r="AV65" s="16">
        <f t="shared" si="84"/>
        <v>0</v>
      </c>
      <c r="AW65" s="16">
        <f t="shared" si="84"/>
        <v>2340000</v>
      </c>
      <c r="AX65" s="16">
        <f t="shared" si="84"/>
        <v>0</v>
      </c>
      <c r="AY65" s="16">
        <f t="shared" si="84"/>
        <v>0</v>
      </c>
      <c r="AZ65" s="16">
        <f t="shared" si="84"/>
        <v>4100</v>
      </c>
      <c r="BA65" s="16">
        <f t="shared" si="84"/>
        <v>62499</v>
      </c>
      <c r="BB65" s="16">
        <f t="shared" si="84"/>
        <v>0</v>
      </c>
      <c r="BC65" s="16">
        <f t="shared" si="84"/>
        <v>0</v>
      </c>
      <c r="BD65" s="16">
        <f t="shared" si="84"/>
        <v>0</v>
      </c>
      <c r="BE65" s="16">
        <f t="shared" si="84"/>
        <v>0</v>
      </c>
      <c r="BF65" s="16">
        <f t="shared" si="84"/>
        <v>0</v>
      </c>
      <c r="BG65" s="16">
        <f t="shared" si="84"/>
        <v>0</v>
      </c>
      <c r="BH65" s="16">
        <f t="shared" si="84"/>
        <v>0</v>
      </c>
      <c r="BI65" s="16">
        <f t="shared" si="84"/>
        <v>0</v>
      </c>
      <c r="BJ65" s="16">
        <f t="shared" si="84"/>
        <v>0</v>
      </c>
      <c r="BK65" s="16">
        <f t="shared" si="84"/>
        <v>0</v>
      </c>
      <c r="BL65" s="16">
        <f t="shared" si="84"/>
        <v>0</v>
      </c>
      <c r="BM65" s="16">
        <f t="shared" si="84"/>
        <v>62499</v>
      </c>
      <c r="BN65" s="16">
        <f t="shared" si="84"/>
        <v>0</v>
      </c>
      <c r="BO65" s="16">
        <f t="shared" si="84"/>
        <v>0</v>
      </c>
      <c r="BP65" s="16">
        <f t="shared" si="84"/>
        <v>0</v>
      </c>
      <c r="BQ65" s="16">
        <f t="shared" si="84"/>
        <v>0</v>
      </c>
      <c r="BR65" s="16">
        <f t="shared" si="84"/>
        <v>0</v>
      </c>
      <c r="BS65" s="16">
        <f t="shared" ref="BS65:CW65" si="85">SUM(BS66)</f>
        <v>0</v>
      </c>
      <c r="BT65" s="16">
        <f t="shared" si="85"/>
        <v>0</v>
      </c>
      <c r="BU65" s="16">
        <f t="shared" si="85"/>
        <v>0</v>
      </c>
      <c r="BV65" s="16">
        <f t="shared" si="85"/>
        <v>0</v>
      </c>
      <c r="BW65" s="16">
        <f t="shared" si="85"/>
        <v>0</v>
      </c>
      <c r="BX65" s="16">
        <f t="shared" si="85"/>
        <v>62499</v>
      </c>
      <c r="BY65" s="16">
        <f t="shared" si="85"/>
        <v>900000</v>
      </c>
      <c r="BZ65" s="16">
        <f t="shared" si="85"/>
        <v>900000</v>
      </c>
      <c r="CA65" s="16">
        <f t="shared" si="85"/>
        <v>900000</v>
      </c>
      <c r="CB65" s="16">
        <f t="shared" si="85"/>
        <v>0</v>
      </c>
      <c r="CC65" s="16">
        <f t="shared" si="85"/>
        <v>900000</v>
      </c>
      <c r="CD65" s="16">
        <f t="shared" si="85"/>
        <v>0</v>
      </c>
      <c r="CE65" s="16">
        <f t="shared" si="85"/>
        <v>0</v>
      </c>
      <c r="CF65" s="16">
        <f t="shared" si="85"/>
        <v>0</v>
      </c>
      <c r="CG65" s="16">
        <f t="shared" si="85"/>
        <v>0</v>
      </c>
      <c r="CH65" s="16">
        <f t="shared" si="85"/>
        <v>0</v>
      </c>
      <c r="CI65" s="16">
        <f t="shared" si="85"/>
        <v>0</v>
      </c>
      <c r="CJ65" s="16">
        <f t="shared" si="85"/>
        <v>0</v>
      </c>
      <c r="CK65" s="16">
        <f t="shared" si="85"/>
        <v>0</v>
      </c>
      <c r="CL65" s="16">
        <f t="shared" si="85"/>
        <v>0</v>
      </c>
      <c r="CM65" s="16">
        <f t="shared" si="85"/>
        <v>0</v>
      </c>
      <c r="CN65" s="16">
        <f t="shared" si="85"/>
        <v>0</v>
      </c>
      <c r="CO65" s="16">
        <f t="shared" si="85"/>
        <v>0</v>
      </c>
      <c r="CP65" s="16">
        <f t="shared" si="85"/>
        <v>0</v>
      </c>
      <c r="CQ65" s="16">
        <f t="shared" si="85"/>
        <v>0</v>
      </c>
      <c r="CR65" s="16">
        <f t="shared" si="85"/>
        <v>0</v>
      </c>
      <c r="CS65" s="16">
        <f t="shared" si="85"/>
        <v>0</v>
      </c>
      <c r="CT65" s="16">
        <f t="shared" si="85"/>
        <v>0</v>
      </c>
      <c r="CU65" s="16">
        <f t="shared" si="85"/>
        <v>0</v>
      </c>
      <c r="CV65" s="16">
        <f t="shared" si="85"/>
        <v>0</v>
      </c>
      <c r="CW65" s="17">
        <f t="shared" si="85"/>
        <v>0</v>
      </c>
      <c r="CX65" s="40"/>
    </row>
    <row r="66" spans="1:102" ht="15.75" hidden="1" x14ac:dyDescent="0.25">
      <c r="A66" s="13" t="s">
        <v>1</v>
      </c>
      <c r="B66" s="14" t="s">
        <v>1</v>
      </c>
      <c r="C66" s="14" t="s">
        <v>85</v>
      </c>
      <c r="D66" s="30" t="s">
        <v>87</v>
      </c>
      <c r="E66" s="15">
        <f>SUM(F66+BY66+CT66)</f>
        <v>39825595</v>
      </c>
      <c r="F66" s="16">
        <f>SUM(G66+BA66)</f>
        <v>38925595</v>
      </c>
      <c r="G66" s="16">
        <f>SUM(H66+I66+J66+Q66+T66+U66+V66+AE66)</f>
        <v>38863096</v>
      </c>
      <c r="H66" s="16">
        <v>31669270</v>
      </c>
      <c r="I66" s="16">
        <v>221246</v>
      </c>
      <c r="J66" s="16">
        <f t="shared" si="7"/>
        <v>4417982</v>
      </c>
      <c r="K66" s="16">
        <v>25000</v>
      </c>
      <c r="L66" s="16">
        <v>2603180</v>
      </c>
      <c r="M66" s="16">
        <v>200000</v>
      </c>
      <c r="N66" s="16">
        <v>0</v>
      </c>
      <c r="O66" s="16">
        <v>1500000</v>
      </c>
      <c r="P66" s="16">
        <v>89802</v>
      </c>
      <c r="Q66" s="16">
        <f t="shared" si="8"/>
        <v>126834</v>
      </c>
      <c r="R66" s="16">
        <v>51123</v>
      </c>
      <c r="S66" s="16">
        <v>75711</v>
      </c>
      <c r="T66" s="16">
        <v>0</v>
      </c>
      <c r="U66" s="16">
        <v>43618</v>
      </c>
      <c r="V66" s="16">
        <f>SUM(W66:AD66)</f>
        <v>5316</v>
      </c>
      <c r="W66" s="16">
        <v>5316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f>SUM(AF66:AZ66)</f>
        <v>2378830</v>
      </c>
      <c r="AF66" s="16">
        <v>0</v>
      </c>
      <c r="AG66" s="16">
        <v>149</v>
      </c>
      <c r="AH66" s="16">
        <v>4899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29682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2340000</v>
      </c>
      <c r="AX66" s="16">
        <v>0</v>
      </c>
      <c r="AY66" s="16">
        <v>0</v>
      </c>
      <c r="AZ66" s="16">
        <v>4100</v>
      </c>
      <c r="BA66" s="16">
        <f>SUM(BB66+BF66+BI66+BK66+BM66)</f>
        <v>62499</v>
      </c>
      <c r="BB66" s="16">
        <f>SUM(BC66:BE66)</f>
        <v>0</v>
      </c>
      <c r="BC66" s="16">
        <v>0</v>
      </c>
      <c r="BD66" s="16">
        <v>0</v>
      </c>
      <c r="BE66" s="16">
        <v>0</v>
      </c>
      <c r="BF66" s="16">
        <f t="shared" si="9"/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f t="shared" si="10"/>
        <v>0</v>
      </c>
      <c r="BL66" s="16">
        <v>0</v>
      </c>
      <c r="BM66" s="16">
        <f t="shared" si="11"/>
        <v>62499</v>
      </c>
      <c r="BN66" s="16">
        <v>0</v>
      </c>
      <c r="BO66" s="16">
        <v>0</v>
      </c>
      <c r="BP66" s="16">
        <v>0</v>
      </c>
      <c r="BQ66" s="16">
        <v>0</v>
      </c>
      <c r="BR66" s="16">
        <v>0</v>
      </c>
      <c r="BS66" s="16">
        <v>0</v>
      </c>
      <c r="BT66" s="16">
        <v>0</v>
      </c>
      <c r="BU66" s="16">
        <v>0</v>
      </c>
      <c r="BV66" s="16">
        <v>0</v>
      </c>
      <c r="BW66" s="16">
        <v>0</v>
      </c>
      <c r="BX66" s="16">
        <v>62499</v>
      </c>
      <c r="BY66" s="16">
        <f>SUM(BZ66+CS66)</f>
        <v>900000</v>
      </c>
      <c r="BZ66" s="16">
        <f>SUM(CA66+CD66+CK66)</f>
        <v>900000</v>
      </c>
      <c r="CA66" s="16">
        <f t="shared" si="12"/>
        <v>900000</v>
      </c>
      <c r="CB66" s="16">
        <v>0</v>
      </c>
      <c r="CC66" s="16">
        <v>900000</v>
      </c>
      <c r="CD66" s="16">
        <f t="shared" si="13"/>
        <v>0</v>
      </c>
      <c r="CE66" s="16">
        <v>0</v>
      </c>
      <c r="CF66" s="16">
        <v>0</v>
      </c>
      <c r="CG66" s="16">
        <v>0</v>
      </c>
      <c r="CH66" s="16">
        <v>0</v>
      </c>
      <c r="CI66" s="16">
        <v>0</v>
      </c>
      <c r="CJ66" s="16">
        <v>0</v>
      </c>
      <c r="CK66" s="16">
        <f t="shared" si="14"/>
        <v>0</v>
      </c>
      <c r="CL66" s="16">
        <v>0</v>
      </c>
      <c r="CM66" s="16">
        <v>0</v>
      </c>
      <c r="CN66" s="16">
        <v>0</v>
      </c>
      <c r="CO66" s="16">
        <v>0</v>
      </c>
      <c r="CP66" s="16">
        <v>0</v>
      </c>
      <c r="CQ66" s="16">
        <v>0</v>
      </c>
      <c r="CR66" s="16">
        <v>0</v>
      </c>
      <c r="CS66" s="16">
        <v>0</v>
      </c>
      <c r="CT66" s="16">
        <f t="shared" si="15"/>
        <v>0</v>
      </c>
      <c r="CU66" s="16">
        <f t="shared" si="16"/>
        <v>0</v>
      </c>
      <c r="CV66" s="16">
        <v>0</v>
      </c>
      <c r="CW66" s="17">
        <v>0</v>
      </c>
      <c r="CX66" s="40"/>
    </row>
    <row r="67" spans="1:102" ht="31.5" hidden="1" x14ac:dyDescent="0.25">
      <c r="A67" s="18" t="s">
        <v>88</v>
      </c>
      <c r="B67" s="19" t="s">
        <v>1</v>
      </c>
      <c r="C67" s="19" t="s">
        <v>1</v>
      </c>
      <c r="D67" s="31" t="s">
        <v>89</v>
      </c>
      <c r="E67" s="20">
        <f>SUM(E68+E70+E73+E75+E77+E79+E81)</f>
        <v>561154220</v>
      </c>
      <c r="F67" s="21">
        <f t="shared" ref="F67:BS67" si="86">SUM(F68+F70+F73+F75+F77+F79+F81)</f>
        <v>546327864</v>
      </c>
      <c r="G67" s="21">
        <f t="shared" si="86"/>
        <v>544703996</v>
      </c>
      <c r="H67" s="21">
        <f t="shared" si="86"/>
        <v>386963012</v>
      </c>
      <c r="I67" s="21">
        <f t="shared" si="86"/>
        <v>13843616</v>
      </c>
      <c r="J67" s="21">
        <f t="shared" si="86"/>
        <v>79759976</v>
      </c>
      <c r="K67" s="21">
        <f t="shared" si="86"/>
        <v>881324</v>
      </c>
      <c r="L67" s="21">
        <f t="shared" si="86"/>
        <v>28592902</v>
      </c>
      <c r="M67" s="21">
        <f t="shared" si="86"/>
        <v>23331894</v>
      </c>
      <c r="N67" s="21">
        <f t="shared" si="86"/>
        <v>678883</v>
      </c>
      <c r="O67" s="21">
        <f t="shared" si="86"/>
        <v>21720444</v>
      </c>
      <c r="P67" s="21">
        <f t="shared" si="86"/>
        <v>4554529</v>
      </c>
      <c r="Q67" s="21">
        <f t="shared" si="86"/>
        <v>5202708</v>
      </c>
      <c r="R67" s="21">
        <f t="shared" si="86"/>
        <v>194070</v>
      </c>
      <c r="S67" s="21">
        <f t="shared" si="86"/>
        <v>5008638</v>
      </c>
      <c r="T67" s="21">
        <f t="shared" si="86"/>
        <v>0</v>
      </c>
      <c r="U67" s="21">
        <f t="shared" si="86"/>
        <v>5509232</v>
      </c>
      <c r="V67" s="21">
        <f t="shared" si="86"/>
        <v>7813525</v>
      </c>
      <c r="W67" s="21">
        <f t="shared" si="86"/>
        <v>825105</v>
      </c>
      <c r="X67" s="21">
        <f t="shared" si="86"/>
        <v>1486344</v>
      </c>
      <c r="Y67" s="21">
        <f t="shared" si="86"/>
        <v>3138303</v>
      </c>
      <c r="Z67" s="21">
        <f t="shared" si="86"/>
        <v>1457635</v>
      </c>
      <c r="AA67" s="21">
        <f t="shared" si="86"/>
        <v>601343</v>
      </c>
      <c r="AB67" s="21">
        <f t="shared" si="86"/>
        <v>64643</v>
      </c>
      <c r="AC67" s="21">
        <f t="shared" si="86"/>
        <v>0</v>
      </c>
      <c r="AD67" s="21">
        <f t="shared" ref="AD67" si="87">SUM(AD68+AD70+AD73+AD75+AD77+AD79+AD81)</f>
        <v>240152</v>
      </c>
      <c r="AE67" s="21">
        <f t="shared" si="86"/>
        <v>45611927</v>
      </c>
      <c r="AF67" s="21">
        <f t="shared" si="86"/>
        <v>0</v>
      </c>
      <c r="AG67" s="21">
        <f t="shared" si="86"/>
        <v>408493</v>
      </c>
      <c r="AH67" s="21">
        <f t="shared" si="86"/>
        <v>1404213</v>
      </c>
      <c r="AI67" s="21">
        <f t="shared" si="86"/>
        <v>41338</v>
      </c>
      <c r="AJ67" s="21">
        <f t="shared" si="86"/>
        <v>123165</v>
      </c>
      <c r="AK67" s="21">
        <f t="shared" si="86"/>
        <v>194495</v>
      </c>
      <c r="AL67" s="21">
        <f t="shared" si="86"/>
        <v>2365472</v>
      </c>
      <c r="AM67" s="21">
        <f t="shared" si="86"/>
        <v>2029634</v>
      </c>
      <c r="AN67" s="21">
        <f t="shared" si="86"/>
        <v>150069</v>
      </c>
      <c r="AO67" s="21">
        <f t="shared" si="86"/>
        <v>93268</v>
      </c>
      <c r="AP67" s="21">
        <f>SUM(AP68+AP70+AP73+AP75+AP77+AP79+AP81)</f>
        <v>0</v>
      </c>
      <c r="AQ67" s="21">
        <f t="shared" si="86"/>
        <v>1670482</v>
      </c>
      <c r="AR67" s="21">
        <f t="shared" si="86"/>
        <v>672122</v>
      </c>
      <c r="AS67" s="21">
        <f t="shared" si="86"/>
        <v>42648</v>
      </c>
      <c r="AT67" s="21">
        <f t="shared" si="86"/>
        <v>0</v>
      </c>
      <c r="AU67" s="21">
        <f t="shared" si="86"/>
        <v>0</v>
      </c>
      <c r="AV67" s="21">
        <f t="shared" si="86"/>
        <v>0</v>
      </c>
      <c r="AW67" s="21">
        <f t="shared" si="86"/>
        <v>29193388</v>
      </c>
      <c r="AX67" s="21">
        <f t="shared" si="86"/>
        <v>46800</v>
      </c>
      <c r="AY67" s="21">
        <f t="shared" si="86"/>
        <v>0</v>
      </c>
      <c r="AZ67" s="21">
        <f t="shared" si="86"/>
        <v>7176340</v>
      </c>
      <c r="BA67" s="21">
        <f t="shared" si="86"/>
        <v>1623868</v>
      </c>
      <c r="BB67" s="21">
        <f t="shared" si="86"/>
        <v>0</v>
      </c>
      <c r="BC67" s="21">
        <f t="shared" si="86"/>
        <v>0</v>
      </c>
      <c r="BD67" s="21">
        <f t="shared" si="86"/>
        <v>0</v>
      </c>
      <c r="BE67" s="21">
        <f t="shared" si="86"/>
        <v>0</v>
      </c>
      <c r="BF67" s="21">
        <f t="shared" si="86"/>
        <v>0</v>
      </c>
      <c r="BG67" s="21">
        <f t="shared" si="86"/>
        <v>0</v>
      </c>
      <c r="BH67" s="21">
        <f t="shared" si="86"/>
        <v>0</v>
      </c>
      <c r="BI67" s="21">
        <f t="shared" si="86"/>
        <v>0</v>
      </c>
      <c r="BJ67" s="21">
        <f t="shared" si="86"/>
        <v>0</v>
      </c>
      <c r="BK67" s="21">
        <f t="shared" si="86"/>
        <v>459294</v>
      </c>
      <c r="BL67" s="21">
        <f t="shared" si="86"/>
        <v>459294</v>
      </c>
      <c r="BM67" s="21">
        <f t="shared" si="86"/>
        <v>1164574</v>
      </c>
      <c r="BN67" s="21">
        <f t="shared" si="86"/>
        <v>0</v>
      </c>
      <c r="BO67" s="21">
        <f t="shared" si="86"/>
        <v>0</v>
      </c>
      <c r="BP67" s="21">
        <f t="shared" si="86"/>
        <v>6230</v>
      </c>
      <c r="BQ67" s="21">
        <f t="shared" si="86"/>
        <v>0</v>
      </c>
      <c r="BR67" s="21">
        <f t="shared" si="86"/>
        <v>0</v>
      </c>
      <c r="BS67" s="21">
        <f t="shared" si="86"/>
        <v>0</v>
      </c>
      <c r="BT67" s="21">
        <f t="shared" ref="BT67:CW67" si="88">SUM(BT68+BT70+BT73+BT75+BT77+BT79+BT81)</f>
        <v>0</v>
      </c>
      <c r="BU67" s="21">
        <f t="shared" si="88"/>
        <v>0</v>
      </c>
      <c r="BV67" s="21">
        <f t="shared" si="88"/>
        <v>0</v>
      </c>
      <c r="BW67" s="21">
        <f t="shared" si="88"/>
        <v>406772</v>
      </c>
      <c r="BX67" s="21">
        <f t="shared" si="88"/>
        <v>751572</v>
      </c>
      <c r="BY67" s="21">
        <f t="shared" si="88"/>
        <v>14826356</v>
      </c>
      <c r="BZ67" s="21">
        <f t="shared" si="88"/>
        <v>14826356</v>
      </c>
      <c r="CA67" s="21">
        <f t="shared" si="88"/>
        <v>14526356</v>
      </c>
      <c r="CB67" s="21">
        <f t="shared" si="88"/>
        <v>0</v>
      </c>
      <c r="CC67" s="21">
        <f t="shared" si="88"/>
        <v>14526356</v>
      </c>
      <c r="CD67" s="21">
        <f t="shared" si="88"/>
        <v>0</v>
      </c>
      <c r="CE67" s="21">
        <f t="shared" si="88"/>
        <v>0</v>
      </c>
      <c r="CF67" s="21">
        <f>SUM(CF68+CF70+CF73+CF75+CF77+CF79+CF81)</f>
        <v>0</v>
      </c>
      <c r="CG67" s="21">
        <f t="shared" si="88"/>
        <v>0</v>
      </c>
      <c r="CH67" s="21">
        <f t="shared" si="88"/>
        <v>0</v>
      </c>
      <c r="CI67" s="21">
        <f t="shared" si="88"/>
        <v>0</v>
      </c>
      <c r="CJ67" s="21">
        <f t="shared" ref="CJ67" si="89">SUM(CJ68+CJ70+CJ73+CJ75+CJ77+CJ79+CJ81)</f>
        <v>0</v>
      </c>
      <c r="CK67" s="21">
        <f t="shared" si="88"/>
        <v>300000</v>
      </c>
      <c r="CL67" s="21">
        <f t="shared" si="88"/>
        <v>0</v>
      </c>
      <c r="CM67" s="21">
        <f>SUM(CM68+CM70+CM73+CM75+CM77+CM79+CM81)</f>
        <v>0</v>
      </c>
      <c r="CN67" s="21">
        <f t="shared" si="88"/>
        <v>0</v>
      </c>
      <c r="CO67" s="21">
        <f t="shared" si="88"/>
        <v>300000</v>
      </c>
      <c r="CP67" s="21">
        <f t="shared" si="88"/>
        <v>0</v>
      </c>
      <c r="CQ67" s="21">
        <f t="shared" si="88"/>
        <v>0</v>
      </c>
      <c r="CR67" s="21">
        <f t="shared" si="88"/>
        <v>0</v>
      </c>
      <c r="CS67" s="21">
        <f t="shared" si="88"/>
        <v>0</v>
      </c>
      <c r="CT67" s="21">
        <f t="shared" si="88"/>
        <v>0</v>
      </c>
      <c r="CU67" s="21">
        <f t="shared" si="88"/>
        <v>0</v>
      </c>
      <c r="CV67" s="21">
        <f t="shared" si="88"/>
        <v>0</v>
      </c>
      <c r="CW67" s="22">
        <f t="shared" si="88"/>
        <v>0</v>
      </c>
      <c r="CX67" s="40"/>
    </row>
    <row r="68" spans="1:102" ht="15.75" hidden="1" x14ac:dyDescent="0.25">
      <c r="A68" s="13" t="s">
        <v>50</v>
      </c>
      <c r="B68" s="14" t="s">
        <v>3</v>
      </c>
      <c r="C68" s="14" t="s">
        <v>1</v>
      </c>
      <c r="D68" s="30" t="s">
        <v>90</v>
      </c>
      <c r="E68" s="15">
        <f t="shared" ref="E68:AJ68" si="90">SUM(E69)</f>
        <v>283247814</v>
      </c>
      <c r="F68" s="16">
        <f t="shared" si="90"/>
        <v>272700312</v>
      </c>
      <c r="G68" s="16">
        <f t="shared" si="90"/>
        <v>272006306</v>
      </c>
      <c r="H68" s="16">
        <f t="shared" si="90"/>
        <v>197071763</v>
      </c>
      <c r="I68" s="16">
        <f t="shared" si="90"/>
        <v>8295856</v>
      </c>
      <c r="J68" s="16">
        <f t="shared" si="90"/>
        <v>31525988</v>
      </c>
      <c r="K68" s="16">
        <f t="shared" si="90"/>
        <v>291647</v>
      </c>
      <c r="L68" s="16">
        <f t="shared" si="90"/>
        <v>14210000</v>
      </c>
      <c r="M68" s="16">
        <f t="shared" si="90"/>
        <v>5521786</v>
      </c>
      <c r="N68" s="16">
        <f t="shared" si="90"/>
        <v>0</v>
      </c>
      <c r="O68" s="16">
        <f t="shared" si="90"/>
        <v>10260000</v>
      </c>
      <c r="P68" s="16">
        <f t="shared" si="90"/>
        <v>1242555</v>
      </c>
      <c r="Q68" s="16">
        <f t="shared" si="90"/>
        <v>195157</v>
      </c>
      <c r="R68" s="16">
        <f t="shared" si="90"/>
        <v>93371</v>
      </c>
      <c r="S68" s="16">
        <f t="shared" si="90"/>
        <v>101786</v>
      </c>
      <c r="T68" s="16">
        <f t="shared" si="90"/>
        <v>0</v>
      </c>
      <c r="U68" s="16">
        <f t="shared" si="90"/>
        <v>3800000</v>
      </c>
      <c r="V68" s="16">
        <f t="shared" si="90"/>
        <v>3015758</v>
      </c>
      <c r="W68" s="16">
        <f t="shared" si="90"/>
        <v>65000</v>
      </c>
      <c r="X68" s="16">
        <f t="shared" si="90"/>
        <v>1096862</v>
      </c>
      <c r="Y68" s="16">
        <f t="shared" si="90"/>
        <v>1055538</v>
      </c>
      <c r="Z68" s="16">
        <f t="shared" si="90"/>
        <v>355236</v>
      </c>
      <c r="AA68" s="16">
        <f t="shared" si="90"/>
        <v>344962</v>
      </c>
      <c r="AB68" s="16">
        <f t="shared" si="90"/>
        <v>47123</v>
      </c>
      <c r="AC68" s="16">
        <f t="shared" si="90"/>
        <v>0</v>
      </c>
      <c r="AD68" s="16">
        <f t="shared" si="90"/>
        <v>51037</v>
      </c>
      <c r="AE68" s="16">
        <f t="shared" si="90"/>
        <v>28101784</v>
      </c>
      <c r="AF68" s="16">
        <f t="shared" si="90"/>
        <v>0</v>
      </c>
      <c r="AG68" s="16">
        <f t="shared" si="90"/>
        <v>98033</v>
      </c>
      <c r="AH68" s="16">
        <f t="shared" si="90"/>
        <v>248009</v>
      </c>
      <c r="AI68" s="16">
        <f t="shared" si="90"/>
        <v>39747</v>
      </c>
      <c r="AJ68" s="16">
        <f t="shared" si="90"/>
        <v>54522</v>
      </c>
      <c r="AK68" s="16">
        <f t="shared" ref="AK68:BR68" si="91">SUM(AK69)</f>
        <v>75333</v>
      </c>
      <c r="AL68" s="16">
        <f t="shared" si="91"/>
        <v>1957376</v>
      </c>
      <c r="AM68" s="16">
        <f t="shared" si="91"/>
        <v>1736351</v>
      </c>
      <c r="AN68" s="16">
        <f t="shared" si="91"/>
        <v>18042</v>
      </c>
      <c r="AO68" s="16">
        <f t="shared" si="91"/>
        <v>11108</v>
      </c>
      <c r="AP68" s="16">
        <f t="shared" si="91"/>
        <v>0</v>
      </c>
      <c r="AQ68" s="16">
        <f t="shared" si="91"/>
        <v>297993</v>
      </c>
      <c r="AR68" s="16">
        <f t="shared" si="91"/>
        <v>107567</v>
      </c>
      <c r="AS68" s="16">
        <f t="shared" si="91"/>
        <v>0</v>
      </c>
      <c r="AT68" s="16">
        <f t="shared" si="91"/>
        <v>0</v>
      </c>
      <c r="AU68" s="16">
        <f t="shared" si="91"/>
        <v>0</v>
      </c>
      <c r="AV68" s="16">
        <f t="shared" si="91"/>
        <v>0</v>
      </c>
      <c r="AW68" s="16">
        <f t="shared" si="91"/>
        <v>17569978</v>
      </c>
      <c r="AX68" s="16">
        <f t="shared" si="91"/>
        <v>0</v>
      </c>
      <c r="AY68" s="16">
        <f t="shared" si="91"/>
        <v>0</v>
      </c>
      <c r="AZ68" s="16">
        <f t="shared" si="91"/>
        <v>5887725</v>
      </c>
      <c r="BA68" s="16">
        <f t="shared" si="91"/>
        <v>694006</v>
      </c>
      <c r="BB68" s="16">
        <f t="shared" si="91"/>
        <v>0</v>
      </c>
      <c r="BC68" s="16">
        <f t="shared" si="91"/>
        <v>0</v>
      </c>
      <c r="BD68" s="16">
        <f t="shared" si="91"/>
        <v>0</v>
      </c>
      <c r="BE68" s="16">
        <f t="shared" si="91"/>
        <v>0</v>
      </c>
      <c r="BF68" s="16">
        <f t="shared" si="91"/>
        <v>0</v>
      </c>
      <c r="BG68" s="16">
        <f t="shared" si="91"/>
        <v>0</v>
      </c>
      <c r="BH68" s="16">
        <f t="shared" si="91"/>
        <v>0</v>
      </c>
      <c r="BI68" s="16">
        <f t="shared" si="91"/>
        <v>0</v>
      </c>
      <c r="BJ68" s="16">
        <f t="shared" si="91"/>
        <v>0</v>
      </c>
      <c r="BK68" s="16">
        <f t="shared" si="91"/>
        <v>304566</v>
      </c>
      <c r="BL68" s="16">
        <f t="shared" si="91"/>
        <v>304566</v>
      </c>
      <c r="BM68" s="16">
        <f t="shared" si="91"/>
        <v>389440</v>
      </c>
      <c r="BN68" s="16">
        <f t="shared" si="91"/>
        <v>0</v>
      </c>
      <c r="BO68" s="16">
        <f t="shared" si="91"/>
        <v>0</v>
      </c>
      <c r="BP68" s="16">
        <f t="shared" si="91"/>
        <v>6230</v>
      </c>
      <c r="BQ68" s="16">
        <f t="shared" si="91"/>
        <v>0</v>
      </c>
      <c r="BR68" s="16">
        <f t="shared" si="91"/>
        <v>0</v>
      </c>
      <c r="BS68" s="16">
        <f t="shared" ref="BS68:CW68" si="92">SUM(BS69)</f>
        <v>0</v>
      </c>
      <c r="BT68" s="16">
        <f t="shared" si="92"/>
        <v>0</v>
      </c>
      <c r="BU68" s="16">
        <f t="shared" si="92"/>
        <v>0</v>
      </c>
      <c r="BV68" s="16">
        <f t="shared" si="92"/>
        <v>0</v>
      </c>
      <c r="BW68" s="16">
        <f t="shared" si="92"/>
        <v>383210</v>
      </c>
      <c r="BX68" s="16">
        <f t="shared" si="92"/>
        <v>0</v>
      </c>
      <c r="BY68" s="16">
        <f t="shared" si="92"/>
        <v>10547502</v>
      </c>
      <c r="BZ68" s="16">
        <f t="shared" si="92"/>
        <v>10547502</v>
      </c>
      <c r="CA68" s="16">
        <f t="shared" si="92"/>
        <v>10547502</v>
      </c>
      <c r="CB68" s="16">
        <f t="shared" si="92"/>
        <v>0</v>
      </c>
      <c r="CC68" s="16">
        <f t="shared" si="92"/>
        <v>10547502</v>
      </c>
      <c r="CD68" s="16">
        <f t="shared" si="92"/>
        <v>0</v>
      </c>
      <c r="CE68" s="16">
        <f t="shared" si="92"/>
        <v>0</v>
      </c>
      <c r="CF68" s="16">
        <f t="shared" si="92"/>
        <v>0</v>
      </c>
      <c r="CG68" s="16">
        <f t="shared" si="92"/>
        <v>0</v>
      </c>
      <c r="CH68" s="16">
        <f t="shared" si="92"/>
        <v>0</v>
      </c>
      <c r="CI68" s="16">
        <f t="shared" si="92"/>
        <v>0</v>
      </c>
      <c r="CJ68" s="16">
        <f t="shared" si="92"/>
        <v>0</v>
      </c>
      <c r="CK68" s="16">
        <f t="shared" si="92"/>
        <v>0</v>
      </c>
      <c r="CL68" s="16">
        <f t="shared" si="92"/>
        <v>0</v>
      </c>
      <c r="CM68" s="16">
        <f t="shared" si="92"/>
        <v>0</v>
      </c>
      <c r="CN68" s="16">
        <f t="shared" si="92"/>
        <v>0</v>
      </c>
      <c r="CO68" s="16">
        <f t="shared" si="92"/>
        <v>0</v>
      </c>
      <c r="CP68" s="16">
        <f t="shared" si="92"/>
        <v>0</v>
      </c>
      <c r="CQ68" s="16">
        <f t="shared" si="92"/>
        <v>0</v>
      </c>
      <c r="CR68" s="16">
        <f t="shared" si="92"/>
        <v>0</v>
      </c>
      <c r="CS68" s="16">
        <f t="shared" si="92"/>
        <v>0</v>
      </c>
      <c r="CT68" s="16">
        <f t="shared" si="92"/>
        <v>0</v>
      </c>
      <c r="CU68" s="16">
        <f t="shared" si="92"/>
        <v>0</v>
      </c>
      <c r="CV68" s="16">
        <f t="shared" si="92"/>
        <v>0</v>
      </c>
      <c r="CW68" s="17">
        <f t="shared" si="92"/>
        <v>0</v>
      </c>
      <c r="CX68" s="40"/>
    </row>
    <row r="69" spans="1:102" ht="15.75" hidden="1" x14ac:dyDescent="0.25">
      <c r="A69" s="13" t="s">
        <v>1</v>
      </c>
      <c r="B69" s="14" t="s">
        <v>1</v>
      </c>
      <c r="C69" s="14" t="s">
        <v>91</v>
      </c>
      <c r="D69" s="30" t="s">
        <v>92</v>
      </c>
      <c r="E69" s="15">
        <f>SUM(F69+BY69+CT69)</f>
        <v>283247814</v>
      </c>
      <c r="F69" s="16">
        <f>SUM(G69+BA69)</f>
        <v>272700312</v>
      </c>
      <c r="G69" s="16">
        <f>SUM(H69+I69+J69+Q69+T69+U69+V69+AE69)</f>
        <v>272006306</v>
      </c>
      <c r="H69" s="16">
        <f>193513809+3557954</f>
        <v>197071763</v>
      </c>
      <c r="I69" s="16">
        <v>8295856</v>
      </c>
      <c r="J69" s="16">
        <f t="shared" si="7"/>
        <v>31525988</v>
      </c>
      <c r="K69" s="16">
        <v>291647</v>
      </c>
      <c r="L69" s="16">
        <v>14210000</v>
      </c>
      <c r="M69" s="16">
        <v>5521786</v>
      </c>
      <c r="N69" s="16">
        <v>0</v>
      </c>
      <c r="O69" s="16">
        <v>10260000</v>
      </c>
      <c r="P69" s="16">
        <v>1242555</v>
      </c>
      <c r="Q69" s="16">
        <f t="shared" si="8"/>
        <v>195157</v>
      </c>
      <c r="R69" s="16">
        <v>93371</v>
      </c>
      <c r="S69" s="16">
        <v>101786</v>
      </c>
      <c r="T69" s="16">
        <v>0</v>
      </c>
      <c r="U69" s="16">
        <v>3800000</v>
      </c>
      <c r="V69" s="16">
        <f>SUM(W69:AD69)</f>
        <v>3015758</v>
      </c>
      <c r="W69" s="16">
        <v>65000</v>
      </c>
      <c r="X69" s="16">
        <f>1070452+26410</f>
        <v>1096862</v>
      </c>
      <c r="Y69" s="16">
        <f>1049918+5620</f>
        <v>1055538</v>
      </c>
      <c r="Z69" s="16">
        <f>354746+490</f>
        <v>355236</v>
      </c>
      <c r="AA69" s="16">
        <v>344962</v>
      </c>
      <c r="AB69" s="16">
        <v>47123</v>
      </c>
      <c r="AC69" s="16">
        <v>0</v>
      </c>
      <c r="AD69" s="16">
        <f>52446-1409</f>
        <v>51037</v>
      </c>
      <c r="AE69" s="16">
        <f>SUM(AF69:AZ69)</f>
        <v>28101784</v>
      </c>
      <c r="AF69" s="16">
        <v>0</v>
      </c>
      <c r="AG69" s="16">
        <v>98033</v>
      </c>
      <c r="AH69" s="16">
        <v>248009</v>
      </c>
      <c r="AI69" s="16">
        <f>39747</f>
        <v>39747</v>
      </c>
      <c r="AJ69" s="16">
        <f>54522</f>
        <v>54522</v>
      </c>
      <c r="AK69" s="16">
        <f>75333</f>
        <v>75333</v>
      </c>
      <c r="AL69" s="16">
        <v>1957376</v>
      </c>
      <c r="AM69" s="16">
        <v>1736351</v>
      </c>
      <c r="AN69" s="16">
        <v>18042</v>
      </c>
      <c r="AO69" s="16">
        <v>11108</v>
      </c>
      <c r="AP69" s="16"/>
      <c r="AQ69" s="16">
        <v>297993</v>
      </c>
      <c r="AR69" s="16">
        <v>107567</v>
      </c>
      <c r="AS69" s="16">
        <v>0</v>
      </c>
      <c r="AT69" s="16">
        <v>0</v>
      </c>
      <c r="AU69" s="16">
        <v>0</v>
      </c>
      <c r="AV69" s="16">
        <v>0</v>
      </c>
      <c r="AW69" s="16">
        <v>17569978</v>
      </c>
      <c r="AX69" s="16">
        <v>0</v>
      </c>
      <c r="AY69" s="16"/>
      <c r="AZ69" s="16">
        <v>5887725</v>
      </c>
      <c r="BA69" s="16">
        <f>SUM(BB69+BF69+BI69+BK69+BM69)</f>
        <v>694006</v>
      </c>
      <c r="BB69" s="16">
        <f>SUM(BC69:BE69)</f>
        <v>0</v>
      </c>
      <c r="BC69" s="16">
        <v>0</v>
      </c>
      <c r="BD69" s="16">
        <v>0</v>
      </c>
      <c r="BE69" s="16">
        <v>0</v>
      </c>
      <c r="BF69" s="16">
        <f t="shared" si="9"/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f t="shared" si="10"/>
        <v>304566</v>
      </c>
      <c r="BL69" s="16">
        <v>304566</v>
      </c>
      <c r="BM69" s="16">
        <f t="shared" si="11"/>
        <v>389440</v>
      </c>
      <c r="BN69" s="16">
        <v>0</v>
      </c>
      <c r="BO69" s="16">
        <v>0</v>
      </c>
      <c r="BP69" s="16">
        <v>6230</v>
      </c>
      <c r="BQ69" s="16">
        <v>0</v>
      </c>
      <c r="BR69" s="16">
        <v>0</v>
      </c>
      <c r="BS69" s="16">
        <v>0</v>
      </c>
      <c r="BT69" s="16">
        <v>0</v>
      </c>
      <c r="BU69" s="16">
        <v>0</v>
      </c>
      <c r="BV69" s="16">
        <v>0</v>
      </c>
      <c r="BW69" s="16">
        <v>383210</v>
      </c>
      <c r="BX69" s="16">
        <v>0</v>
      </c>
      <c r="BY69" s="16">
        <f>SUM(BZ69+CS69)</f>
        <v>10547502</v>
      </c>
      <c r="BZ69" s="16">
        <f>SUM(CA69+CD69+CK69)</f>
        <v>10547502</v>
      </c>
      <c r="CA69" s="16">
        <f t="shared" si="12"/>
        <v>10547502</v>
      </c>
      <c r="CB69" s="16">
        <v>0</v>
      </c>
      <c r="CC69" s="16">
        <v>10547502</v>
      </c>
      <c r="CD69" s="16">
        <f t="shared" si="13"/>
        <v>0</v>
      </c>
      <c r="CE69" s="16">
        <v>0</v>
      </c>
      <c r="CF69" s="16">
        <v>0</v>
      </c>
      <c r="CG69" s="16">
        <v>0</v>
      </c>
      <c r="CH69" s="16">
        <v>0</v>
      </c>
      <c r="CI69" s="16">
        <v>0</v>
      </c>
      <c r="CJ69" s="16">
        <v>0</v>
      </c>
      <c r="CK69" s="16">
        <f t="shared" si="14"/>
        <v>0</v>
      </c>
      <c r="CL69" s="16">
        <v>0</v>
      </c>
      <c r="CM69" s="16">
        <v>0</v>
      </c>
      <c r="CN69" s="16">
        <v>0</v>
      </c>
      <c r="CO69" s="16">
        <v>0</v>
      </c>
      <c r="CP69" s="16">
        <v>0</v>
      </c>
      <c r="CQ69" s="16"/>
      <c r="CR69" s="16"/>
      <c r="CS69" s="16">
        <v>0</v>
      </c>
      <c r="CT69" s="16">
        <f t="shared" si="15"/>
        <v>0</v>
      </c>
      <c r="CU69" s="16">
        <f t="shared" si="16"/>
        <v>0</v>
      </c>
      <c r="CV69" s="16">
        <v>0</v>
      </c>
      <c r="CW69" s="17">
        <v>0</v>
      </c>
      <c r="CX69" s="40"/>
    </row>
    <row r="70" spans="1:102" ht="31.5" hidden="1" x14ac:dyDescent="0.25">
      <c r="A70" s="13" t="s">
        <v>50</v>
      </c>
      <c r="B70" s="14" t="s">
        <v>15</v>
      </c>
      <c r="C70" s="14" t="s">
        <v>1</v>
      </c>
      <c r="D70" s="30" t="s">
        <v>500</v>
      </c>
      <c r="E70" s="15">
        <f>SUM(E71:E72)</f>
        <v>93934613</v>
      </c>
      <c r="F70" s="16">
        <f t="shared" ref="F70:BS70" si="93">SUM(F71:F72)</f>
        <v>92758062</v>
      </c>
      <c r="G70" s="16">
        <f t="shared" si="93"/>
        <v>92743062</v>
      </c>
      <c r="H70" s="16">
        <f t="shared" si="93"/>
        <v>53084080</v>
      </c>
      <c r="I70" s="16">
        <f t="shared" si="93"/>
        <v>1815124</v>
      </c>
      <c r="J70" s="16">
        <f t="shared" si="93"/>
        <v>27866694</v>
      </c>
      <c r="K70" s="16">
        <f t="shared" si="93"/>
        <v>396973</v>
      </c>
      <c r="L70" s="16">
        <f t="shared" si="93"/>
        <v>5875008</v>
      </c>
      <c r="M70" s="16">
        <f t="shared" si="93"/>
        <v>16960028</v>
      </c>
      <c r="N70" s="16">
        <f t="shared" si="93"/>
        <v>0</v>
      </c>
      <c r="O70" s="16">
        <f t="shared" si="93"/>
        <v>3281334</v>
      </c>
      <c r="P70" s="16">
        <f t="shared" si="93"/>
        <v>1353351</v>
      </c>
      <c r="Q70" s="16">
        <f t="shared" si="93"/>
        <v>27611</v>
      </c>
      <c r="R70" s="16">
        <f t="shared" si="93"/>
        <v>27611</v>
      </c>
      <c r="S70" s="16">
        <f t="shared" si="93"/>
        <v>0</v>
      </c>
      <c r="T70" s="16">
        <f t="shared" si="93"/>
        <v>0</v>
      </c>
      <c r="U70" s="16">
        <f t="shared" si="93"/>
        <v>490176</v>
      </c>
      <c r="V70" s="16">
        <f t="shared" si="93"/>
        <v>3519832</v>
      </c>
      <c r="W70" s="16">
        <f t="shared" si="93"/>
        <v>550096</v>
      </c>
      <c r="X70" s="16">
        <f t="shared" si="93"/>
        <v>25930</v>
      </c>
      <c r="Y70" s="16">
        <f t="shared" si="93"/>
        <v>1529883</v>
      </c>
      <c r="Z70" s="16">
        <f t="shared" si="93"/>
        <v>1041215</v>
      </c>
      <c r="AA70" s="16">
        <f t="shared" si="93"/>
        <v>206069</v>
      </c>
      <c r="AB70" s="16">
        <f t="shared" si="93"/>
        <v>0</v>
      </c>
      <c r="AC70" s="16">
        <f t="shared" si="93"/>
        <v>0</v>
      </c>
      <c r="AD70" s="16">
        <f t="shared" ref="AD70" si="94">SUM(AD71:AD72)</f>
        <v>166639</v>
      </c>
      <c r="AE70" s="16">
        <f t="shared" si="93"/>
        <v>5939545</v>
      </c>
      <c r="AF70" s="16">
        <f t="shared" si="93"/>
        <v>0</v>
      </c>
      <c r="AG70" s="16">
        <f t="shared" si="93"/>
        <v>0</v>
      </c>
      <c r="AH70" s="16">
        <f t="shared" si="93"/>
        <v>710862</v>
      </c>
      <c r="AI70" s="16">
        <f t="shared" si="93"/>
        <v>0</v>
      </c>
      <c r="AJ70" s="16">
        <f t="shared" si="93"/>
        <v>12492</v>
      </c>
      <c r="AK70" s="16">
        <f t="shared" si="93"/>
        <v>0</v>
      </c>
      <c r="AL70" s="16">
        <f t="shared" si="93"/>
        <v>125632</v>
      </c>
      <c r="AM70" s="16">
        <f t="shared" si="93"/>
        <v>62374</v>
      </c>
      <c r="AN70" s="16">
        <f t="shared" si="93"/>
        <v>13386</v>
      </c>
      <c r="AO70" s="16">
        <f t="shared" si="93"/>
        <v>0</v>
      </c>
      <c r="AP70" s="16">
        <f>SUM(AP71:AP72)</f>
        <v>0</v>
      </c>
      <c r="AQ70" s="16">
        <f t="shared" si="93"/>
        <v>313124</v>
      </c>
      <c r="AR70" s="16">
        <f t="shared" si="93"/>
        <v>0</v>
      </c>
      <c r="AS70" s="16">
        <f t="shared" si="93"/>
        <v>0</v>
      </c>
      <c r="AT70" s="16">
        <f t="shared" si="93"/>
        <v>0</v>
      </c>
      <c r="AU70" s="16">
        <f t="shared" si="93"/>
        <v>0</v>
      </c>
      <c r="AV70" s="16">
        <f t="shared" si="93"/>
        <v>0</v>
      </c>
      <c r="AW70" s="16">
        <f t="shared" si="93"/>
        <v>4350829</v>
      </c>
      <c r="AX70" s="16">
        <f t="shared" si="93"/>
        <v>0</v>
      </c>
      <c r="AY70" s="16">
        <f t="shared" si="93"/>
        <v>0</v>
      </c>
      <c r="AZ70" s="16">
        <f t="shared" si="93"/>
        <v>350846</v>
      </c>
      <c r="BA70" s="16">
        <f t="shared" si="93"/>
        <v>15000</v>
      </c>
      <c r="BB70" s="16">
        <f t="shared" si="93"/>
        <v>0</v>
      </c>
      <c r="BC70" s="16">
        <f t="shared" si="93"/>
        <v>0</v>
      </c>
      <c r="BD70" s="16">
        <f t="shared" si="93"/>
        <v>0</v>
      </c>
      <c r="BE70" s="16">
        <f t="shared" si="93"/>
        <v>0</v>
      </c>
      <c r="BF70" s="16">
        <f t="shared" si="93"/>
        <v>0</v>
      </c>
      <c r="BG70" s="16">
        <f t="shared" si="93"/>
        <v>0</v>
      </c>
      <c r="BH70" s="16">
        <f t="shared" si="93"/>
        <v>0</v>
      </c>
      <c r="BI70" s="16">
        <f t="shared" si="93"/>
        <v>0</v>
      </c>
      <c r="BJ70" s="16">
        <f t="shared" si="93"/>
        <v>0</v>
      </c>
      <c r="BK70" s="16">
        <f t="shared" si="93"/>
        <v>15000</v>
      </c>
      <c r="BL70" s="16">
        <f t="shared" si="93"/>
        <v>15000</v>
      </c>
      <c r="BM70" s="16">
        <f t="shared" si="93"/>
        <v>0</v>
      </c>
      <c r="BN70" s="16">
        <f t="shared" si="93"/>
        <v>0</v>
      </c>
      <c r="BO70" s="16">
        <f t="shared" si="93"/>
        <v>0</v>
      </c>
      <c r="BP70" s="16">
        <f t="shared" si="93"/>
        <v>0</v>
      </c>
      <c r="BQ70" s="16">
        <f t="shared" si="93"/>
        <v>0</v>
      </c>
      <c r="BR70" s="16">
        <f t="shared" si="93"/>
        <v>0</v>
      </c>
      <c r="BS70" s="16">
        <f t="shared" si="93"/>
        <v>0</v>
      </c>
      <c r="BT70" s="16">
        <f t="shared" ref="BT70:CW70" si="95">SUM(BT71:BT72)</f>
        <v>0</v>
      </c>
      <c r="BU70" s="16">
        <f t="shared" si="95"/>
        <v>0</v>
      </c>
      <c r="BV70" s="16">
        <f t="shared" si="95"/>
        <v>0</v>
      </c>
      <c r="BW70" s="16">
        <f t="shared" si="95"/>
        <v>0</v>
      </c>
      <c r="BX70" s="16">
        <f t="shared" si="95"/>
        <v>0</v>
      </c>
      <c r="BY70" s="16">
        <f t="shared" si="95"/>
        <v>1176551</v>
      </c>
      <c r="BZ70" s="16">
        <f t="shared" si="95"/>
        <v>1176551</v>
      </c>
      <c r="CA70" s="16">
        <f t="shared" si="95"/>
        <v>1176551</v>
      </c>
      <c r="CB70" s="16">
        <f t="shared" si="95"/>
        <v>0</v>
      </c>
      <c r="CC70" s="16">
        <f t="shared" si="95"/>
        <v>1176551</v>
      </c>
      <c r="CD70" s="16">
        <f t="shared" si="95"/>
        <v>0</v>
      </c>
      <c r="CE70" s="16">
        <f t="shared" si="95"/>
        <v>0</v>
      </c>
      <c r="CF70" s="16">
        <f>SUM(CF71:CF72)</f>
        <v>0</v>
      </c>
      <c r="CG70" s="16">
        <f t="shared" si="95"/>
        <v>0</v>
      </c>
      <c r="CH70" s="16">
        <f t="shared" si="95"/>
        <v>0</v>
      </c>
      <c r="CI70" s="16">
        <f t="shared" si="95"/>
        <v>0</v>
      </c>
      <c r="CJ70" s="16">
        <f t="shared" ref="CJ70" si="96">SUM(CJ71:CJ72)</f>
        <v>0</v>
      </c>
      <c r="CK70" s="16">
        <f t="shared" si="95"/>
        <v>0</v>
      </c>
      <c r="CL70" s="16">
        <f t="shared" si="95"/>
        <v>0</v>
      </c>
      <c r="CM70" s="16">
        <f>SUM(CM71:CM72)</f>
        <v>0</v>
      </c>
      <c r="CN70" s="16">
        <f t="shared" si="95"/>
        <v>0</v>
      </c>
      <c r="CO70" s="16">
        <f t="shared" si="95"/>
        <v>0</v>
      </c>
      <c r="CP70" s="16">
        <f t="shared" si="95"/>
        <v>0</v>
      </c>
      <c r="CQ70" s="16">
        <f t="shared" si="95"/>
        <v>0</v>
      </c>
      <c r="CR70" s="16">
        <f t="shared" si="95"/>
        <v>0</v>
      </c>
      <c r="CS70" s="16">
        <f t="shared" si="95"/>
        <v>0</v>
      </c>
      <c r="CT70" s="16">
        <f t="shared" si="95"/>
        <v>0</v>
      </c>
      <c r="CU70" s="16">
        <f t="shared" si="95"/>
        <v>0</v>
      </c>
      <c r="CV70" s="16">
        <f t="shared" si="95"/>
        <v>0</v>
      </c>
      <c r="CW70" s="17">
        <f t="shared" si="95"/>
        <v>0</v>
      </c>
      <c r="CX70" s="40"/>
    </row>
    <row r="71" spans="1:102" ht="15.75" hidden="1" x14ac:dyDescent="0.25">
      <c r="A71" s="13" t="s">
        <v>1</v>
      </c>
      <c r="B71" s="14" t="s">
        <v>1</v>
      </c>
      <c r="C71" s="14" t="s">
        <v>93</v>
      </c>
      <c r="D71" s="30" t="s">
        <v>94</v>
      </c>
      <c r="E71" s="15">
        <f>SUM(F71+BY71+CT71)</f>
        <v>5456088</v>
      </c>
      <c r="F71" s="16">
        <f>SUM(G71+BA71)</f>
        <v>5363637</v>
      </c>
      <c r="G71" s="16">
        <f>SUM(H71+I71+J71+Q71+T71+U71+V71+AE71)</f>
        <v>5363637</v>
      </c>
      <c r="H71" s="16">
        <v>4281945</v>
      </c>
      <c r="I71" s="16">
        <v>107049</v>
      </c>
      <c r="J71" s="16">
        <f t="shared" si="7"/>
        <v>279988</v>
      </c>
      <c r="K71" s="16">
        <v>0</v>
      </c>
      <c r="L71" s="16">
        <v>118309</v>
      </c>
      <c r="M71" s="16">
        <v>0</v>
      </c>
      <c r="N71" s="16">
        <v>0</v>
      </c>
      <c r="O71" s="16">
        <v>159520</v>
      </c>
      <c r="P71" s="16">
        <v>2159</v>
      </c>
      <c r="Q71" s="16">
        <f t="shared" si="8"/>
        <v>11992</v>
      </c>
      <c r="R71" s="16">
        <v>11992</v>
      </c>
      <c r="S71" s="16">
        <v>0</v>
      </c>
      <c r="T71" s="16">
        <v>0</v>
      </c>
      <c r="U71" s="16">
        <v>227163</v>
      </c>
      <c r="V71" s="16">
        <f>SUM(W71:AD71)</f>
        <v>41613</v>
      </c>
      <c r="W71" s="16">
        <v>0</v>
      </c>
      <c r="X71" s="16">
        <v>23182</v>
      </c>
      <c r="Y71" s="16">
        <v>15341</v>
      </c>
      <c r="Z71" s="16">
        <v>1570</v>
      </c>
      <c r="AA71" s="16">
        <v>975</v>
      </c>
      <c r="AB71" s="16">
        <v>0</v>
      </c>
      <c r="AC71" s="16">
        <v>0</v>
      </c>
      <c r="AD71" s="16">
        <v>545</v>
      </c>
      <c r="AE71" s="16">
        <f>SUM(AF71:AZ71)</f>
        <v>413887</v>
      </c>
      <c r="AF71" s="16">
        <v>0</v>
      </c>
      <c r="AG71" s="16">
        <v>0</v>
      </c>
      <c r="AH71" s="16">
        <v>10862</v>
      </c>
      <c r="AI71" s="16">
        <v>0</v>
      </c>
      <c r="AJ71" s="16">
        <v>1591</v>
      </c>
      <c r="AK71" s="16">
        <v>0</v>
      </c>
      <c r="AL71" s="16">
        <v>46225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350510</v>
      </c>
      <c r="AX71" s="16">
        <v>0</v>
      </c>
      <c r="AY71" s="16">
        <v>0</v>
      </c>
      <c r="AZ71" s="16">
        <v>4699</v>
      </c>
      <c r="BA71" s="16">
        <f>SUM(BB71+BF71+BI71+BK71+BM71)</f>
        <v>0</v>
      </c>
      <c r="BB71" s="16">
        <f>SUM(BC71:BE71)</f>
        <v>0</v>
      </c>
      <c r="BC71" s="16">
        <v>0</v>
      </c>
      <c r="BD71" s="16">
        <v>0</v>
      </c>
      <c r="BE71" s="16">
        <v>0</v>
      </c>
      <c r="BF71" s="16">
        <f t="shared" si="9"/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f t="shared" si="10"/>
        <v>0</v>
      </c>
      <c r="BL71" s="16">
        <v>0</v>
      </c>
      <c r="BM71" s="16">
        <f t="shared" si="11"/>
        <v>0</v>
      </c>
      <c r="BN71" s="16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  <c r="BY71" s="16">
        <f>SUM(BZ71+CS71)</f>
        <v>92451</v>
      </c>
      <c r="BZ71" s="16">
        <f>SUM(CA71+CD71+CK71)</f>
        <v>92451</v>
      </c>
      <c r="CA71" s="16">
        <f t="shared" si="12"/>
        <v>92451</v>
      </c>
      <c r="CB71" s="16">
        <v>0</v>
      </c>
      <c r="CC71" s="16">
        <v>92451</v>
      </c>
      <c r="CD71" s="16">
        <f t="shared" si="13"/>
        <v>0</v>
      </c>
      <c r="CE71" s="16">
        <v>0</v>
      </c>
      <c r="CF71" s="16">
        <v>0</v>
      </c>
      <c r="CG71" s="16">
        <v>0</v>
      </c>
      <c r="CH71" s="16">
        <v>0</v>
      </c>
      <c r="CI71" s="16">
        <v>0</v>
      </c>
      <c r="CJ71" s="16">
        <v>0</v>
      </c>
      <c r="CK71" s="16">
        <f t="shared" si="14"/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f t="shared" si="15"/>
        <v>0</v>
      </c>
      <c r="CU71" s="16">
        <f t="shared" si="16"/>
        <v>0</v>
      </c>
      <c r="CV71" s="16">
        <v>0</v>
      </c>
      <c r="CW71" s="17">
        <v>0</v>
      </c>
      <c r="CX71" s="40"/>
    </row>
    <row r="72" spans="1:102" ht="15.75" hidden="1" x14ac:dyDescent="0.25">
      <c r="A72" s="13" t="s">
        <v>1</v>
      </c>
      <c r="B72" s="14" t="s">
        <v>1</v>
      </c>
      <c r="C72" s="14" t="s">
        <v>95</v>
      </c>
      <c r="D72" s="30" t="s">
        <v>96</v>
      </c>
      <c r="E72" s="15">
        <f>SUM(F72+BY72+CT72)</f>
        <v>88478525</v>
      </c>
      <c r="F72" s="16">
        <f>SUM(G72+BA72)</f>
        <v>87394425</v>
      </c>
      <c r="G72" s="16">
        <f>SUM(H72+I72+J72+Q72+T72+U72+V72+AE72)</f>
        <v>87379425</v>
      </c>
      <c r="H72" s="16">
        <v>48802135</v>
      </c>
      <c r="I72" s="16">
        <v>1708075</v>
      </c>
      <c r="J72" s="16">
        <f t="shared" si="7"/>
        <v>27586706</v>
      </c>
      <c r="K72" s="16">
        <v>396973</v>
      </c>
      <c r="L72" s="16">
        <v>5756699</v>
      </c>
      <c r="M72" s="16">
        <v>16960028</v>
      </c>
      <c r="N72" s="16">
        <v>0</v>
      </c>
      <c r="O72" s="16">
        <v>3121814</v>
      </c>
      <c r="P72" s="16">
        <v>1351192</v>
      </c>
      <c r="Q72" s="16">
        <f t="shared" si="8"/>
        <v>15619</v>
      </c>
      <c r="R72" s="16">
        <v>15619</v>
      </c>
      <c r="S72" s="16">
        <v>0</v>
      </c>
      <c r="T72" s="16">
        <v>0</v>
      </c>
      <c r="U72" s="16">
        <v>263013</v>
      </c>
      <c r="V72" s="16">
        <f>SUM(W72:AD72)</f>
        <v>3478219</v>
      </c>
      <c r="W72" s="16">
        <v>550096</v>
      </c>
      <c r="X72" s="16">
        <v>2748</v>
      </c>
      <c r="Y72" s="16">
        <v>1514542</v>
      </c>
      <c r="Z72" s="16">
        <v>1039645</v>
      </c>
      <c r="AA72" s="16">
        <v>205094</v>
      </c>
      <c r="AB72" s="16">
        <v>0</v>
      </c>
      <c r="AC72" s="16">
        <v>0</v>
      </c>
      <c r="AD72" s="16">
        <v>166094</v>
      </c>
      <c r="AE72" s="16">
        <f>SUM(AF72:AZ72)</f>
        <v>5525658</v>
      </c>
      <c r="AF72" s="16">
        <v>0</v>
      </c>
      <c r="AG72" s="16">
        <v>0</v>
      </c>
      <c r="AH72" s="16">
        <v>700000</v>
      </c>
      <c r="AI72" s="16">
        <v>0</v>
      </c>
      <c r="AJ72" s="16">
        <v>10901</v>
      </c>
      <c r="AK72" s="16">
        <v>0</v>
      </c>
      <c r="AL72" s="16">
        <v>79407</v>
      </c>
      <c r="AM72" s="16">
        <v>62374</v>
      </c>
      <c r="AN72" s="16">
        <v>13386</v>
      </c>
      <c r="AO72" s="16">
        <v>0</v>
      </c>
      <c r="AP72" s="16">
        <v>0</v>
      </c>
      <c r="AQ72" s="16">
        <v>313124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4000319</v>
      </c>
      <c r="AX72" s="16">
        <v>0</v>
      </c>
      <c r="AY72" s="16">
        <v>0</v>
      </c>
      <c r="AZ72" s="16">
        <v>346147</v>
      </c>
      <c r="BA72" s="16">
        <f>SUM(BB72+BF72+BI72+BK72+BM72)</f>
        <v>15000</v>
      </c>
      <c r="BB72" s="16">
        <f>SUM(BC72:BE72)</f>
        <v>0</v>
      </c>
      <c r="BC72" s="16">
        <v>0</v>
      </c>
      <c r="BD72" s="16">
        <v>0</v>
      </c>
      <c r="BE72" s="16">
        <v>0</v>
      </c>
      <c r="BF72" s="16">
        <f t="shared" si="9"/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f t="shared" si="10"/>
        <v>15000</v>
      </c>
      <c r="BL72" s="16">
        <v>15000</v>
      </c>
      <c r="BM72" s="16">
        <f t="shared" si="11"/>
        <v>0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0</v>
      </c>
      <c r="BY72" s="16">
        <f>SUM(BZ72+CS72)</f>
        <v>1084100</v>
      </c>
      <c r="BZ72" s="16">
        <f>SUM(CA72+CD72+CK72)</f>
        <v>1084100</v>
      </c>
      <c r="CA72" s="16">
        <f t="shared" si="12"/>
        <v>1084100</v>
      </c>
      <c r="CB72" s="16">
        <v>0</v>
      </c>
      <c r="CC72" s="16">
        <v>1084100</v>
      </c>
      <c r="CD72" s="16">
        <f t="shared" si="13"/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v>0</v>
      </c>
      <c r="CK72" s="16">
        <f t="shared" si="14"/>
        <v>0</v>
      </c>
      <c r="CL72" s="16">
        <v>0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v>0</v>
      </c>
      <c r="CT72" s="16">
        <f t="shared" si="15"/>
        <v>0</v>
      </c>
      <c r="CU72" s="16">
        <f t="shared" si="16"/>
        <v>0</v>
      </c>
      <c r="CV72" s="16">
        <v>0</v>
      </c>
      <c r="CW72" s="17">
        <v>0</v>
      </c>
      <c r="CX72" s="40"/>
    </row>
    <row r="73" spans="1:102" ht="15.75" hidden="1" x14ac:dyDescent="0.25">
      <c r="A73" s="13" t="s">
        <v>50</v>
      </c>
      <c r="B73" s="14" t="s">
        <v>50</v>
      </c>
      <c r="C73" s="14" t="s">
        <v>1</v>
      </c>
      <c r="D73" s="30" t="s">
        <v>97</v>
      </c>
      <c r="E73" s="15">
        <f t="shared" ref="E73:AJ73" si="97">SUM(E74)</f>
        <v>103702753</v>
      </c>
      <c r="F73" s="16">
        <f t="shared" si="97"/>
        <v>102902695</v>
      </c>
      <c r="G73" s="16">
        <f t="shared" si="97"/>
        <v>102469295</v>
      </c>
      <c r="H73" s="16">
        <f t="shared" si="97"/>
        <v>74259203</v>
      </c>
      <c r="I73" s="16">
        <f t="shared" si="97"/>
        <v>1006318</v>
      </c>
      <c r="J73" s="16">
        <f t="shared" si="97"/>
        <v>12906467</v>
      </c>
      <c r="K73" s="16">
        <f t="shared" si="97"/>
        <v>184304</v>
      </c>
      <c r="L73" s="16">
        <f t="shared" si="97"/>
        <v>6884857</v>
      </c>
      <c r="M73" s="16">
        <f t="shared" si="97"/>
        <v>850080</v>
      </c>
      <c r="N73" s="16">
        <f t="shared" si="97"/>
        <v>678883</v>
      </c>
      <c r="O73" s="16">
        <f t="shared" si="97"/>
        <v>4000000</v>
      </c>
      <c r="P73" s="16">
        <f t="shared" si="97"/>
        <v>308343</v>
      </c>
      <c r="Q73" s="16">
        <f t="shared" si="97"/>
        <v>4668876</v>
      </c>
      <c r="R73" s="16">
        <f t="shared" si="97"/>
        <v>68876</v>
      </c>
      <c r="S73" s="16">
        <f t="shared" si="97"/>
        <v>4600000</v>
      </c>
      <c r="T73" s="16">
        <f t="shared" si="97"/>
        <v>0</v>
      </c>
      <c r="U73" s="16">
        <f t="shared" si="97"/>
        <v>480000</v>
      </c>
      <c r="V73" s="16">
        <f t="shared" si="97"/>
        <v>763533</v>
      </c>
      <c r="W73" s="16">
        <f t="shared" si="97"/>
        <v>55801</v>
      </c>
      <c r="X73" s="16">
        <f t="shared" si="97"/>
        <v>223862</v>
      </c>
      <c r="Y73" s="16">
        <f t="shared" si="97"/>
        <v>408145</v>
      </c>
      <c r="Z73" s="16">
        <f t="shared" si="97"/>
        <v>39246</v>
      </c>
      <c r="AA73" s="16">
        <f t="shared" si="97"/>
        <v>26694</v>
      </c>
      <c r="AB73" s="16">
        <f t="shared" si="97"/>
        <v>0</v>
      </c>
      <c r="AC73" s="16">
        <f t="shared" si="97"/>
        <v>0</v>
      </c>
      <c r="AD73" s="16">
        <f t="shared" si="97"/>
        <v>9785</v>
      </c>
      <c r="AE73" s="16">
        <f t="shared" si="97"/>
        <v>8384898</v>
      </c>
      <c r="AF73" s="16">
        <f t="shared" si="97"/>
        <v>0</v>
      </c>
      <c r="AG73" s="16">
        <f t="shared" si="97"/>
        <v>87015</v>
      </c>
      <c r="AH73" s="16">
        <f t="shared" si="97"/>
        <v>323635</v>
      </c>
      <c r="AI73" s="16">
        <f t="shared" si="97"/>
        <v>0</v>
      </c>
      <c r="AJ73" s="16">
        <f t="shared" si="97"/>
        <v>39788</v>
      </c>
      <c r="AK73" s="16">
        <f t="shared" ref="AK73:BR73" si="98">SUM(AK74)</f>
        <v>80109</v>
      </c>
      <c r="AL73" s="16">
        <f t="shared" si="98"/>
        <v>15000</v>
      </c>
      <c r="AM73" s="16">
        <f t="shared" si="98"/>
        <v>91399</v>
      </c>
      <c r="AN73" s="16">
        <f t="shared" si="98"/>
        <v>18042</v>
      </c>
      <c r="AO73" s="16">
        <f t="shared" si="98"/>
        <v>0</v>
      </c>
      <c r="AP73" s="16">
        <f t="shared" si="98"/>
        <v>0</v>
      </c>
      <c r="AQ73" s="16">
        <f t="shared" si="98"/>
        <v>1018010</v>
      </c>
      <c r="AR73" s="16">
        <f t="shared" si="98"/>
        <v>0</v>
      </c>
      <c r="AS73" s="16">
        <f t="shared" si="98"/>
        <v>0</v>
      </c>
      <c r="AT73" s="16">
        <f t="shared" si="98"/>
        <v>0</v>
      </c>
      <c r="AU73" s="16">
        <f t="shared" si="98"/>
        <v>0</v>
      </c>
      <c r="AV73" s="16">
        <f t="shared" si="98"/>
        <v>0</v>
      </c>
      <c r="AW73" s="16">
        <f t="shared" si="98"/>
        <v>6300000</v>
      </c>
      <c r="AX73" s="16">
        <f t="shared" si="98"/>
        <v>36800</v>
      </c>
      <c r="AY73" s="16">
        <f t="shared" si="98"/>
        <v>0</v>
      </c>
      <c r="AZ73" s="16">
        <f t="shared" si="98"/>
        <v>375100</v>
      </c>
      <c r="BA73" s="16">
        <f t="shared" si="98"/>
        <v>433400</v>
      </c>
      <c r="BB73" s="16">
        <f t="shared" si="98"/>
        <v>0</v>
      </c>
      <c r="BC73" s="16">
        <f t="shared" si="98"/>
        <v>0</v>
      </c>
      <c r="BD73" s="16">
        <f t="shared" si="98"/>
        <v>0</v>
      </c>
      <c r="BE73" s="16">
        <f t="shared" si="98"/>
        <v>0</v>
      </c>
      <c r="BF73" s="16">
        <f t="shared" si="98"/>
        <v>0</v>
      </c>
      <c r="BG73" s="16">
        <f t="shared" si="98"/>
        <v>0</v>
      </c>
      <c r="BH73" s="16">
        <f t="shared" si="98"/>
        <v>0</v>
      </c>
      <c r="BI73" s="16">
        <f t="shared" si="98"/>
        <v>0</v>
      </c>
      <c r="BJ73" s="16">
        <f t="shared" si="98"/>
        <v>0</v>
      </c>
      <c r="BK73" s="16">
        <f t="shared" si="98"/>
        <v>133400</v>
      </c>
      <c r="BL73" s="16">
        <f t="shared" si="98"/>
        <v>133400</v>
      </c>
      <c r="BM73" s="16">
        <f t="shared" si="98"/>
        <v>300000</v>
      </c>
      <c r="BN73" s="16">
        <f t="shared" si="98"/>
        <v>0</v>
      </c>
      <c r="BO73" s="16">
        <f t="shared" si="98"/>
        <v>0</v>
      </c>
      <c r="BP73" s="16">
        <f t="shared" si="98"/>
        <v>0</v>
      </c>
      <c r="BQ73" s="16">
        <f t="shared" si="98"/>
        <v>0</v>
      </c>
      <c r="BR73" s="16">
        <f t="shared" si="98"/>
        <v>0</v>
      </c>
      <c r="BS73" s="16">
        <f t="shared" ref="BS73:CW73" si="99">SUM(BS74)</f>
        <v>0</v>
      </c>
      <c r="BT73" s="16">
        <f t="shared" si="99"/>
        <v>0</v>
      </c>
      <c r="BU73" s="16">
        <f t="shared" si="99"/>
        <v>0</v>
      </c>
      <c r="BV73" s="16">
        <f t="shared" si="99"/>
        <v>0</v>
      </c>
      <c r="BW73" s="16">
        <f t="shared" si="99"/>
        <v>0</v>
      </c>
      <c r="BX73" s="16">
        <f t="shared" si="99"/>
        <v>300000</v>
      </c>
      <c r="BY73" s="16">
        <f t="shared" si="99"/>
        <v>800058</v>
      </c>
      <c r="BZ73" s="16">
        <f t="shared" si="99"/>
        <v>800058</v>
      </c>
      <c r="CA73" s="16">
        <f t="shared" si="99"/>
        <v>800058</v>
      </c>
      <c r="CB73" s="16">
        <f t="shared" si="99"/>
        <v>0</v>
      </c>
      <c r="CC73" s="16">
        <f t="shared" si="99"/>
        <v>800058</v>
      </c>
      <c r="CD73" s="16">
        <f t="shared" si="99"/>
        <v>0</v>
      </c>
      <c r="CE73" s="16">
        <f t="shared" si="99"/>
        <v>0</v>
      </c>
      <c r="CF73" s="16">
        <f t="shared" si="99"/>
        <v>0</v>
      </c>
      <c r="CG73" s="16">
        <f t="shared" si="99"/>
        <v>0</v>
      </c>
      <c r="CH73" s="16">
        <f t="shared" si="99"/>
        <v>0</v>
      </c>
      <c r="CI73" s="16">
        <f t="shared" si="99"/>
        <v>0</v>
      </c>
      <c r="CJ73" s="16">
        <f t="shared" si="99"/>
        <v>0</v>
      </c>
      <c r="CK73" s="16">
        <f t="shared" si="99"/>
        <v>0</v>
      </c>
      <c r="CL73" s="16">
        <f t="shared" si="99"/>
        <v>0</v>
      </c>
      <c r="CM73" s="16">
        <f t="shared" si="99"/>
        <v>0</v>
      </c>
      <c r="CN73" s="16">
        <f t="shared" si="99"/>
        <v>0</v>
      </c>
      <c r="CO73" s="16">
        <f t="shared" si="99"/>
        <v>0</v>
      </c>
      <c r="CP73" s="16">
        <f t="shared" si="99"/>
        <v>0</v>
      </c>
      <c r="CQ73" s="16">
        <f t="shared" si="99"/>
        <v>0</v>
      </c>
      <c r="CR73" s="16">
        <f t="shared" si="99"/>
        <v>0</v>
      </c>
      <c r="CS73" s="16">
        <f t="shared" si="99"/>
        <v>0</v>
      </c>
      <c r="CT73" s="16">
        <f t="shared" si="99"/>
        <v>0</v>
      </c>
      <c r="CU73" s="16">
        <f t="shared" si="99"/>
        <v>0</v>
      </c>
      <c r="CV73" s="16">
        <f t="shared" si="99"/>
        <v>0</v>
      </c>
      <c r="CW73" s="17">
        <f t="shared" si="99"/>
        <v>0</v>
      </c>
      <c r="CX73" s="40"/>
    </row>
    <row r="74" spans="1:102" ht="31.5" hidden="1" x14ac:dyDescent="0.25">
      <c r="A74" s="13" t="s">
        <v>1</v>
      </c>
      <c r="B74" s="14" t="s">
        <v>1</v>
      </c>
      <c r="C74" s="14" t="s">
        <v>98</v>
      </c>
      <c r="D74" s="30" t="s">
        <v>99</v>
      </c>
      <c r="E74" s="15">
        <f>SUM(F74+BY74+CT74)</f>
        <v>103702753</v>
      </c>
      <c r="F74" s="16">
        <f>SUM(G74+BA74)</f>
        <v>102902695</v>
      </c>
      <c r="G74" s="16">
        <f>SUM(H74+I74+J74+Q74+T74+U74+V74+AE74)</f>
        <v>102469295</v>
      </c>
      <c r="H74" s="16">
        <f>69357765+4901438</f>
        <v>74259203</v>
      </c>
      <c r="I74" s="16">
        <f>900988+105330</f>
        <v>1006318</v>
      </c>
      <c r="J74" s="16">
        <f t="shared" si="7"/>
        <v>12906467</v>
      </c>
      <c r="K74" s="16">
        <v>184304</v>
      </c>
      <c r="L74" s="16">
        <v>6884857</v>
      </c>
      <c r="M74" s="16">
        <v>850080</v>
      </c>
      <c r="N74" s="16">
        <v>678883</v>
      </c>
      <c r="O74" s="16">
        <v>4000000</v>
      </c>
      <c r="P74" s="16">
        <v>308343</v>
      </c>
      <c r="Q74" s="16">
        <f t="shared" si="8"/>
        <v>4668876</v>
      </c>
      <c r="R74" s="16">
        <v>68876</v>
      </c>
      <c r="S74" s="16">
        <v>4600000</v>
      </c>
      <c r="T74" s="16">
        <v>0</v>
      </c>
      <c r="U74" s="16">
        <v>480000</v>
      </c>
      <c r="V74" s="16">
        <f>SUM(W74:AD74)</f>
        <v>763533</v>
      </c>
      <c r="W74" s="16">
        <v>55801</v>
      </c>
      <c r="X74" s="16">
        <v>223862</v>
      </c>
      <c r="Y74" s="16">
        <v>408145</v>
      </c>
      <c r="Z74" s="16">
        <v>39246</v>
      </c>
      <c r="AA74" s="16">
        <v>26694</v>
      </c>
      <c r="AB74" s="16">
        <v>0</v>
      </c>
      <c r="AC74" s="16">
        <v>0</v>
      </c>
      <c r="AD74" s="16">
        <v>9785</v>
      </c>
      <c r="AE74" s="16">
        <f>SUM(AF74:AZ74)</f>
        <v>8384898</v>
      </c>
      <c r="AF74" s="16">
        <v>0</v>
      </c>
      <c r="AG74" s="16">
        <v>87015</v>
      </c>
      <c r="AH74" s="16">
        <v>323635</v>
      </c>
      <c r="AI74" s="16">
        <v>0</v>
      </c>
      <c r="AJ74" s="16">
        <v>39788</v>
      </c>
      <c r="AK74" s="16">
        <v>80109</v>
      </c>
      <c r="AL74" s="16">
        <v>15000</v>
      </c>
      <c r="AM74" s="16">
        <v>91399</v>
      </c>
      <c r="AN74" s="16">
        <v>18042</v>
      </c>
      <c r="AO74" s="16">
        <v>0</v>
      </c>
      <c r="AP74" s="16">
        <v>0</v>
      </c>
      <c r="AQ74" s="16">
        <v>1018010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6300000</v>
      </c>
      <c r="AX74" s="16">
        <v>36800</v>
      </c>
      <c r="AY74" s="16">
        <v>0</v>
      </c>
      <c r="AZ74" s="16">
        <v>375100</v>
      </c>
      <c r="BA74" s="16">
        <f>SUM(BB74+BF74+BI74+BK74+BM74)</f>
        <v>433400</v>
      </c>
      <c r="BB74" s="16">
        <f>SUM(BC74:BE74)</f>
        <v>0</v>
      </c>
      <c r="BC74" s="16">
        <v>0</v>
      </c>
      <c r="BD74" s="16">
        <v>0</v>
      </c>
      <c r="BE74" s="16">
        <v>0</v>
      </c>
      <c r="BF74" s="16">
        <f t="shared" si="9"/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f t="shared" si="10"/>
        <v>133400</v>
      </c>
      <c r="BL74" s="16">
        <v>133400</v>
      </c>
      <c r="BM74" s="16">
        <f t="shared" si="11"/>
        <v>300000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6">
        <v>0</v>
      </c>
      <c r="BU74" s="16">
        <v>0</v>
      </c>
      <c r="BV74" s="16">
        <v>0</v>
      </c>
      <c r="BW74" s="16">
        <v>0</v>
      </c>
      <c r="BX74" s="16">
        <v>300000</v>
      </c>
      <c r="BY74" s="16">
        <f>SUM(BZ74+CS74)</f>
        <v>800058</v>
      </c>
      <c r="BZ74" s="16">
        <f>SUM(CA74+CD74+CK74)</f>
        <v>800058</v>
      </c>
      <c r="CA74" s="16">
        <f t="shared" si="12"/>
        <v>800058</v>
      </c>
      <c r="CB74" s="16">
        <v>0</v>
      </c>
      <c r="CC74" s="16">
        <f>1714370-914312</f>
        <v>800058</v>
      </c>
      <c r="CD74" s="16">
        <f t="shared" si="13"/>
        <v>0</v>
      </c>
      <c r="CE74" s="16">
        <v>0</v>
      </c>
      <c r="CF74" s="16">
        <v>0</v>
      </c>
      <c r="CG74" s="16">
        <v>0</v>
      </c>
      <c r="CH74" s="16">
        <v>0</v>
      </c>
      <c r="CI74" s="16">
        <v>0</v>
      </c>
      <c r="CJ74" s="16">
        <v>0</v>
      </c>
      <c r="CK74" s="16">
        <f t="shared" si="14"/>
        <v>0</v>
      </c>
      <c r="CL74" s="16">
        <v>0</v>
      </c>
      <c r="CM74" s="16">
        <v>0</v>
      </c>
      <c r="CN74" s="16">
        <v>0</v>
      </c>
      <c r="CO74" s="16">
        <v>0</v>
      </c>
      <c r="CP74" s="16">
        <v>0</v>
      </c>
      <c r="CQ74" s="16">
        <v>0</v>
      </c>
      <c r="CR74" s="16">
        <v>0</v>
      </c>
      <c r="CS74" s="16">
        <v>0</v>
      </c>
      <c r="CT74" s="16">
        <f t="shared" si="15"/>
        <v>0</v>
      </c>
      <c r="CU74" s="16">
        <f t="shared" si="16"/>
        <v>0</v>
      </c>
      <c r="CV74" s="16">
        <v>0</v>
      </c>
      <c r="CW74" s="17">
        <v>0</v>
      </c>
      <c r="CX74" s="40"/>
    </row>
    <row r="75" spans="1:102" ht="15.75" hidden="1" x14ac:dyDescent="0.25">
      <c r="A75" s="13" t="s">
        <v>50</v>
      </c>
      <c r="B75" s="14" t="s">
        <v>100</v>
      </c>
      <c r="C75" s="14" t="s">
        <v>1</v>
      </c>
      <c r="D75" s="30" t="s">
        <v>101</v>
      </c>
      <c r="E75" s="15">
        <f t="shared" ref="E75:AJ75" si="100">SUM(E76)</f>
        <v>18903438</v>
      </c>
      <c r="F75" s="16">
        <f t="shared" si="100"/>
        <v>18226654</v>
      </c>
      <c r="G75" s="16">
        <f t="shared" si="100"/>
        <v>18219369</v>
      </c>
      <c r="H75" s="16">
        <f t="shared" si="100"/>
        <v>15212356</v>
      </c>
      <c r="I75" s="16">
        <f t="shared" si="100"/>
        <v>566318</v>
      </c>
      <c r="J75" s="16">
        <f t="shared" si="100"/>
        <v>1475820</v>
      </c>
      <c r="K75" s="16">
        <f t="shared" si="100"/>
        <v>0</v>
      </c>
      <c r="L75" s="16">
        <f t="shared" si="100"/>
        <v>660831</v>
      </c>
      <c r="M75" s="16">
        <f t="shared" si="100"/>
        <v>0</v>
      </c>
      <c r="N75" s="16">
        <f t="shared" si="100"/>
        <v>0</v>
      </c>
      <c r="O75" s="16">
        <f t="shared" si="100"/>
        <v>407944</v>
      </c>
      <c r="P75" s="16">
        <f t="shared" si="100"/>
        <v>407045</v>
      </c>
      <c r="Q75" s="16">
        <f t="shared" si="100"/>
        <v>9038</v>
      </c>
      <c r="R75" s="16">
        <f t="shared" si="100"/>
        <v>826</v>
      </c>
      <c r="S75" s="16">
        <f t="shared" si="100"/>
        <v>8212</v>
      </c>
      <c r="T75" s="16">
        <f t="shared" si="100"/>
        <v>0</v>
      </c>
      <c r="U75" s="16">
        <f t="shared" si="100"/>
        <v>253226</v>
      </c>
      <c r="V75" s="16">
        <f t="shared" si="100"/>
        <v>212427</v>
      </c>
      <c r="W75" s="16">
        <f t="shared" si="100"/>
        <v>49509</v>
      </c>
      <c r="X75" s="16">
        <f t="shared" si="100"/>
        <v>87262</v>
      </c>
      <c r="Y75" s="16">
        <f t="shared" si="100"/>
        <v>59214</v>
      </c>
      <c r="Z75" s="16">
        <f t="shared" si="100"/>
        <v>7820</v>
      </c>
      <c r="AA75" s="16">
        <f t="shared" si="100"/>
        <v>8622</v>
      </c>
      <c r="AB75" s="16">
        <f t="shared" si="100"/>
        <v>0</v>
      </c>
      <c r="AC75" s="16">
        <f t="shared" si="100"/>
        <v>0</v>
      </c>
      <c r="AD75" s="16">
        <f t="shared" si="100"/>
        <v>0</v>
      </c>
      <c r="AE75" s="16">
        <f t="shared" si="100"/>
        <v>490184</v>
      </c>
      <c r="AF75" s="16">
        <f t="shared" si="100"/>
        <v>0</v>
      </c>
      <c r="AG75" s="16">
        <f t="shared" si="100"/>
        <v>1976</v>
      </c>
      <c r="AH75" s="16">
        <f t="shared" si="100"/>
        <v>37809</v>
      </c>
      <c r="AI75" s="16">
        <f t="shared" si="100"/>
        <v>1591</v>
      </c>
      <c r="AJ75" s="16">
        <f t="shared" si="100"/>
        <v>0</v>
      </c>
      <c r="AK75" s="16">
        <f t="shared" ref="AK75:BR75" si="101">SUM(AK76)</f>
        <v>0</v>
      </c>
      <c r="AL75" s="16">
        <f t="shared" si="101"/>
        <v>0</v>
      </c>
      <c r="AM75" s="16">
        <f t="shared" si="101"/>
        <v>0</v>
      </c>
      <c r="AN75" s="16">
        <f t="shared" si="101"/>
        <v>14550</v>
      </c>
      <c r="AO75" s="16">
        <f t="shared" si="101"/>
        <v>2280</v>
      </c>
      <c r="AP75" s="16">
        <f t="shared" si="101"/>
        <v>0</v>
      </c>
      <c r="AQ75" s="16">
        <f t="shared" si="101"/>
        <v>0</v>
      </c>
      <c r="AR75" s="16">
        <f t="shared" si="101"/>
        <v>375000</v>
      </c>
      <c r="AS75" s="16">
        <f t="shared" si="101"/>
        <v>22200</v>
      </c>
      <c r="AT75" s="16">
        <f t="shared" si="101"/>
        <v>0</v>
      </c>
      <c r="AU75" s="16">
        <f t="shared" si="101"/>
        <v>0</v>
      </c>
      <c r="AV75" s="16">
        <f t="shared" si="101"/>
        <v>0</v>
      </c>
      <c r="AW75" s="16">
        <f t="shared" si="101"/>
        <v>17830</v>
      </c>
      <c r="AX75" s="16">
        <f t="shared" si="101"/>
        <v>10000</v>
      </c>
      <c r="AY75" s="16">
        <f t="shared" si="101"/>
        <v>0</v>
      </c>
      <c r="AZ75" s="16">
        <f t="shared" si="101"/>
        <v>6948</v>
      </c>
      <c r="BA75" s="16">
        <f t="shared" si="101"/>
        <v>7285</v>
      </c>
      <c r="BB75" s="16">
        <f t="shared" si="101"/>
        <v>0</v>
      </c>
      <c r="BC75" s="16">
        <f t="shared" si="101"/>
        <v>0</v>
      </c>
      <c r="BD75" s="16">
        <f t="shared" si="101"/>
        <v>0</v>
      </c>
      <c r="BE75" s="16">
        <f t="shared" si="101"/>
        <v>0</v>
      </c>
      <c r="BF75" s="16">
        <f t="shared" si="101"/>
        <v>0</v>
      </c>
      <c r="BG75" s="16">
        <f t="shared" si="101"/>
        <v>0</v>
      </c>
      <c r="BH75" s="16">
        <f t="shared" si="101"/>
        <v>0</v>
      </c>
      <c r="BI75" s="16">
        <f t="shared" si="101"/>
        <v>0</v>
      </c>
      <c r="BJ75" s="16">
        <f t="shared" si="101"/>
        <v>0</v>
      </c>
      <c r="BK75" s="16">
        <f t="shared" si="101"/>
        <v>0</v>
      </c>
      <c r="BL75" s="16">
        <f t="shared" si="101"/>
        <v>0</v>
      </c>
      <c r="BM75" s="16">
        <f t="shared" si="101"/>
        <v>7285</v>
      </c>
      <c r="BN75" s="16">
        <f t="shared" si="101"/>
        <v>0</v>
      </c>
      <c r="BO75" s="16">
        <f t="shared" si="101"/>
        <v>0</v>
      </c>
      <c r="BP75" s="16">
        <f t="shared" si="101"/>
        <v>0</v>
      </c>
      <c r="BQ75" s="16">
        <f t="shared" si="101"/>
        <v>0</v>
      </c>
      <c r="BR75" s="16">
        <f t="shared" si="101"/>
        <v>0</v>
      </c>
      <c r="BS75" s="16">
        <f t="shared" ref="BS75:CW75" si="102">SUM(BS76)</f>
        <v>0</v>
      </c>
      <c r="BT75" s="16">
        <f t="shared" si="102"/>
        <v>0</v>
      </c>
      <c r="BU75" s="16">
        <f t="shared" si="102"/>
        <v>0</v>
      </c>
      <c r="BV75" s="16">
        <f t="shared" si="102"/>
        <v>0</v>
      </c>
      <c r="BW75" s="16">
        <f t="shared" si="102"/>
        <v>7285</v>
      </c>
      <c r="BX75" s="16">
        <f t="shared" si="102"/>
        <v>0</v>
      </c>
      <c r="BY75" s="16">
        <f t="shared" si="102"/>
        <v>676784</v>
      </c>
      <c r="BZ75" s="16">
        <f t="shared" si="102"/>
        <v>676784</v>
      </c>
      <c r="CA75" s="16">
        <f t="shared" si="102"/>
        <v>676784</v>
      </c>
      <c r="CB75" s="16">
        <f t="shared" si="102"/>
        <v>0</v>
      </c>
      <c r="CC75" s="16">
        <f t="shared" si="102"/>
        <v>676784</v>
      </c>
      <c r="CD75" s="16">
        <f t="shared" si="102"/>
        <v>0</v>
      </c>
      <c r="CE75" s="16">
        <f t="shared" si="102"/>
        <v>0</v>
      </c>
      <c r="CF75" s="16">
        <f t="shared" si="102"/>
        <v>0</v>
      </c>
      <c r="CG75" s="16">
        <f t="shared" si="102"/>
        <v>0</v>
      </c>
      <c r="CH75" s="16">
        <f t="shared" si="102"/>
        <v>0</v>
      </c>
      <c r="CI75" s="16">
        <f t="shared" si="102"/>
        <v>0</v>
      </c>
      <c r="CJ75" s="16">
        <f t="shared" si="102"/>
        <v>0</v>
      </c>
      <c r="CK75" s="16">
        <f t="shared" si="102"/>
        <v>0</v>
      </c>
      <c r="CL75" s="16">
        <f t="shared" si="102"/>
        <v>0</v>
      </c>
      <c r="CM75" s="16">
        <f t="shared" si="102"/>
        <v>0</v>
      </c>
      <c r="CN75" s="16">
        <f t="shared" si="102"/>
        <v>0</v>
      </c>
      <c r="CO75" s="16">
        <f t="shared" si="102"/>
        <v>0</v>
      </c>
      <c r="CP75" s="16">
        <f t="shared" si="102"/>
        <v>0</v>
      </c>
      <c r="CQ75" s="16">
        <f t="shared" si="102"/>
        <v>0</v>
      </c>
      <c r="CR75" s="16">
        <f t="shared" si="102"/>
        <v>0</v>
      </c>
      <c r="CS75" s="16">
        <f t="shared" si="102"/>
        <v>0</v>
      </c>
      <c r="CT75" s="16">
        <f t="shared" si="102"/>
        <v>0</v>
      </c>
      <c r="CU75" s="16">
        <f t="shared" si="102"/>
        <v>0</v>
      </c>
      <c r="CV75" s="16">
        <f t="shared" si="102"/>
        <v>0</v>
      </c>
      <c r="CW75" s="17">
        <f t="shared" si="102"/>
        <v>0</v>
      </c>
      <c r="CX75" s="40"/>
    </row>
    <row r="76" spans="1:102" ht="15.75" hidden="1" x14ac:dyDescent="0.25">
      <c r="A76" s="13" t="s">
        <v>1</v>
      </c>
      <c r="B76" s="14" t="s">
        <v>1</v>
      </c>
      <c r="C76" s="14" t="s">
        <v>102</v>
      </c>
      <c r="D76" s="30" t="s">
        <v>103</v>
      </c>
      <c r="E76" s="15">
        <f>SUM(F76+BY76+CT76)</f>
        <v>18903438</v>
      </c>
      <c r="F76" s="16">
        <f>SUM(G76+BA76)</f>
        <v>18226654</v>
      </c>
      <c r="G76" s="16">
        <f>SUM(H76+I76+J76+Q76+T76+U76+V76+AE76)</f>
        <v>18219369</v>
      </c>
      <c r="H76" s="16">
        <f>15116357+95999</f>
        <v>15212356</v>
      </c>
      <c r="I76" s="16">
        <f>545155+21163</f>
        <v>566318</v>
      </c>
      <c r="J76" s="16">
        <f t="shared" ref="J76:J145" si="103">SUM(K76:P76)</f>
        <v>1475820</v>
      </c>
      <c r="K76" s="16">
        <v>0</v>
      </c>
      <c r="L76" s="16">
        <v>660831</v>
      </c>
      <c r="M76" s="16">
        <v>0</v>
      </c>
      <c r="N76" s="16">
        <v>0</v>
      </c>
      <c r="O76" s="16">
        <f>425774-17830</f>
        <v>407944</v>
      </c>
      <c r="P76" s="16">
        <f>300947+106098</f>
        <v>407045</v>
      </c>
      <c r="Q76" s="16">
        <f t="shared" ref="Q76:Q145" si="104">SUM(R76:S76)</f>
        <v>9038</v>
      </c>
      <c r="R76" s="16">
        <v>826</v>
      </c>
      <c r="S76" s="16">
        <v>8212</v>
      </c>
      <c r="T76" s="16">
        <v>0</v>
      </c>
      <c r="U76" s="16">
        <v>253226</v>
      </c>
      <c r="V76" s="16">
        <f>SUM(W76:AD76)</f>
        <v>212427</v>
      </c>
      <c r="W76" s="16">
        <v>49509</v>
      </c>
      <c r="X76" s="16">
        <v>87262</v>
      </c>
      <c r="Y76" s="16">
        <v>59214</v>
      </c>
      <c r="Z76" s="16">
        <v>7820</v>
      </c>
      <c r="AA76" s="16">
        <v>8622</v>
      </c>
      <c r="AB76" s="16">
        <v>0</v>
      </c>
      <c r="AC76" s="16">
        <v>0</v>
      </c>
      <c r="AD76" s="16">
        <v>0</v>
      </c>
      <c r="AE76" s="16">
        <f>SUM(AF76:AZ76)</f>
        <v>490184</v>
      </c>
      <c r="AF76" s="16">
        <v>0</v>
      </c>
      <c r="AG76" s="16">
        <v>1976</v>
      </c>
      <c r="AH76" s="16">
        <v>37809</v>
      </c>
      <c r="AI76" s="16">
        <v>1591</v>
      </c>
      <c r="AJ76" s="16">
        <v>0</v>
      </c>
      <c r="AK76" s="16">
        <v>0</v>
      </c>
      <c r="AL76" s="16">
        <f>161098-161098</f>
        <v>0</v>
      </c>
      <c r="AM76" s="16">
        <v>0</v>
      </c>
      <c r="AN76" s="16">
        <v>14550</v>
      </c>
      <c r="AO76" s="16">
        <v>2280</v>
      </c>
      <c r="AP76" s="16"/>
      <c r="AQ76" s="16">
        <v>0</v>
      </c>
      <c r="AR76" s="16">
        <v>375000</v>
      </c>
      <c r="AS76" s="16">
        <v>22200</v>
      </c>
      <c r="AT76" s="16">
        <v>0</v>
      </c>
      <c r="AU76" s="16">
        <v>0</v>
      </c>
      <c r="AV76" s="16">
        <v>0</v>
      </c>
      <c r="AW76" s="16">
        <f>0+17830</f>
        <v>17830</v>
      </c>
      <c r="AX76" s="16">
        <v>10000</v>
      </c>
      <c r="AY76" s="16"/>
      <c r="AZ76" s="16">
        <f>4948+2000</f>
        <v>6948</v>
      </c>
      <c r="BA76" s="16">
        <f>SUM(BB76+BF76+BI76+BK76+BM76)</f>
        <v>7285</v>
      </c>
      <c r="BB76" s="16">
        <f>SUM(BC76:BE76)</f>
        <v>0</v>
      </c>
      <c r="BC76" s="16">
        <v>0</v>
      </c>
      <c r="BD76" s="16">
        <v>0</v>
      </c>
      <c r="BE76" s="16">
        <v>0</v>
      </c>
      <c r="BF76" s="16">
        <f t="shared" ref="BF76:BF145" si="105">SUM(BG76:BH76)</f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f t="shared" ref="BK76:BK145" si="106">SUM(BL76)</f>
        <v>0</v>
      </c>
      <c r="BL76" s="16">
        <v>0</v>
      </c>
      <c r="BM76" s="16">
        <f t="shared" ref="BM76:BM145" si="107">SUM(BN76:BX76)</f>
        <v>7285</v>
      </c>
      <c r="BN76" s="16">
        <v>0</v>
      </c>
      <c r="BO76" s="16"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7285</v>
      </c>
      <c r="BX76" s="16">
        <v>0</v>
      </c>
      <c r="BY76" s="16">
        <f>SUM(BZ76+CS76)</f>
        <v>676784</v>
      </c>
      <c r="BZ76" s="16">
        <f>SUM(CA76+CD76+CK76)</f>
        <v>676784</v>
      </c>
      <c r="CA76" s="16">
        <f t="shared" ref="CA76:CA145" si="108">SUM(CB76:CC76)</f>
        <v>676784</v>
      </c>
      <c r="CB76" s="16">
        <v>0</v>
      </c>
      <c r="CC76" s="16">
        <f>623784+53000</f>
        <v>676784</v>
      </c>
      <c r="CD76" s="16">
        <f t="shared" ref="CD76:CD145" si="109">SUM(CE76:CI76)</f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f t="shared" ref="CK76:CK145" si="110">SUM(CL76:CP76)</f>
        <v>0</v>
      </c>
      <c r="CL76" s="16">
        <v>0</v>
      </c>
      <c r="CM76" s="16">
        <v>0</v>
      </c>
      <c r="CN76" s="16">
        <v>0</v>
      </c>
      <c r="CO76" s="16">
        <v>0</v>
      </c>
      <c r="CP76" s="16">
        <v>0</v>
      </c>
      <c r="CQ76" s="16"/>
      <c r="CR76" s="16"/>
      <c r="CS76" s="16">
        <v>0</v>
      </c>
      <c r="CT76" s="16">
        <f t="shared" ref="CT76:CT145" si="111">SUM(CU76)</f>
        <v>0</v>
      </c>
      <c r="CU76" s="16">
        <f t="shared" ref="CU76:CU145" si="112">SUM(CV76:CW76)</f>
        <v>0</v>
      </c>
      <c r="CV76" s="16">
        <v>0</v>
      </c>
      <c r="CW76" s="17">
        <v>0</v>
      </c>
      <c r="CX76" s="40"/>
    </row>
    <row r="77" spans="1:102" ht="31.5" hidden="1" x14ac:dyDescent="0.25">
      <c r="A77" s="13" t="s">
        <v>50</v>
      </c>
      <c r="B77" s="14" t="s">
        <v>54</v>
      </c>
      <c r="C77" s="14" t="s">
        <v>1</v>
      </c>
      <c r="D77" s="30" t="s">
        <v>104</v>
      </c>
      <c r="E77" s="15">
        <f t="shared" ref="E77:AJ77" si="113">SUM(E78)</f>
        <v>27112458</v>
      </c>
      <c r="F77" s="16">
        <f t="shared" si="113"/>
        <v>26021927</v>
      </c>
      <c r="G77" s="16">
        <f t="shared" si="113"/>
        <v>26012168</v>
      </c>
      <c r="H77" s="16">
        <f t="shared" si="113"/>
        <v>21000000</v>
      </c>
      <c r="I77" s="16">
        <f t="shared" si="113"/>
        <v>1150805</v>
      </c>
      <c r="J77" s="16">
        <f t="shared" si="113"/>
        <v>2411610</v>
      </c>
      <c r="K77" s="16">
        <f t="shared" si="113"/>
        <v>0</v>
      </c>
      <c r="L77" s="16">
        <f t="shared" si="113"/>
        <v>608859</v>
      </c>
      <c r="M77" s="16">
        <f t="shared" si="113"/>
        <v>0</v>
      </c>
      <c r="N77" s="16">
        <f t="shared" si="113"/>
        <v>0</v>
      </c>
      <c r="O77" s="16">
        <f t="shared" si="113"/>
        <v>737485</v>
      </c>
      <c r="P77" s="16">
        <f t="shared" si="113"/>
        <v>1065266</v>
      </c>
      <c r="Q77" s="16">
        <f t="shared" si="113"/>
        <v>1127</v>
      </c>
      <c r="R77" s="16">
        <f t="shared" si="113"/>
        <v>1127</v>
      </c>
      <c r="S77" s="16">
        <f t="shared" si="113"/>
        <v>0</v>
      </c>
      <c r="T77" s="16">
        <f t="shared" si="113"/>
        <v>0</v>
      </c>
      <c r="U77" s="16">
        <f t="shared" si="113"/>
        <v>194708</v>
      </c>
      <c r="V77" s="16">
        <f t="shared" si="113"/>
        <v>116828</v>
      </c>
      <c r="W77" s="16">
        <f t="shared" si="113"/>
        <v>35575</v>
      </c>
      <c r="X77" s="16">
        <f t="shared" si="113"/>
        <v>17420</v>
      </c>
      <c r="Y77" s="16">
        <f t="shared" si="113"/>
        <v>30181</v>
      </c>
      <c r="Z77" s="16">
        <f t="shared" si="113"/>
        <v>4415</v>
      </c>
      <c r="AA77" s="16">
        <f t="shared" si="113"/>
        <v>3782</v>
      </c>
      <c r="AB77" s="16">
        <f t="shared" si="113"/>
        <v>17520</v>
      </c>
      <c r="AC77" s="16">
        <f t="shared" si="113"/>
        <v>0</v>
      </c>
      <c r="AD77" s="16">
        <f t="shared" si="113"/>
        <v>7935</v>
      </c>
      <c r="AE77" s="16">
        <f t="shared" si="113"/>
        <v>1137090</v>
      </c>
      <c r="AF77" s="16">
        <f t="shared" si="113"/>
        <v>0</v>
      </c>
      <c r="AG77" s="16">
        <f t="shared" si="113"/>
        <v>206340</v>
      </c>
      <c r="AH77" s="16">
        <f t="shared" si="113"/>
        <v>48322</v>
      </c>
      <c r="AI77" s="16">
        <f t="shared" si="113"/>
        <v>0</v>
      </c>
      <c r="AJ77" s="16">
        <f t="shared" si="113"/>
        <v>13181</v>
      </c>
      <c r="AK77" s="16">
        <f t="shared" ref="AK77:BR77" si="114">SUM(AK78)</f>
        <v>39053</v>
      </c>
      <c r="AL77" s="16">
        <f t="shared" si="114"/>
        <v>0</v>
      </c>
      <c r="AM77" s="16">
        <f t="shared" si="114"/>
        <v>100000</v>
      </c>
      <c r="AN77" s="16">
        <f t="shared" si="114"/>
        <v>18042</v>
      </c>
      <c r="AO77" s="16">
        <f t="shared" si="114"/>
        <v>24815</v>
      </c>
      <c r="AP77" s="16">
        <f t="shared" si="114"/>
        <v>0</v>
      </c>
      <c r="AQ77" s="16">
        <f t="shared" si="114"/>
        <v>0</v>
      </c>
      <c r="AR77" s="16">
        <f t="shared" si="114"/>
        <v>174188</v>
      </c>
      <c r="AS77" s="16">
        <f t="shared" si="114"/>
        <v>0</v>
      </c>
      <c r="AT77" s="16">
        <f t="shared" si="114"/>
        <v>0</v>
      </c>
      <c r="AU77" s="16">
        <f t="shared" si="114"/>
        <v>0</v>
      </c>
      <c r="AV77" s="16">
        <f t="shared" si="114"/>
        <v>0</v>
      </c>
      <c r="AW77" s="16">
        <f t="shared" si="114"/>
        <v>0</v>
      </c>
      <c r="AX77" s="16">
        <f t="shared" si="114"/>
        <v>0</v>
      </c>
      <c r="AY77" s="16">
        <f t="shared" si="114"/>
        <v>0</v>
      </c>
      <c r="AZ77" s="16">
        <f t="shared" si="114"/>
        <v>513149</v>
      </c>
      <c r="BA77" s="16">
        <f t="shared" si="114"/>
        <v>9759</v>
      </c>
      <c r="BB77" s="16">
        <f t="shared" si="114"/>
        <v>0</v>
      </c>
      <c r="BC77" s="16">
        <f t="shared" si="114"/>
        <v>0</v>
      </c>
      <c r="BD77" s="16">
        <f t="shared" si="114"/>
        <v>0</v>
      </c>
      <c r="BE77" s="16">
        <f t="shared" si="114"/>
        <v>0</v>
      </c>
      <c r="BF77" s="16">
        <f t="shared" si="114"/>
        <v>0</v>
      </c>
      <c r="BG77" s="16">
        <f t="shared" si="114"/>
        <v>0</v>
      </c>
      <c r="BH77" s="16">
        <f t="shared" si="114"/>
        <v>0</v>
      </c>
      <c r="BI77" s="16">
        <f t="shared" si="114"/>
        <v>0</v>
      </c>
      <c r="BJ77" s="16">
        <f t="shared" si="114"/>
        <v>0</v>
      </c>
      <c r="BK77" s="16">
        <f t="shared" si="114"/>
        <v>0</v>
      </c>
      <c r="BL77" s="16">
        <f t="shared" si="114"/>
        <v>0</v>
      </c>
      <c r="BM77" s="16">
        <f t="shared" si="114"/>
        <v>9759</v>
      </c>
      <c r="BN77" s="16">
        <f t="shared" si="114"/>
        <v>0</v>
      </c>
      <c r="BO77" s="16">
        <f t="shared" si="114"/>
        <v>0</v>
      </c>
      <c r="BP77" s="16">
        <f t="shared" si="114"/>
        <v>0</v>
      </c>
      <c r="BQ77" s="16">
        <f t="shared" si="114"/>
        <v>0</v>
      </c>
      <c r="BR77" s="16">
        <f t="shared" si="114"/>
        <v>0</v>
      </c>
      <c r="BS77" s="16">
        <f t="shared" ref="BS77:CW77" si="115">SUM(BS78)</f>
        <v>0</v>
      </c>
      <c r="BT77" s="16">
        <f t="shared" si="115"/>
        <v>0</v>
      </c>
      <c r="BU77" s="16">
        <f t="shared" si="115"/>
        <v>0</v>
      </c>
      <c r="BV77" s="16">
        <f t="shared" si="115"/>
        <v>0</v>
      </c>
      <c r="BW77" s="16">
        <f t="shared" si="115"/>
        <v>9759</v>
      </c>
      <c r="BX77" s="16">
        <f t="shared" si="115"/>
        <v>0</v>
      </c>
      <c r="BY77" s="16">
        <f t="shared" si="115"/>
        <v>1090531</v>
      </c>
      <c r="BZ77" s="16">
        <f t="shared" si="115"/>
        <v>1090531</v>
      </c>
      <c r="CA77" s="16">
        <f t="shared" si="115"/>
        <v>790531</v>
      </c>
      <c r="CB77" s="16">
        <f t="shared" si="115"/>
        <v>0</v>
      </c>
      <c r="CC77" s="16">
        <f t="shared" si="115"/>
        <v>790531</v>
      </c>
      <c r="CD77" s="16">
        <f t="shared" si="115"/>
        <v>0</v>
      </c>
      <c r="CE77" s="16">
        <f t="shared" si="115"/>
        <v>0</v>
      </c>
      <c r="CF77" s="16">
        <f t="shared" si="115"/>
        <v>0</v>
      </c>
      <c r="CG77" s="16">
        <f t="shared" si="115"/>
        <v>0</v>
      </c>
      <c r="CH77" s="16">
        <f t="shared" si="115"/>
        <v>0</v>
      </c>
      <c r="CI77" s="16">
        <f t="shared" si="115"/>
        <v>0</v>
      </c>
      <c r="CJ77" s="16">
        <f t="shared" si="115"/>
        <v>0</v>
      </c>
      <c r="CK77" s="16">
        <f t="shared" si="115"/>
        <v>300000</v>
      </c>
      <c r="CL77" s="16">
        <f t="shared" si="115"/>
        <v>0</v>
      </c>
      <c r="CM77" s="16">
        <f t="shared" si="115"/>
        <v>0</v>
      </c>
      <c r="CN77" s="16">
        <f t="shared" si="115"/>
        <v>0</v>
      </c>
      <c r="CO77" s="16">
        <f t="shared" si="115"/>
        <v>300000</v>
      </c>
      <c r="CP77" s="16">
        <f t="shared" si="115"/>
        <v>0</v>
      </c>
      <c r="CQ77" s="16">
        <f>SUM(CQ78)</f>
        <v>0</v>
      </c>
      <c r="CR77" s="16">
        <f>SUM(CR78)</f>
        <v>0</v>
      </c>
      <c r="CS77" s="16">
        <f t="shared" si="115"/>
        <v>0</v>
      </c>
      <c r="CT77" s="16">
        <f t="shared" si="115"/>
        <v>0</v>
      </c>
      <c r="CU77" s="16">
        <f t="shared" si="115"/>
        <v>0</v>
      </c>
      <c r="CV77" s="16">
        <f t="shared" si="115"/>
        <v>0</v>
      </c>
      <c r="CW77" s="17">
        <f t="shared" si="115"/>
        <v>0</v>
      </c>
      <c r="CX77" s="40"/>
    </row>
    <row r="78" spans="1:102" ht="15.75" hidden="1" x14ac:dyDescent="0.25">
      <c r="A78" s="13" t="s">
        <v>1</v>
      </c>
      <c r="B78" s="14" t="s">
        <v>1</v>
      </c>
      <c r="C78" s="14" t="s">
        <v>105</v>
      </c>
      <c r="D78" s="30" t="s">
        <v>106</v>
      </c>
      <c r="E78" s="15">
        <f>SUM(F78+BY78+CT78)</f>
        <v>27112458</v>
      </c>
      <c r="F78" s="16">
        <f>SUM(G78+BA78)</f>
        <v>26021927</v>
      </c>
      <c r="G78" s="16">
        <f>SUM(H78+I78+J78+Q78+T78+U78+V78+AE78)</f>
        <v>26012168</v>
      </c>
      <c r="H78" s="16">
        <f>17399118+3600882</f>
        <v>21000000</v>
      </c>
      <c r="I78" s="16">
        <v>1150805</v>
      </c>
      <c r="J78" s="16">
        <f t="shared" si="103"/>
        <v>2411610</v>
      </c>
      <c r="K78" s="16">
        <v>0</v>
      </c>
      <c r="L78" s="16">
        <f>908859-300000</f>
        <v>608859</v>
      </c>
      <c r="M78" s="16">
        <v>0</v>
      </c>
      <c r="N78" s="16">
        <v>0</v>
      </c>
      <c r="O78" s="16">
        <v>737485</v>
      </c>
      <c r="P78" s="16">
        <f>695266+370000</f>
        <v>1065266</v>
      </c>
      <c r="Q78" s="16">
        <f t="shared" si="104"/>
        <v>1127</v>
      </c>
      <c r="R78" s="16">
        <v>1127</v>
      </c>
      <c r="S78" s="16">
        <v>0</v>
      </c>
      <c r="T78" s="16">
        <v>0</v>
      </c>
      <c r="U78" s="16">
        <v>194708</v>
      </c>
      <c r="V78" s="16">
        <f>SUM(W78:AD78)</f>
        <v>116828</v>
      </c>
      <c r="W78" s="16">
        <v>35575</v>
      </c>
      <c r="X78" s="16">
        <v>17420</v>
      </c>
      <c r="Y78" s="16">
        <v>30181</v>
      </c>
      <c r="Z78" s="16">
        <v>4415</v>
      </c>
      <c r="AA78" s="16">
        <v>3782</v>
      </c>
      <c r="AB78" s="16">
        <v>17520</v>
      </c>
      <c r="AC78" s="16">
        <v>0</v>
      </c>
      <c r="AD78" s="16">
        <v>7935</v>
      </c>
      <c r="AE78" s="16">
        <f>SUM(AF78:AZ78)</f>
        <v>1137090</v>
      </c>
      <c r="AF78" s="16">
        <v>0</v>
      </c>
      <c r="AG78" s="16">
        <v>206340</v>
      </c>
      <c r="AH78" s="16">
        <v>48322</v>
      </c>
      <c r="AI78" s="16">
        <v>0</v>
      </c>
      <c r="AJ78" s="16">
        <v>13181</v>
      </c>
      <c r="AK78" s="16">
        <f>0+39053</f>
        <v>39053</v>
      </c>
      <c r="AL78" s="16">
        <f>139053-139053</f>
        <v>0</v>
      </c>
      <c r="AM78" s="16">
        <f>0+100000</f>
        <v>100000</v>
      </c>
      <c r="AN78" s="16">
        <v>18042</v>
      </c>
      <c r="AO78" s="16">
        <v>24815</v>
      </c>
      <c r="AP78" s="16"/>
      <c r="AQ78" s="16">
        <v>0</v>
      </c>
      <c r="AR78" s="16">
        <v>174188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/>
      <c r="AZ78" s="16">
        <f>283149+230000</f>
        <v>513149</v>
      </c>
      <c r="BA78" s="16">
        <f>SUM(BB78+BF78+BI78+BK78+BM78)</f>
        <v>9759</v>
      </c>
      <c r="BB78" s="16">
        <f>SUM(BC78:BE78)</f>
        <v>0</v>
      </c>
      <c r="BC78" s="16">
        <v>0</v>
      </c>
      <c r="BD78" s="16">
        <v>0</v>
      </c>
      <c r="BE78" s="16">
        <v>0</v>
      </c>
      <c r="BF78" s="16">
        <f t="shared" si="105"/>
        <v>0</v>
      </c>
      <c r="BG78" s="16">
        <v>0</v>
      </c>
      <c r="BH78" s="16">
        <v>0</v>
      </c>
      <c r="BI78" s="16">
        <v>0</v>
      </c>
      <c r="BJ78" s="16">
        <v>0</v>
      </c>
      <c r="BK78" s="16">
        <f t="shared" si="106"/>
        <v>0</v>
      </c>
      <c r="BL78" s="16">
        <v>0</v>
      </c>
      <c r="BM78" s="16">
        <f t="shared" si="107"/>
        <v>9759</v>
      </c>
      <c r="BN78" s="16">
        <v>0</v>
      </c>
      <c r="BO78" s="16">
        <v>0</v>
      </c>
      <c r="BP78" s="16">
        <v>0</v>
      </c>
      <c r="BQ78" s="16">
        <v>0</v>
      </c>
      <c r="BR78" s="16">
        <v>0</v>
      </c>
      <c r="BS78" s="16">
        <v>0</v>
      </c>
      <c r="BT78" s="16">
        <v>0</v>
      </c>
      <c r="BU78" s="16">
        <v>0</v>
      </c>
      <c r="BV78" s="16">
        <v>0</v>
      </c>
      <c r="BW78" s="16">
        <v>9759</v>
      </c>
      <c r="BX78" s="16">
        <v>0</v>
      </c>
      <c r="BY78" s="16">
        <f>SUM(BZ78+CS78)</f>
        <v>1090531</v>
      </c>
      <c r="BZ78" s="16">
        <f>SUM(CA78+CD78+CK78)</f>
        <v>1090531</v>
      </c>
      <c r="CA78" s="16">
        <f t="shared" si="108"/>
        <v>790531</v>
      </c>
      <c r="CB78" s="16">
        <v>0</v>
      </c>
      <c r="CC78" s="16">
        <f>1390531-600000</f>
        <v>790531</v>
      </c>
      <c r="CD78" s="16">
        <f t="shared" si="109"/>
        <v>0</v>
      </c>
      <c r="CE78" s="16">
        <v>0</v>
      </c>
      <c r="CF78" s="16">
        <v>0</v>
      </c>
      <c r="CG78" s="16">
        <v>0</v>
      </c>
      <c r="CH78" s="16">
        <v>0</v>
      </c>
      <c r="CI78" s="16">
        <v>0</v>
      </c>
      <c r="CJ78" s="16">
        <v>0</v>
      </c>
      <c r="CK78" s="16">
        <f t="shared" si="110"/>
        <v>300000</v>
      </c>
      <c r="CL78" s="16">
        <v>0</v>
      </c>
      <c r="CM78" s="16">
        <v>0</v>
      </c>
      <c r="CN78" s="16">
        <v>0</v>
      </c>
      <c r="CO78" s="16">
        <f>0+300000</f>
        <v>300000</v>
      </c>
      <c r="CP78" s="16">
        <v>0</v>
      </c>
      <c r="CQ78" s="16"/>
      <c r="CR78" s="16"/>
      <c r="CS78" s="16">
        <v>0</v>
      </c>
      <c r="CT78" s="16">
        <f t="shared" si="111"/>
        <v>0</v>
      </c>
      <c r="CU78" s="16">
        <f t="shared" si="112"/>
        <v>0</v>
      </c>
      <c r="CV78" s="16">
        <v>0</v>
      </c>
      <c r="CW78" s="17">
        <v>0</v>
      </c>
      <c r="CX78" s="40"/>
    </row>
    <row r="79" spans="1:102" ht="15.75" hidden="1" x14ac:dyDescent="0.25">
      <c r="A79" s="13" t="s">
        <v>50</v>
      </c>
      <c r="B79" s="14" t="s">
        <v>107</v>
      </c>
      <c r="C79" s="14" t="s">
        <v>1</v>
      </c>
      <c r="D79" s="30" t="s">
        <v>108</v>
      </c>
      <c r="E79" s="15">
        <f t="shared" ref="E79:AJ79" si="116">SUM(E80)</f>
        <v>6813807</v>
      </c>
      <c r="F79" s="16">
        <f t="shared" si="116"/>
        <v>6714624</v>
      </c>
      <c r="G79" s="16">
        <f t="shared" si="116"/>
        <v>6708106</v>
      </c>
      <c r="H79" s="16">
        <f t="shared" si="116"/>
        <v>4917301</v>
      </c>
      <c r="I79" s="16">
        <f t="shared" si="116"/>
        <v>991754</v>
      </c>
      <c r="J79" s="16">
        <f t="shared" si="116"/>
        <v>337203</v>
      </c>
      <c r="K79" s="16">
        <f t="shared" si="116"/>
        <v>0</v>
      </c>
      <c r="L79" s="16">
        <f t="shared" si="116"/>
        <v>60905</v>
      </c>
      <c r="M79" s="16">
        <f t="shared" si="116"/>
        <v>0</v>
      </c>
      <c r="N79" s="16">
        <f t="shared" si="116"/>
        <v>0</v>
      </c>
      <c r="O79" s="16">
        <f t="shared" si="116"/>
        <v>209046</v>
      </c>
      <c r="P79" s="16">
        <f t="shared" si="116"/>
        <v>67252</v>
      </c>
      <c r="Q79" s="16">
        <f t="shared" si="116"/>
        <v>2259</v>
      </c>
      <c r="R79" s="16">
        <f t="shared" si="116"/>
        <v>2259</v>
      </c>
      <c r="S79" s="16">
        <f t="shared" si="116"/>
        <v>0</v>
      </c>
      <c r="T79" s="16">
        <f t="shared" si="116"/>
        <v>0</v>
      </c>
      <c r="U79" s="16">
        <f t="shared" si="116"/>
        <v>186901</v>
      </c>
      <c r="V79" s="16">
        <f t="shared" si="116"/>
        <v>69427</v>
      </c>
      <c r="W79" s="16">
        <f t="shared" si="116"/>
        <v>5430</v>
      </c>
      <c r="X79" s="16">
        <f t="shared" si="116"/>
        <v>35008</v>
      </c>
      <c r="Y79" s="16">
        <f t="shared" si="116"/>
        <v>19564</v>
      </c>
      <c r="Z79" s="16">
        <f t="shared" si="116"/>
        <v>2306</v>
      </c>
      <c r="AA79" s="16">
        <f t="shared" si="116"/>
        <v>6699</v>
      </c>
      <c r="AB79" s="16">
        <f t="shared" si="116"/>
        <v>0</v>
      </c>
      <c r="AC79" s="16">
        <f t="shared" si="116"/>
        <v>0</v>
      </c>
      <c r="AD79" s="16">
        <f t="shared" si="116"/>
        <v>420</v>
      </c>
      <c r="AE79" s="16">
        <f t="shared" si="116"/>
        <v>203261</v>
      </c>
      <c r="AF79" s="16">
        <f t="shared" si="116"/>
        <v>0</v>
      </c>
      <c r="AG79" s="16">
        <f t="shared" si="116"/>
        <v>15129</v>
      </c>
      <c r="AH79" s="16">
        <f t="shared" si="116"/>
        <v>15936</v>
      </c>
      <c r="AI79" s="16">
        <f t="shared" si="116"/>
        <v>0</v>
      </c>
      <c r="AJ79" s="16">
        <f t="shared" si="116"/>
        <v>1591</v>
      </c>
      <c r="AK79" s="16">
        <f t="shared" ref="AK79:BR79" si="117">SUM(AK80)</f>
        <v>0</v>
      </c>
      <c r="AL79" s="16">
        <f t="shared" si="117"/>
        <v>49591</v>
      </c>
      <c r="AM79" s="16">
        <f t="shared" si="117"/>
        <v>34955</v>
      </c>
      <c r="AN79" s="16">
        <f t="shared" si="117"/>
        <v>15627</v>
      </c>
      <c r="AO79" s="16">
        <f t="shared" si="117"/>
        <v>55065</v>
      </c>
      <c r="AP79" s="16">
        <f t="shared" si="117"/>
        <v>0</v>
      </c>
      <c r="AQ79" s="16">
        <f t="shared" si="117"/>
        <v>0</v>
      </c>
      <c r="AR79" s="16">
        <f t="shared" si="117"/>
        <v>15367</v>
      </c>
      <c r="AS79" s="16">
        <f t="shared" si="117"/>
        <v>0</v>
      </c>
      <c r="AT79" s="16">
        <f t="shared" si="117"/>
        <v>0</v>
      </c>
      <c r="AU79" s="16">
        <f t="shared" si="117"/>
        <v>0</v>
      </c>
      <c r="AV79" s="16">
        <f t="shared" si="117"/>
        <v>0</v>
      </c>
      <c r="AW79" s="16">
        <f t="shared" si="117"/>
        <v>0</v>
      </c>
      <c r="AX79" s="16">
        <f t="shared" si="117"/>
        <v>0</v>
      </c>
      <c r="AY79" s="16">
        <f t="shared" si="117"/>
        <v>0</v>
      </c>
      <c r="AZ79" s="16">
        <f t="shared" si="117"/>
        <v>0</v>
      </c>
      <c r="BA79" s="16">
        <f t="shared" si="117"/>
        <v>6518</v>
      </c>
      <c r="BB79" s="16">
        <f t="shared" si="117"/>
        <v>0</v>
      </c>
      <c r="BC79" s="16">
        <f t="shared" si="117"/>
        <v>0</v>
      </c>
      <c r="BD79" s="16">
        <f t="shared" si="117"/>
        <v>0</v>
      </c>
      <c r="BE79" s="16">
        <f t="shared" si="117"/>
        <v>0</v>
      </c>
      <c r="BF79" s="16">
        <f t="shared" si="117"/>
        <v>0</v>
      </c>
      <c r="BG79" s="16">
        <f t="shared" si="117"/>
        <v>0</v>
      </c>
      <c r="BH79" s="16">
        <f t="shared" si="117"/>
        <v>0</v>
      </c>
      <c r="BI79" s="16">
        <f t="shared" si="117"/>
        <v>0</v>
      </c>
      <c r="BJ79" s="16">
        <f t="shared" si="117"/>
        <v>0</v>
      </c>
      <c r="BK79" s="16">
        <f t="shared" si="117"/>
        <v>0</v>
      </c>
      <c r="BL79" s="16">
        <f t="shared" si="117"/>
        <v>0</v>
      </c>
      <c r="BM79" s="16">
        <f t="shared" si="117"/>
        <v>6518</v>
      </c>
      <c r="BN79" s="16">
        <f t="shared" si="117"/>
        <v>0</v>
      </c>
      <c r="BO79" s="16">
        <f t="shared" si="117"/>
        <v>0</v>
      </c>
      <c r="BP79" s="16">
        <f t="shared" si="117"/>
        <v>0</v>
      </c>
      <c r="BQ79" s="16">
        <f t="shared" si="117"/>
        <v>0</v>
      </c>
      <c r="BR79" s="16">
        <f t="shared" si="117"/>
        <v>0</v>
      </c>
      <c r="BS79" s="16">
        <f t="shared" ref="BS79:CW79" si="118">SUM(BS80)</f>
        <v>0</v>
      </c>
      <c r="BT79" s="16">
        <f t="shared" si="118"/>
        <v>0</v>
      </c>
      <c r="BU79" s="16">
        <f t="shared" si="118"/>
        <v>0</v>
      </c>
      <c r="BV79" s="16">
        <f t="shared" si="118"/>
        <v>0</v>
      </c>
      <c r="BW79" s="16">
        <f t="shared" si="118"/>
        <v>6518</v>
      </c>
      <c r="BX79" s="16">
        <f t="shared" si="118"/>
        <v>0</v>
      </c>
      <c r="BY79" s="16">
        <f t="shared" si="118"/>
        <v>99183</v>
      </c>
      <c r="BZ79" s="16">
        <f t="shared" si="118"/>
        <v>99183</v>
      </c>
      <c r="CA79" s="16">
        <f t="shared" si="118"/>
        <v>99183</v>
      </c>
      <c r="CB79" s="16">
        <f t="shared" si="118"/>
        <v>0</v>
      </c>
      <c r="CC79" s="16">
        <f t="shared" si="118"/>
        <v>99183</v>
      </c>
      <c r="CD79" s="16">
        <f t="shared" si="118"/>
        <v>0</v>
      </c>
      <c r="CE79" s="16">
        <f t="shared" si="118"/>
        <v>0</v>
      </c>
      <c r="CF79" s="16">
        <f t="shared" si="118"/>
        <v>0</v>
      </c>
      <c r="CG79" s="16">
        <f t="shared" si="118"/>
        <v>0</v>
      </c>
      <c r="CH79" s="16">
        <f t="shared" si="118"/>
        <v>0</v>
      </c>
      <c r="CI79" s="16">
        <f t="shared" si="118"/>
        <v>0</v>
      </c>
      <c r="CJ79" s="16">
        <f t="shared" si="118"/>
        <v>0</v>
      </c>
      <c r="CK79" s="16">
        <f t="shared" si="118"/>
        <v>0</v>
      </c>
      <c r="CL79" s="16">
        <f t="shared" si="118"/>
        <v>0</v>
      </c>
      <c r="CM79" s="16">
        <f t="shared" si="118"/>
        <v>0</v>
      </c>
      <c r="CN79" s="16">
        <f t="shared" si="118"/>
        <v>0</v>
      </c>
      <c r="CO79" s="16">
        <f t="shared" si="118"/>
        <v>0</v>
      </c>
      <c r="CP79" s="16">
        <f t="shared" si="118"/>
        <v>0</v>
      </c>
      <c r="CQ79" s="16">
        <f t="shared" si="118"/>
        <v>0</v>
      </c>
      <c r="CR79" s="16">
        <f t="shared" si="118"/>
        <v>0</v>
      </c>
      <c r="CS79" s="16">
        <f t="shared" si="118"/>
        <v>0</v>
      </c>
      <c r="CT79" s="16">
        <f t="shared" si="118"/>
        <v>0</v>
      </c>
      <c r="CU79" s="16">
        <f t="shared" si="118"/>
        <v>0</v>
      </c>
      <c r="CV79" s="16">
        <f t="shared" si="118"/>
        <v>0</v>
      </c>
      <c r="CW79" s="17">
        <f t="shared" si="118"/>
        <v>0</v>
      </c>
      <c r="CX79" s="40"/>
    </row>
    <row r="80" spans="1:102" ht="15.75" hidden="1" x14ac:dyDescent="0.25">
      <c r="A80" s="13" t="s">
        <v>1</v>
      </c>
      <c r="B80" s="14" t="s">
        <v>1</v>
      </c>
      <c r="C80" s="14" t="s">
        <v>109</v>
      </c>
      <c r="D80" s="30" t="s">
        <v>110</v>
      </c>
      <c r="E80" s="15">
        <f>SUM(F80+BY80+CT80)</f>
        <v>6813807</v>
      </c>
      <c r="F80" s="16">
        <f>SUM(G80+BA80)</f>
        <v>6714624</v>
      </c>
      <c r="G80" s="16">
        <f>SUM(H80+I80+J80+Q80+T80+U80+V80+AE80)</f>
        <v>6708106</v>
      </c>
      <c r="H80" s="16">
        <v>4917301</v>
      </c>
      <c r="I80" s="16">
        <v>991754</v>
      </c>
      <c r="J80" s="16">
        <f t="shared" si="103"/>
        <v>337203</v>
      </c>
      <c r="K80" s="16">
        <v>0</v>
      </c>
      <c r="L80" s="16">
        <v>60905</v>
      </c>
      <c r="M80" s="16">
        <v>0</v>
      </c>
      <c r="N80" s="16">
        <v>0</v>
      </c>
      <c r="O80" s="16">
        <v>209046</v>
      </c>
      <c r="P80" s="16">
        <v>67252</v>
      </c>
      <c r="Q80" s="16">
        <f t="shared" si="104"/>
        <v>2259</v>
      </c>
      <c r="R80" s="16">
        <v>2259</v>
      </c>
      <c r="S80" s="16">
        <v>0</v>
      </c>
      <c r="T80" s="16">
        <v>0</v>
      </c>
      <c r="U80" s="16">
        <v>186901</v>
      </c>
      <c r="V80" s="16">
        <f>SUM(W80:AD80)</f>
        <v>69427</v>
      </c>
      <c r="W80" s="16">
        <v>5430</v>
      </c>
      <c r="X80" s="16">
        <v>35008</v>
      </c>
      <c r="Y80" s="16">
        <v>19564</v>
      </c>
      <c r="Z80" s="16">
        <v>2306</v>
      </c>
      <c r="AA80" s="16">
        <v>6699</v>
      </c>
      <c r="AB80" s="16">
        <v>0</v>
      </c>
      <c r="AC80" s="16">
        <v>0</v>
      </c>
      <c r="AD80" s="16">
        <v>420</v>
      </c>
      <c r="AE80" s="16">
        <f>SUM(AF80:AZ80)</f>
        <v>203261</v>
      </c>
      <c r="AF80" s="16">
        <v>0</v>
      </c>
      <c r="AG80" s="16">
        <v>15129</v>
      </c>
      <c r="AH80" s="16">
        <v>15936</v>
      </c>
      <c r="AI80" s="16">
        <v>0</v>
      </c>
      <c r="AJ80" s="16">
        <v>1591</v>
      </c>
      <c r="AK80" s="16">
        <v>0</v>
      </c>
      <c r="AL80" s="16">
        <v>49591</v>
      </c>
      <c r="AM80" s="16">
        <v>34955</v>
      </c>
      <c r="AN80" s="16">
        <v>15627</v>
      </c>
      <c r="AO80" s="16">
        <v>55065</v>
      </c>
      <c r="AP80" s="16"/>
      <c r="AQ80" s="16">
        <v>0</v>
      </c>
      <c r="AR80" s="16">
        <v>15367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/>
      <c r="AZ80" s="16">
        <v>0</v>
      </c>
      <c r="BA80" s="16">
        <f>SUM(BB80+BF80+BI80+BK80+BM80)</f>
        <v>6518</v>
      </c>
      <c r="BB80" s="16">
        <f>SUM(BC80:BE80)</f>
        <v>0</v>
      </c>
      <c r="BC80" s="16">
        <v>0</v>
      </c>
      <c r="BD80" s="16">
        <v>0</v>
      </c>
      <c r="BE80" s="16">
        <v>0</v>
      </c>
      <c r="BF80" s="16">
        <f t="shared" si="105"/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f t="shared" si="106"/>
        <v>0</v>
      </c>
      <c r="BL80" s="16">
        <v>0</v>
      </c>
      <c r="BM80" s="16">
        <f t="shared" si="107"/>
        <v>6518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6">
        <v>0</v>
      </c>
      <c r="BU80" s="16">
        <v>0</v>
      </c>
      <c r="BV80" s="16">
        <v>0</v>
      </c>
      <c r="BW80" s="16">
        <v>6518</v>
      </c>
      <c r="BX80" s="16">
        <v>0</v>
      </c>
      <c r="BY80" s="16">
        <f>SUM(BZ80+CS80)</f>
        <v>99183</v>
      </c>
      <c r="BZ80" s="16">
        <f>SUM(CA80+CD80+CK80)</f>
        <v>99183</v>
      </c>
      <c r="CA80" s="16">
        <f t="shared" si="108"/>
        <v>99183</v>
      </c>
      <c r="CB80" s="16">
        <v>0</v>
      </c>
      <c r="CC80" s="16">
        <v>99183</v>
      </c>
      <c r="CD80" s="16">
        <f t="shared" si="109"/>
        <v>0</v>
      </c>
      <c r="CE80" s="16">
        <v>0</v>
      </c>
      <c r="CF80" s="16">
        <v>0</v>
      </c>
      <c r="CG80" s="16">
        <v>0</v>
      </c>
      <c r="CH80" s="16">
        <v>0</v>
      </c>
      <c r="CI80" s="16">
        <v>0</v>
      </c>
      <c r="CJ80" s="16">
        <v>0</v>
      </c>
      <c r="CK80" s="16">
        <f t="shared" si="110"/>
        <v>0</v>
      </c>
      <c r="CL80" s="16">
        <v>0</v>
      </c>
      <c r="CM80" s="16">
        <v>0</v>
      </c>
      <c r="CN80" s="16">
        <v>0</v>
      </c>
      <c r="CO80" s="16">
        <v>0</v>
      </c>
      <c r="CP80" s="16">
        <v>0</v>
      </c>
      <c r="CQ80" s="16"/>
      <c r="CR80" s="16"/>
      <c r="CS80" s="16">
        <v>0</v>
      </c>
      <c r="CT80" s="16">
        <f t="shared" si="111"/>
        <v>0</v>
      </c>
      <c r="CU80" s="16">
        <f t="shared" si="112"/>
        <v>0</v>
      </c>
      <c r="CV80" s="16">
        <v>0</v>
      </c>
      <c r="CW80" s="17">
        <v>0</v>
      </c>
      <c r="CX80" s="40"/>
    </row>
    <row r="81" spans="1:102" ht="15.75" hidden="1" x14ac:dyDescent="0.25">
      <c r="A81" s="13" t="s">
        <v>50</v>
      </c>
      <c r="B81" s="14" t="s">
        <v>111</v>
      </c>
      <c r="C81" s="14" t="s">
        <v>1</v>
      </c>
      <c r="D81" s="30" t="s">
        <v>112</v>
      </c>
      <c r="E81" s="15">
        <f t="shared" ref="E81:AJ81" si="119">SUM(E82)</f>
        <v>27439337</v>
      </c>
      <c r="F81" s="16">
        <f t="shared" si="119"/>
        <v>27003590</v>
      </c>
      <c r="G81" s="16">
        <f t="shared" si="119"/>
        <v>26545690</v>
      </c>
      <c r="H81" s="16">
        <f t="shared" si="119"/>
        <v>21418309</v>
      </c>
      <c r="I81" s="16">
        <f t="shared" si="119"/>
        <v>17441</v>
      </c>
      <c r="J81" s="16">
        <f t="shared" si="119"/>
        <v>3236194</v>
      </c>
      <c r="K81" s="16">
        <f t="shared" si="119"/>
        <v>8400</v>
      </c>
      <c r="L81" s="16">
        <f t="shared" si="119"/>
        <v>292442</v>
      </c>
      <c r="M81" s="16">
        <f t="shared" si="119"/>
        <v>0</v>
      </c>
      <c r="N81" s="16">
        <f t="shared" si="119"/>
        <v>0</v>
      </c>
      <c r="O81" s="16">
        <f t="shared" si="119"/>
        <v>2824635</v>
      </c>
      <c r="P81" s="16">
        <f t="shared" si="119"/>
        <v>110717</v>
      </c>
      <c r="Q81" s="16">
        <f t="shared" si="119"/>
        <v>298640</v>
      </c>
      <c r="R81" s="16">
        <f t="shared" si="119"/>
        <v>0</v>
      </c>
      <c r="S81" s="16">
        <f t="shared" si="119"/>
        <v>298640</v>
      </c>
      <c r="T81" s="16">
        <f t="shared" si="119"/>
        <v>0</v>
      </c>
      <c r="U81" s="16">
        <f t="shared" si="119"/>
        <v>104221</v>
      </c>
      <c r="V81" s="16">
        <f t="shared" si="119"/>
        <v>115720</v>
      </c>
      <c r="W81" s="16">
        <f t="shared" si="119"/>
        <v>63694</v>
      </c>
      <c r="X81" s="16">
        <f t="shared" si="119"/>
        <v>0</v>
      </c>
      <c r="Y81" s="16">
        <f t="shared" si="119"/>
        <v>35778</v>
      </c>
      <c r="Z81" s="16">
        <f t="shared" si="119"/>
        <v>7397</v>
      </c>
      <c r="AA81" s="16">
        <f t="shared" si="119"/>
        <v>4515</v>
      </c>
      <c r="AB81" s="16">
        <f t="shared" si="119"/>
        <v>0</v>
      </c>
      <c r="AC81" s="16">
        <f t="shared" si="119"/>
        <v>0</v>
      </c>
      <c r="AD81" s="16">
        <f t="shared" si="119"/>
        <v>4336</v>
      </c>
      <c r="AE81" s="16">
        <f t="shared" si="119"/>
        <v>1355165</v>
      </c>
      <c r="AF81" s="16">
        <f t="shared" si="119"/>
        <v>0</v>
      </c>
      <c r="AG81" s="16">
        <f t="shared" si="119"/>
        <v>0</v>
      </c>
      <c r="AH81" s="16">
        <f t="shared" si="119"/>
        <v>19640</v>
      </c>
      <c r="AI81" s="16">
        <f t="shared" si="119"/>
        <v>0</v>
      </c>
      <c r="AJ81" s="16">
        <f t="shared" si="119"/>
        <v>1591</v>
      </c>
      <c r="AK81" s="16">
        <f t="shared" ref="AK81:BR81" si="120">SUM(AK82)</f>
        <v>0</v>
      </c>
      <c r="AL81" s="16">
        <f t="shared" si="120"/>
        <v>217873</v>
      </c>
      <c r="AM81" s="16">
        <f t="shared" si="120"/>
        <v>4555</v>
      </c>
      <c r="AN81" s="16">
        <f t="shared" si="120"/>
        <v>52380</v>
      </c>
      <c r="AO81" s="16">
        <f t="shared" si="120"/>
        <v>0</v>
      </c>
      <c r="AP81" s="16">
        <f t="shared" si="120"/>
        <v>0</v>
      </c>
      <c r="AQ81" s="16">
        <f t="shared" si="120"/>
        <v>41355</v>
      </c>
      <c r="AR81" s="16">
        <f t="shared" si="120"/>
        <v>0</v>
      </c>
      <c r="AS81" s="16">
        <f t="shared" si="120"/>
        <v>20448</v>
      </c>
      <c r="AT81" s="16">
        <f t="shared" si="120"/>
        <v>0</v>
      </c>
      <c r="AU81" s="16">
        <f t="shared" si="120"/>
        <v>0</v>
      </c>
      <c r="AV81" s="16">
        <f t="shared" si="120"/>
        <v>0</v>
      </c>
      <c r="AW81" s="16">
        <f t="shared" si="120"/>
        <v>954751</v>
      </c>
      <c r="AX81" s="16">
        <f t="shared" si="120"/>
        <v>0</v>
      </c>
      <c r="AY81" s="16">
        <f t="shared" si="120"/>
        <v>0</v>
      </c>
      <c r="AZ81" s="16">
        <f t="shared" si="120"/>
        <v>42572</v>
      </c>
      <c r="BA81" s="16">
        <f t="shared" si="120"/>
        <v>457900</v>
      </c>
      <c r="BB81" s="16">
        <f t="shared" si="120"/>
        <v>0</v>
      </c>
      <c r="BC81" s="16">
        <f t="shared" si="120"/>
        <v>0</v>
      </c>
      <c r="BD81" s="16">
        <f t="shared" si="120"/>
        <v>0</v>
      </c>
      <c r="BE81" s="16">
        <f t="shared" si="120"/>
        <v>0</v>
      </c>
      <c r="BF81" s="16">
        <f t="shared" si="120"/>
        <v>0</v>
      </c>
      <c r="BG81" s="16">
        <f t="shared" si="120"/>
        <v>0</v>
      </c>
      <c r="BH81" s="16">
        <f t="shared" si="120"/>
        <v>0</v>
      </c>
      <c r="BI81" s="16">
        <f t="shared" si="120"/>
        <v>0</v>
      </c>
      <c r="BJ81" s="16">
        <f t="shared" si="120"/>
        <v>0</v>
      </c>
      <c r="BK81" s="16">
        <f t="shared" si="120"/>
        <v>6328</v>
      </c>
      <c r="BL81" s="16">
        <f t="shared" si="120"/>
        <v>6328</v>
      </c>
      <c r="BM81" s="16">
        <f t="shared" si="120"/>
        <v>451572</v>
      </c>
      <c r="BN81" s="16">
        <f t="shared" si="120"/>
        <v>0</v>
      </c>
      <c r="BO81" s="16">
        <f t="shared" si="120"/>
        <v>0</v>
      </c>
      <c r="BP81" s="16">
        <f t="shared" si="120"/>
        <v>0</v>
      </c>
      <c r="BQ81" s="16">
        <f t="shared" si="120"/>
        <v>0</v>
      </c>
      <c r="BR81" s="16">
        <f t="shared" si="120"/>
        <v>0</v>
      </c>
      <c r="BS81" s="16">
        <f t="shared" ref="BS81:CW81" si="121">SUM(BS82)</f>
        <v>0</v>
      </c>
      <c r="BT81" s="16">
        <f t="shared" si="121"/>
        <v>0</v>
      </c>
      <c r="BU81" s="16">
        <f t="shared" si="121"/>
        <v>0</v>
      </c>
      <c r="BV81" s="16">
        <f t="shared" si="121"/>
        <v>0</v>
      </c>
      <c r="BW81" s="16">
        <f t="shared" si="121"/>
        <v>0</v>
      </c>
      <c r="BX81" s="16">
        <f t="shared" si="121"/>
        <v>451572</v>
      </c>
      <c r="BY81" s="16">
        <f t="shared" si="121"/>
        <v>435747</v>
      </c>
      <c r="BZ81" s="16">
        <f t="shared" si="121"/>
        <v>435747</v>
      </c>
      <c r="CA81" s="16">
        <f t="shared" si="121"/>
        <v>435747</v>
      </c>
      <c r="CB81" s="16">
        <f t="shared" si="121"/>
        <v>0</v>
      </c>
      <c r="CC81" s="16">
        <f t="shared" si="121"/>
        <v>435747</v>
      </c>
      <c r="CD81" s="16">
        <f t="shared" si="121"/>
        <v>0</v>
      </c>
      <c r="CE81" s="16">
        <f t="shared" si="121"/>
        <v>0</v>
      </c>
      <c r="CF81" s="16">
        <f t="shared" si="121"/>
        <v>0</v>
      </c>
      <c r="CG81" s="16">
        <f t="shared" si="121"/>
        <v>0</v>
      </c>
      <c r="CH81" s="16">
        <f t="shared" si="121"/>
        <v>0</v>
      </c>
      <c r="CI81" s="16">
        <f t="shared" si="121"/>
        <v>0</v>
      </c>
      <c r="CJ81" s="16">
        <f t="shared" si="121"/>
        <v>0</v>
      </c>
      <c r="CK81" s="16">
        <f t="shared" si="121"/>
        <v>0</v>
      </c>
      <c r="CL81" s="16">
        <f t="shared" si="121"/>
        <v>0</v>
      </c>
      <c r="CM81" s="16">
        <f t="shared" si="121"/>
        <v>0</v>
      </c>
      <c r="CN81" s="16">
        <f t="shared" si="121"/>
        <v>0</v>
      </c>
      <c r="CO81" s="16">
        <f t="shared" si="121"/>
        <v>0</v>
      </c>
      <c r="CP81" s="16">
        <f t="shared" si="121"/>
        <v>0</v>
      </c>
      <c r="CQ81" s="16">
        <f t="shared" si="121"/>
        <v>0</v>
      </c>
      <c r="CR81" s="16">
        <f t="shared" si="121"/>
        <v>0</v>
      </c>
      <c r="CS81" s="16">
        <f t="shared" si="121"/>
        <v>0</v>
      </c>
      <c r="CT81" s="16">
        <f t="shared" si="121"/>
        <v>0</v>
      </c>
      <c r="CU81" s="16">
        <f t="shared" si="121"/>
        <v>0</v>
      </c>
      <c r="CV81" s="16">
        <f t="shared" si="121"/>
        <v>0</v>
      </c>
      <c r="CW81" s="17">
        <f t="shared" si="121"/>
        <v>0</v>
      </c>
      <c r="CX81" s="40"/>
    </row>
    <row r="82" spans="1:102" ht="15.75" hidden="1" x14ac:dyDescent="0.25">
      <c r="A82" s="13" t="s">
        <v>1</v>
      </c>
      <c r="B82" s="14" t="s">
        <v>1</v>
      </c>
      <c r="C82" s="14" t="s">
        <v>113</v>
      </c>
      <c r="D82" s="30" t="s">
        <v>114</v>
      </c>
      <c r="E82" s="15">
        <f>SUM(F82+BY82+CT82)</f>
        <v>27439337</v>
      </c>
      <c r="F82" s="16">
        <f>SUM(G82+BA82)</f>
        <v>27003590</v>
      </c>
      <c r="G82" s="16">
        <f>SUM(H82+I82+J82+Q82+T82+U82+V82+AE82)</f>
        <v>26545690</v>
      </c>
      <c r="H82" s="16">
        <v>21418309</v>
      </c>
      <c r="I82" s="16">
        <v>17441</v>
      </c>
      <c r="J82" s="16">
        <f t="shared" si="103"/>
        <v>3236194</v>
      </c>
      <c r="K82" s="16">
        <v>8400</v>
      </c>
      <c r="L82" s="16">
        <v>292442</v>
      </c>
      <c r="M82" s="16">
        <v>0</v>
      </c>
      <c r="N82" s="16">
        <v>0</v>
      </c>
      <c r="O82" s="16">
        <v>2824635</v>
      </c>
      <c r="P82" s="16">
        <v>110717</v>
      </c>
      <c r="Q82" s="16">
        <f t="shared" si="104"/>
        <v>298640</v>
      </c>
      <c r="R82" s="16">
        <v>0</v>
      </c>
      <c r="S82" s="16">
        <v>298640</v>
      </c>
      <c r="T82" s="16">
        <v>0</v>
      </c>
      <c r="U82" s="16">
        <v>104221</v>
      </c>
      <c r="V82" s="16">
        <f>SUM(W82:AD82)</f>
        <v>115720</v>
      </c>
      <c r="W82" s="16">
        <v>63694</v>
      </c>
      <c r="X82" s="16">
        <v>0</v>
      </c>
      <c r="Y82" s="16">
        <v>35778</v>
      </c>
      <c r="Z82" s="16">
        <v>7397</v>
      </c>
      <c r="AA82" s="16">
        <v>4515</v>
      </c>
      <c r="AB82" s="16">
        <v>0</v>
      </c>
      <c r="AC82" s="16">
        <v>0</v>
      </c>
      <c r="AD82" s="16">
        <v>4336</v>
      </c>
      <c r="AE82" s="16">
        <f>SUM(AF82:AZ82)</f>
        <v>1355165</v>
      </c>
      <c r="AF82" s="16">
        <v>0</v>
      </c>
      <c r="AG82" s="16">
        <v>0</v>
      </c>
      <c r="AH82" s="16">
        <v>19640</v>
      </c>
      <c r="AI82" s="16">
        <v>0</v>
      </c>
      <c r="AJ82" s="16">
        <v>1591</v>
      </c>
      <c r="AK82" s="16">
        <v>0</v>
      </c>
      <c r="AL82" s="16">
        <v>217873</v>
      </c>
      <c r="AM82" s="16">
        <v>4555</v>
      </c>
      <c r="AN82" s="16">
        <v>52380</v>
      </c>
      <c r="AO82" s="16">
        <v>0</v>
      </c>
      <c r="AP82" s="16">
        <v>0</v>
      </c>
      <c r="AQ82" s="16">
        <v>41355</v>
      </c>
      <c r="AR82" s="16">
        <v>0</v>
      </c>
      <c r="AS82" s="16">
        <v>20448</v>
      </c>
      <c r="AT82" s="16">
        <v>0</v>
      </c>
      <c r="AU82" s="16">
        <v>0</v>
      </c>
      <c r="AV82" s="16">
        <v>0</v>
      </c>
      <c r="AW82" s="16">
        <v>954751</v>
      </c>
      <c r="AX82" s="16">
        <v>0</v>
      </c>
      <c r="AY82" s="16">
        <v>0</v>
      </c>
      <c r="AZ82" s="16">
        <f>12572+30000</f>
        <v>42572</v>
      </c>
      <c r="BA82" s="16">
        <f>SUM(BB82+BF82+BI82+BK82+BM82)</f>
        <v>457900</v>
      </c>
      <c r="BB82" s="16">
        <f>SUM(BC82:BE82)</f>
        <v>0</v>
      </c>
      <c r="BC82" s="16">
        <v>0</v>
      </c>
      <c r="BD82" s="16">
        <v>0</v>
      </c>
      <c r="BE82" s="16">
        <v>0</v>
      </c>
      <c r="BF82" s="16">
        <f t="shared" si="105"/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f t="shared" si="106"/>
        <v>6328</v>
      </c>
      <c r="BL82" s="16">
        <v>6328</v>
      </c>
      <c r="BM82" s="16">
        <f t="shared" si="107"/>
        <v>451572</v>
      </c>
      <c r="BN82" s="16">
        <v>0</v>
      </c>
      <c r="BO82" s="16">
        <v>0</v>
      </c>
      <c r="BP82" s="16">
        <v>0</v>
      </c>
      <c r="BQ82" s="16">
        <v>0</v>
      </c>
      <c r="BR82" s="16">
        <v>0</v>
      </c>
      <c r="BS82" s="16">
        <v>0</v>
      </c>
      <c r="BT82" s="16">
        <v>0</v>
      </c>
      <c r="BU82" s="16">
        <v>0</v>
      </c>
      <c r="BV82" s="16">
        <v>0</v>
      </c>
      <c r="BW82" s="16">
        <v>0</v>
      </c>
      <c r="BX82" s="16">
        <f>481572-30000</f>
        <v>451572</v>
      </c>
      <c r="BY82" s="16">
        <f>SUM(BZ82+CS82)</f>
        <v>435747</v>
      </c>
      <c r="BZ82" s="16">
        <f>SUM(CA82+CD82+CK82)</f>
        <v>435747</v>
      </c>
      <c r="CA82" s="16">
        <f t="shared" si="108"/>
        <v>435747</v>
      </c>
      <c r="CB82" s="16">
        <v>0</v>
      </c>
      <c r="CC82" s="16">
        <v>435747</v>
      </c>
      <c r="CD82" s="16">
        <f t="shared" si="109"/>
        <v>0</v>
      </c>
      <c r="CE82" s="16">
        <v>0</v>
      </c>
      <c r="CF82" s="16">
        <v>0</v>
      </c>
      <c r="CG82" s="16">
        <v>0</v>
      </c>
      <c r="CH82" s="16">
        <v>0</v>
      </c>
      <c r="CI82" s="16">
        <v>0</v>
      </c>
      <c r="CJ82" s="16">
        <v>0</v>
      </c>
      <c r="CK82" s="16">
        <f t="shared" si="110"/>
        <v>0</v>
      </c>
      <c r="CL82" s="16">
        <v>0</v>
      </c>
      <c r="CM82" s="16">
        <v>0</v>
      </c>
      <c r="CN82" s="16">
        <v>0</v>
      </c>
      <c r="CO82" s="16">
        <v>0</v>
      </c>
      <c r="CP82" s="16">
        <v>0</v>
      </c>
      <c r="CQ82" s="16">
        <v>0</v>
      </c>
      <c r="CR82" s="16">
        <v>0</v>
      </c>
      <c r="CS82" s="16">
        <v>0</v>
      </c>
      <c r="CT82" s="16">
        <f t="shared" si="111"/>
        <v>0</v>
      </c>
      <c r="CU82" s="16">
        <f t="shared" si="112"/>
        <v>0</v>
      </c>
      <c r="CV82" s="16">
        <v>0</v>
      </c>
      <c r="CW82" s="17">
        <v>0</v>
      </c>
      <c r="CX82" s="40"/>
    </row>
    <row r="83" spans="1:102" ht="31.5" hidden="1" x14ac:dyDescent="0.25">
      <c r="A83" s="18" t="s">
        <v>115</v>
      </c>
      <c r="B83" s="19" t="s">
        <v>1</v>
      </c>
      <c r="C83" s="19" t="s">
        <v>1</v>
      </c>
      <c r="D83" s="31" t="s">
        <v>116</v>
      </c>
      <c r="E83" s="20">
        <f>SUM(E84+E87)</f>
        <v>19460736</v>
      </c>
      <c r="F83" s="21">
        <f t="shared" ref="F83:BS83" si="122">SUM(F84+F87)</f>
        <v>19441257</v>
      </c>
      <c r="G83" s="21">
        <f t="shared" si="122"/>
        <v>19427601</v>
      </c>
      <c r="H83" s="21">
        <f t="shared" si="122"/>
        <v>8497142</v>
      </c>
      <c r="I83" s="21">
        <f t="shared" si="122"/>
        <v>2058886</v>
      </c>
      <c r="J83" s="21">
        <f t="shared" si="122"/>
        <v>268389</v>
      </c>
      <c r="K83" s="21">
        <f t="shared" si="122"/>
        <v>0</v>
      </c>
      <c r="L83" s="21">
        <f t="shared" si="122"/>
        <v>0</v>
      </c>
      <c r="M83" s="21">
        <f t="shared" si="122"/>
        <v>0</v>
      </c>
      <c r="N83" s="21">
        <f t="shared" si="122"/>
        <v>0</v>
      </c>
      <c r="O83" s="21">
        <f t="shared" si="122"/>
        <v>248967</v>
      </c>
      <c r="P83" s="21">
        <f t="shared" si="122"/>
        <v>19422</v>
      </c>
      <c r="Q83" s="21">
        <f t="shared" si="122"/>
        <v>3330</v>
      </c>
      <c r="R83" s="21">
        <f t="shared" si="122"/>
        <v>1594</v>
      </c>
      <c r="S83" s="21">
        <f t="shared" si="122"/>
        <v>1736</v>
      </c>
      <c r="T83" s="21">
        <f t="shared" si="122"/>
        <v>0</v>
      </c>
      <c r="U83" s="21">
        <f t="shared" si="122"/>
        <v>52351</v>
      </c>
      <c r="V83" s="21">
        <f t="shared" si="122"/>
        <v>250372</v>
      </c>
      <c r="W83" s="21">
        <f t="shared" si="122"/>
        <v>0</v>
      </c>
      <c r="X83" s="21">
        <f t="shared" si="122"/>
        <v>146919</v>
      </c>
      <c r="Y83" s="21">
        <f t="shared" si="122"/>
        <v>64230</v>
      </c>
      <c r="Z83" s="21">
        <f t="shared" si="122"/>
        <v>36484</v>
      </c>
      <c r="AA83" s="21">
        <f t="shared" si="122"/>
        <v>2648</v>
      </c>
      <c r="AB83" s="21">
        <f t="shared" si="122"/>
        <v>0</v>
      </c>
      <c r="AC83" s="21">
        <f t="shared" si="122"/>
        <v>0</v>
      </c>
      <c r="AD83" s="21">
        <f t="shared" ref="AD83" si="123">SUM(AD84+AD87)</f>
        <v>91</v>
      </c>
      <c r="AE83" s="21">
        <f t="shared" si="122"/>
        <v>8297131</v>
      </c>
      <c r="AF83" s="21">
        <f t="shared" si="122"/>
        <v>8198891</v>
      </c>
      <c r="AG83" s="21">
        <f t="shared" si="122"/>
        <v>4246</v>
      </c>
      <c r="AH83" s="21">
        <f t="shared" si="122"/>
        <v>0</v>
      </c>
      <c r="AI83" s="21">
        <f t="shared" si="122"/>
        <v>0</v>
      </c>
      <c r="AJ83" s="21">
        <f t="shared" si="122"/>
        <v>2382</v>
      </c>
      <c r="AK83" s="21">
        <f t="shared" si="122"/>
        <v>0</v>
      </c>
      <c r="AL83" s="21">
        <f t="shared" si="122"/>
        <v>1842</v>
      </c>
      <c r="AM83" s="21">
        <f t="shared" si="122"/>
        <v>51398</v>
      </c>
      <c r="AN83" s="21">
        <f t="shared" si="122"/>
        <v>0</v>
      </c>
      <c r="AO83" s="21">
        <f t="shared" si="122"/>
        <v>0</v>
      </c>
      <c r="AP83" s="21">
        <f>SUM(AP84+AP87)</f>
        <v>0</v>
      </c>
      <c r="AQ83" s="21">
        <f t="shared" si="122"/>
        <v>0</v>
      </c>
      <c r="AR83" s="21">
        <f t="shared" si="122"/>
        <v>0</v>
      </c>
      <c r="AS83" s="21">
        <f t="shared" si="122"/>
        <v>0</v>
      </c>
      <c r="AT83" s="21">
        <f t="shared" si="122"/>
        <v>0</v>
      </c>
      <c r="AU83" s="21">
        <f t="shared" si="122"/>
        <v>0</v>
      </c>
      <c r="AV83" s="21">
        <f t="shared" si="122"/>
        <v>0</v>
      </c>
      <c r="AW83" s="21">
        <f t="shared" si="122"/>
        <v>0</v>
      </c>
      <c r="AX83" s="21">
        <f t="shared" si="122"/>
        <v>0</v>
      </c>
      <c r="AY83" s="21">
        <f t="shared" si="122"/>
        <v>38372</v>
      </c>
      <c r="AZ83" s="21">
        <f t="shared" si="122"/>
        <v>0</v>
      </c>
      <c r="BA83" s="21">
        <f t="shared" si="122"/>
        <v>13656</v>
      </c>
      <c r="BB83" s="21">
        <f t="shared" si="122"/>
        <v>0</v>
      </c>
      <c r="BC83" s="21">
        <f t="shared" si="122"/>
        <v>0</v>
      </c>
      <c r="BD83" s="21">
        <f t="shared" si="122"/>
        <v>0</v>
      </c>
      <c r="BE83" s="21">
        <f t="shared" si="122"/>
        <v>0</v>
      </c>
      <c r="BF83" s="21">
        <f t="shared" si="122"/>
        <v>0</v>
      </c>
      <c r="BG83" s="21">
        <f t="shared" si="122"/>
        <v>0</v>
      </c>
      <c r="BH83" s="21">
        <f t="shared" si="122"/>
        <v>0</v>
      </c>
      <c r="BI83" s="21">
        <f t="shared" si="122"/>
        <v>0</v>
      </c>
      <c r="BJ83" s="21">
        <f t="shared" si="122"/>
        <v>0</v>
      </c>
      <c r="BK83" s="21">
        <f t="shared" si="122"/>
        <v>0</v>
      </c>
      <c r="BL83" s="21">
        <f t="shared" si="122"/>
        <v>0</v>
      </c>
      <c r="BM83" s="21">
        <f t="shared" si="122"/>
        <v>13656</v>
      </c>
      <c r="BN83" s="21">
        <f t="shared" si="122"/>
        <v>0</v>
      </c>
      <c r="BO83" s="21">
        <f t="shared" si="122"/>
        <v>0</v>
      </c>
      <c r="BP83" s="21">
        <f t="shared" si="122"/>
        <v>13656</v>
      </c>
      <c r="BQ83" s="21">
        <f t="shared" si="122"/>
        <v>0</v>
      </c>
      <c r="BR83" s="21">
        <f t="shared" si="122"/>
        <v>0</v>
      </c>
      <c r="BS83" s="21">
        <f t="shared" si="122"/>
        <v>0</v>
      </c>
      <c r="BT83" s="21">
        <f t="shared" ref="BT83:CW83" si="124">SUM(BT84+BT87)</f>
        <v>0</v>
      </c>
      <c r="BU83" s="21">
        <f t="shared" si="124"/>
        <v>0</v>
      </c>
      <c r="BV83" s="21">
        <f t="shared" si="124"/>
        <v>0</v>
      </c>
      <c r="BW83" s="21">
        <f t="shared" si="124"/>
        <v>0</v>
      </c>
      <c r="BX83" s="21">
        <f t="shared" si="124"/>
        <v>0</v>
      </c>
      <c r="BY83" s="21">
        <f t="shared" si="124"/>
        <v>19479</v>
      </c>
      <c r="BZ83" s="21">
        <f t="shared" si="124"/>
        <v>19479</v>
      </c>
      <c r="CA83" s="21">
        <f t="shared" si="124"/>
        <v>19479</v>
      </c>
      <c r="CB83" s="21">
        <f t="shared" si="124"/>
        <v>0</v>
      </c>
      <c r="CC83" s="21">
        <f t="shared" si="124"/>
        <v>19479</v>
      </c>
      <c r="CD83" s="21">
        <f t="shared" si="124"/>
        <v>0</v>
      </c>
      <c r="CE83" s="21">
        <f t="shared" si="124"/>
        <v>0</v>
      </c>
      <c r="CF83" s="21">
        <f>SUM(CF84+CF87)</f>
        <v>0</v>
      </c>
      <c r="CG83" s="21">
        <f t="shared" si="124"/>
        <v>0</v>
      </c>
      <c r="CH83" s="21">
        <f t="shared" si="124"/>
        <v>0</v>
      </c>
      <c r="CI83" s="21">
        <f t="shared" si="124"/>
        <v>0</v>
      </c>
      <c r="CJ83" s="21">
        <f t="shared" ref="CJ83" si="125">SUM(CJ84+CJ87)</f>
        <v>0</v>
      </c>
      <c r="CK83" s="21">
        <f t="shared" si="124"/>
        <v>0</v>
      </c>
      <c r="CL83" s="21">
        <f t="shared" si="124"/>
        <v>0</v>
      </c>
      <c r="CM83" s="21">
        <f>SUM(CM84+CM87)</f>
        <v>0</v>
      </c>
      <c r="CN83" s="21">
        <f t="shared" si="124"/>
        <v>0</v>
      </c>
      <c r="CO83" s="21">
        <f t="shared" si="124"/>
        <v>0</v>
      </c>
      <c r="CP83" s="21">
        <f t="shared" si="124"/>
        <v>0</v>
      </c>
      <c r="CQ83" s="21">
        <f t="shared" si="124"/>
        <v>0</v>
      </c>
      <c r="CR83" s="21">
        <f t="shared" si="124"/>
        <v>0</v>
      </c>
      <c r="CS83" s="21">
        <f t="shared" si="124"/>
        <v>0</v>
      </c>
      <c r="CT83" s="21">
        <f t="shared" si="124"/>
        <v>0</v>
      </c>
      <c r="CU83" s="21">
        <f t="shared" si="124"/>
        <v>0</v>
      </c>
      <c r="CV83" s="21">
        <f t="shared" si="124"/>
        <v>0</v>
      </c>
      <c r="CW83" s="22">
        <f t="shared" si="124"/>
        <v>0</v>
      </c>
      <c r="CX83" s="40"/>
    </row>
    <row r="84" spans="1:102" ht="15.75" hidden="1" x14ac:dyDescent="0.25">
      <c r="A84" s="13" t="s">
        <v>117</v>
      </c>
      <c r="B84" s="14" t="s">
        <v>7</v>
      </c>
      <c r="C84" s="14" t="s">
        <v>1</v>
      </c>
      <c r="D84" s="30" t="s">
        <v>118</v>
      </c>
      <c r="E84" s="15">
        <f t="shared" ref="E84:AJ84" si="126">SUM(E85:E86)</f>
        <v>11039886</v>
      </c>
      <c r="F84" s="16">
        <f t="shared" si="126"/>
        <v>11036025</v>
      </c>
      <c r="G84" s="16">
        <f t="shared" si="126"/>
        <v>11022369</v>
      </c>
      <c r="H84" s="16">
        <f t="shared" si="126"/>
        <v>8202648</v>
      </c>
      <c r="I84" s="16">
        <f t="shared" si="126"/>
        <v>1990338</v>
      </c>
      <c r="J84" s="16">
        <f t="shared" si="126"/>
        <v>259275</v>
      </c>
      <c r="K84" s="16">
        <f t="shared" si="126"/>
        <v>0</v>
      </c>
      <c r="L84" s="16">
        <f t="shared" si="126"/>
        <v>0</v>
      </c>
      <c r="M84" s="16">
        <f t="shared" si="126"/>
        <v>0</v>
      </c>
      <c r="N84" s="16">
        <f t="shared" si="126"/>
        <v>0</v>
      </c>
      <c r="O84" s="16">
        <f t="shared" si="126"/>
        <v>248967</v>
      </c>
      <c r="P84" s="16">
        <f t="shared" si="126"/>
        <v>10308</v>
      </c>
      <c r="Q84" s="16">
        <f t="shared" si="126"/>
        <v>1594</v>
      </c>
      <c r="R84" s="16">
        <f t="shared" si="126"/>
        <v>1594</v>
      </c>
      <c r="S84" s="16">
        <f t="shared" si="126"/>
        <v>0</v>
      </c>
      <c r="T84" s="16">
        <f t="shared" si="126"/>
        <v>0</v>
      </c>
      <c r="U84" s="16">
        <f t="shared" si="126"/>
        <v>52351</v>
      </c>
      <c r="V84" s="16">
        <f t="shared" si="126"/>
        <v>250372</v>
      </c>
      <c r="W84" s="16">
        <f t="shared" si="126"/>
        <v>0</v>
      </c>
      <c r="X84" s="16">
        <f t="shared" si="126"/>
        <v>146919</v>
      </c>
      <c r="Y84" s="16">
        <f t="shared" si="126"/>
        <v>64230</v>
      </c>
      <c r="Z84" s="16">
        <f t="shared" si="126"/>
        <v>36484</v>
      </c>
      <c r="AA84" s="16">
        <f t="shared" si="126"/>
        <v>2648</v>
      </c>
      <c r="AB84" s="16">
        <f t="shared" si="126"/>
        <v>0</v>
      </c>
      <c r="AC84" s="16">
        <f t="shared" si="126"/>
        <v>0</v>
      </c>
      <c r="AD84" s="16">
        <f t="shared" ref="AD84" si="127">SUM(AD85:AD86)</f>
        <v>91</v>
      </c>
      <c r="AE84" s="16">
        <f t="shared" si="126"/>
        <v>265791</v>
      </c>
      <c r="AF84" s="16">
        <f t="shared" si="126"/>
        <v>169287</v>
      </c>
      <c r="AG84" s="16">
        <f t="shared" si="126"/>
        <v>4246</v>
      </c>
      <c r="AH84" s="16">
        <f t="shared" si="126"/>
        <v>0</v>
      </c>
      <c r="AI84" s="16">
        <f t="shared" si="126"/>
        <v>0</v>
      </c>
      <c r="AJ84" s="16">
        <f t="shared" si="126"/>
        <v>2382</v>
      </c>
      <c r="AK84" s="16">
        <f t="shared" ref="AK84:BR84" si="128">SUM(AK85:AK86)</f>
        <v>0</v>
      </c>
      <c r="AL84" s="16">
        <f t="shared" si="128"/>
        <v>106</v>
      </c>
      <c r="AM84" s="16">
        <f t="shared" si="128"/>
        <v>51398</v>
      </c>
      <c r="AN84" s="16">
        <f t="shared" si="128"/>
        <v>0</v>
      </c>
      <c r="AO84" s="16">
        <f t="shared" si="128"/>
        <v>0</v>
      </c>
      <c r="AP84" s="16">
        <f>SUM(AP85:AP86)</f>
        <v>0</v>
      </c>
      <c r="AQ84" s="16">
        <f t="shared" si="128"/>
        <v>0</v>
      </c>
      <c r="AR84" s="16">
        <f t="shared" si="128"/>
        <v>0</v>
      </c>
      <c r="AS84" s="16">
        <f t="shared" si="128"/>
        <v>0</v>
      </c>
      <c r="AT84" s="16">
        <f t="shared" si="128"/>
        <v>0</v>
      </c>
      <c r="AU84" s="16">
        <f t="shared" si="128"/>
        <v>0</v>
      </c>
      <c r="AV84" s="16">
        <f t="shared" si="128"/>
        <v>0</v>
      </c>
      <c r="AW84" s="16">
        <f t="shared" si="128"/>
        <v>0</v>
      </c>
      <c r="AX84" s="16">
        <f t="shared" si="128"/>
        <v>0</v>
      </c>
      <c r="AY84" s="16">
        <f t="shared" si="128"/>
        <v>38372</v>
      </c>
      <c r="AZ84" s="16">
        <f t="shared" si="128"/>
        <v>0</v>
      </c>
      <c r="BA84" s="16">
        <f t="shared" si="128"/>
        <v>13656</v>
      </c>
      <c r="BB84" s="16">
        <f t="shared" si="128"/>
        <v>0</v>
      </c>
      <c r="BC84" s="16">
        <f t="shared" si="128"/>
        <v>0</v>
      </c>
      <c r="BD84" s="16">
        <f t="shared" si="128"/>
        <v>0</v>
      </c>
      <c r="BE84" s="16">
        <f t="shared" si="128"/>
        <v>0</v>
      </c>
      <c r="BF84" s="16">
        <f t="shared" si="128"/>
        <v>0</v>
      </c>
      <c r="BG84" s="16">
        <f t="shared" si="128"/>
        <v>0</v>
      </c>
      <c r="BH84" s="16">
        <f t="shared" si="128"/>
        <v>0</v>
      </c>
      <c r="BI84" s="16">
        <f t="shared" si="128"/>
        <v>0</v>
      </c>
      <c r="BJ84" s="16">
        <f t="shared" si="128"/>
        <v>0</v>
      </c>
      <c r="BK84" s="16">
        <f t="shared" si="128"/>
        <v>0</v>
      </c>
      <c r="BL84" s="16">
        <f t="shared" si="128"/>
        <v>0</v>
      </c>
      <c r="BM84" s="16">
        <f t="shared" si="128"/>
        <v>13656</v>
      </c>
      <c r="BN84" s="16">
        <f t="shared" si="128"/>
        <v>0</v>
      </c>
      <c r="BO84" s="16">
        <f t="shared" si="128"/>
        <v>0</v>
      </c>
      <c r="BP84" s="16">
        <f t="shared" si="128"/>
        <v>13656</v>
      </c>
      <c r="BQ84" s="16">
        <f t="shared" si="128"/>
        <v>0</v>
      </c>
      <c r="BR84" s="16">
        <f t="shared" si="128"/>
        <v>0</v>
      </c>
      <c r="BS84" s="16">
        <f t="shared" ref="BS84:CW84" si="129">SUM(BS85:BS86)</f>
        <v>0</v>
      </c>
      <c r="BT84" s="16">
        <f t="shared" si="129"/>
        <v>0</v>
      </c>
      <c r="BU84" s="16">
        <f t="shared" si="129"/>
        <v>0</v>
      </c>
      <c r="BV84" s="16">
        <f t="shared" si="129"/>
        <v>0</v>
      </c>
      <c r="BW84" s="16">
        <f t="shared" si="129"/>
        <v>0</v>
      </c>
      <c r="BX84" s="16">
        <f t="shared" si="129"/>
        <v>0</v>
      </c>
      <c r="BY84" s="16">
        <f t="shared" si="129"/>
        <v>3861</v>
      </c>
      <c r="BZ84" s="16">
        <f t="shared" si="129"/>
        <v>3861</v>
      </c>
      <c r="CA84" s="16">
        <f t="shared" si="129"/>
        <v>3861</v>
      </c>
      <c r="CB84" s="16">
        <f t="shared" si="129"/>
        <v>0</v>
      </c>
      <c r="CC84" s="16">
        <f t="shared" si="129"/>
        <v>3861</v>
      </c>
      <c r="CD84" s="16">
        <f t="shared" si="129"/>
        <v>0</v>
      </c>
      <c r="CE84" s="16">
        <f t="shared" si="129"/>
        <v>0</v>
      </c>
      <c r="CF84" s="16">
        <f t="shared" si="129"/>
        <v>0</v>
      </c>
      <c r="CG84" s="16">
        <f t="shared" si="129"/>
        <v>0</v>
      </c>
      <c r="CH84" s="16">
        <f t="shared" si="129"/>
        <v>0</v>
      </c>
      <c r="CI84" s="16">
        <f t="shared" si="129"/>
        <v>0</v>
      </c>
      <c r="CJ84" s="16">
        <f t="shared" ref="CJ84" si="130">SUM(CJ85:CJ86)</f>
        <v>0</v>
      </c>
      <c r="CK84" s="16">
        <f t="shared" si="129"/>
        <v>0</v>
      </c>
      <c r="CL84" s="16">
        <f t="shared" si="129"/>
        <v>0</v>
      </c>
      <c r="CM84" s="16">
        <f t="shared" si="129"/>
        <v>0</v>
      </c>
      <c r="CN84" s="16">
        <f t="shared" si="129"/>
        <v>0</v>
      </c>
      <c r="CO84" s="16">
        <f t="shared" si="129"/>
        <v>0</v>
      </c>
      <c r="CP84" s="16">
        <f t="shared" si="129"/>
        <v>0</v>
      </c>
      <c r="CQ84" s="16">
        <f t="shared" si="129"/>
        <v>0</v>
      </c>
      <c r="CR84" s="16">
        <f t="shared" si="129"/>
        <v>0</v>
      </c>
      <c r="CS84" s="16">
        <f t="shared" si="129"/>
        <v>0</v>
      </c>
      <c r="CT84" s="16">
        <f t="shared" si="129"/>
        <v>0</v>
      </c>
      <c r="CU84" s="16">
        <f t="shared" si="129"/>
        <v>0</v>
      </c>
      <c r="CV84" s="16">
        <f t="shared" si="129"/>
        <v>0</v>
      </c>
      <c r="CW84" s="17">
        <f t="shared" si="129"/>
        <v>0</v>
      </c>
      <c r="CX84" s="40"/>
    </row>
    <row r="85" spans="1:102" ht="18" hidden="1" customHeight="1" x14ac:dyDescent="0.25">
      <c r="A85" s="13" t="s">
        <v>1</v>
      </c>
      <c r="B85" s="14" t="s">
        <v>1</v>
      </c>
      <c r="C85" s="14" t="s">
        <v>29</v>
      </c>
      <c r="D85" s="30" t="s">
        <v>119</v>
      </c>
      <c r="E85" s="15">
        <f>SUM(F85+BY85+CT85)</f>
        <v>8875852</v>
      </c>
      <c r="F85" s="16">
        <f>SUM(G85+BA85)</f>
        <v>8875852</v>
      </c>
      <c r="G85" s="16">
        <f>SUM(H85+I85+J85+Q85+T85+U85+V85+AE85)</f>
        <v>8862196</v>
      </c>
      <c r="H85" s="16">
        <f>7436254+204-890600</f>
        <v>6545858</v>
      </c>
      <c r="I85" s="16">
        <f>1712485-105064</f>
        <v>1607421</v>
      </c>
      <c r="J85" s="16">
        <f t="shared" si="103"/>
        <v>180629</v>
      </c>
      <c r="K85" s="16">
        <v>0</v>
      </c>
      <c r="L85" s="16">
        <v>0</v>
      </c>
      <c r="M85" s="16">
        <v>0</v>
      </c>
      <c r="N85" s="16">
        <v>0</v>
      </c>
      <c r="O85" s="16">
        <v>172773</v>
      </c>
      <c r="P85" s="16">
        <v>7856</v>
      </c>
      <c r="Q85" s="16">
        <f t="shared" si="104"/>
        <v>0</v>
      </c>
      <c r="R85" s="16">
        <v>0</v>
      </c>
      <c r="S85" s="16">
        <v>0</v>
      </c>
      <c r="T85" s="16">
        <v>0</v>
      </c>
      <c r="U85" s="16">
        <v>33423</v>
      </c>
      <c r="V85" s="16">
        <f>SUM(W85:AD85)</f>
        <v>246214</v>
      </c>
      <c r="W85" s="16">
        <v>0</v>
      </c>
      <c r="X85" s="16">
        <v>146919</v>
      </c>
      <c r="Y85" s="16">
        <v>60163</v>
      </c>
      <c r="Z85" s="16">
        <v>36484</v>
      </c>
      <c r="AA85" s="16">
        <v>2648</v>
      </c>
      <c r="AB85" s="16">
        <v>0</v>
      </c>
      <c r="AC85" s="16">
        <v>0</v>
      </c>
      <c r="AD85" s="16">
        <v>0</v>
      </c>
      <c r="AE85" s="16">
        <f>SUM(AF85:AZ85)</f>
        <v>248651</v>
      </c>
      <c r="AF85" s="16">
        <v>158775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f>1282-1176</f>
        <v>106</v>
      </c>
      <c r="AM85" s="16">
        <v>51398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f>0+38372</f>
        <v>38372</v>
      </c>
      <c r="AZ85" s="16">
        <v>0</v>
      </c>
      <c r="BA85" s="16">
        <f>SUM(BB85+BF85+BI85+BK85+BM85)</f>
        <v>13656</v>
      </c>
      <c r="BB85" s="16">
        <f>SUM(BC85:BE85)</f>
        <v>0</v>
      </c>
      <c r="BC85" s="16">
        <v>0</v>
      </c>
      <c r="BD85" s="16">
        <v>0</v>
      </c>
      <c r="BE85" s="16">
        <v>0</v>
      </c>
      <c r="BF85" s="16">
        <f t="shared" si="105"/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f t="shared" si="106"/>
        <v>0</v>
      </c>
      <c r="BL85" s="16">
        <v>0</v>
      </c>
      <c r="BM85" s="16">
        <f t="shared" si="107"/>
        <v>13656</v>
      </c>
      <c r="BN85" s="16">
        <v>0</v>
      </c>
      <c r="BO85" s="16">
        <v>0</v>
      </c>
      <c r="BP85" s="16">
        <f>50852-37196</f>
        <v>13656</v>
      </c>
      <c r="BQ85" s="16">
        <v>0</v>
      </c>
      <c r="BR85" s="16">
        <v>0</v>
      </c>
      <c r="BS85" s="16">
        <v>0</v>
      </c>
      <c r="BT85" s="16">
        <v>0</v>
      </c>
      <c r="BU85" s="16">
        <v>0</v>
      </c>
      <c r="BV85" s="16">
        <v>0</v>
      </c>
      <c r="BW85" s="16">
        <v>0</v>
      </c>
      <c r="BX85" s="16">
        <v>0</v>
      </c>
      <c r="BY85" s="16">
        <f>SUM(BZ85+CS85)</f>
        <v>0</v>
      </c>
      <c r="BZ85" s="16">
        <f>SUM(CA85+CD85+CK85)</f>
        <v>0</v>
      </c>
      <c r="CA85" s="16">
        <f t="shared" si="108"/>
        <v>0</v>
      </c>
      <c r="CB85" s="16">
        <v>0</v>
      </c>
      <c r="CC85" s="16">
        <v>0</v>
      </c>
      <c r="CD85" s="16">
        <f t="shared" si="109"/>
        <v>0</v>
      </c>
      <c r="CE85" s="16">
        <v>0</v>
      </c>
      <c r="CF85" s="16">
        <v>0</v>
      </c>
      <c r="CG85" s="16">
        <v>0</v>
      </c>
      <c r="CH85" s="16">
        <v>0</v>
      </c>
      <c r="CI85" s="16">
        <v>0</v>
      </c>
      <c r="CJ85" s="16">
        <v>0</v>
      </c>
      <c r="CK85" s="16">
        <f t="shared" si="110"/>
        <v>0</v>
      </c>
      <c r="CL85" s="16">
        <v>0</v>
      </c>
      <c r="CM85" s="16">
        <v>0</v>
      </c>
      <c r="CN85" s="16">
        <v>0</v>
      </c>
      <c r="CO85" s="16">
        <v>0</v>
      </c>
      <c r="CP85" s="16">
        <v>0</v>
      </c>
      <c r="CQ85" s="16">
        <v>0</v>
      </c>
      <c r="CR85" s="16">
        <v>0</v>
      </c>
      <c r="CS85" s="16">
        <v>0</v>
      </c>
      <c r="CT85" s="16">
        <f t="shared" si="111"/>
        <v>0</v>
      </c>
      <c r="CU85" s="16">
        <f t="shared" si="112"/>
        <v>0</v>
      </c>
      <c r="CV85" s="16">
        <v>0</v>
      </c>
      <c r="CW85" s="17">
        <v>0</v>
      </c>
      <c r="CX85" s="40"/>
    </row>
    <row r="86" spans="1:102" ht="31.5" hidden="1" x14ac:dyDescent="0.25">
      <c r="A86" s="13" t="s">
        <v>1</v>
      </c>
      <c r="B86" s="14" t="s">
        <v>1</v>
      </c>
      <c r="C86" s="14" t="s">
        <v>39</v>
      </c>
      <c r="D86" s="30" t="s">
        <v>120</v>
      </c>
      <c r="E86" s="15">
        <f>SUM(F86+BY86+CT86)</f>
        <v>2164034</v>
      </c>
      <c r="F86" s="16">
        <f>SUM(G86+BA86)</f>
        <v>2160173</v>
      </c>
      <c r="G86" s="16">
        <f>SUM(H86+I86+J86+Q86+T86+U86+V86+AE86)</f>
        <v>2160173</v>
      </c>
      <c r="H86" s="16">
        <f>1853433-196643</f>
        <v>1656790</v>
      </c>
      <c r="I86" s="16">
        <f>434949-52032</f>
        <v>382917</v>
      </c>
      <c r="J86" s="16">
        <f t="shared" si="103"/>
        <v>78646</v>
      </c>
      <c r="K86" s="16">
        <v>0</v>
      </c>
      <c r="L86" s="16">
        <v>0</v>
      </c>
      <c r="M86" s="16">
        <v>0</v>
      </c>
      <c r="N86" s="16">
        <v>0</v>
      </c>
      <c r="O86" s="16">
        <v>76194</v>
      </c>
      <c r="P86" s="16">
        <v>2452</v>
      </c>
      <c r="Q86" s="16">
        <f t="shared" si="104"/>
        <v>1594</v>
      </c>
      <c r="R86" s="16">
        <v>1594</v>
      </c>
      <c r="S86" s="16">
        <v>0</v>
      </c>
      <c r="T86" s="16">
        <v>0</v>
      </c>
      <c r="U86" s="16">
        <v>18928</v>
      </c>
      <c r="V86" s="16">
        <f>SUM(W86:AD86)</f>
        <v>4158</v>
      </c>
      <c r="W86" s="16">
        <v>0</v>
      </c>
      <c r="X86" s="16">
        <v>0</v>
      </c>
      <c r="Y86" s="16">
        <v>4067</v>
      </c>
      <c r="Z86" s="16">
        <v>0</v>
      </c>
      <c r="AA86" s="16">
        <v>0</v>
      </c>
      <c r="AB86" s="16">
        <v>0</v>
      </c>
      <c r="AC86" s="16">
        <v>0</v>
      </c>
      <c r="AD86" s="16">
        <v>91</v>
      </c>
      <c r="AE86" s="16">
        <f>SUM(AF86:AZ86)</f>
        <v>17140</v>
      </c>
      <c r="AF86" s="16">
        <v>10512</v>
      </c>
      <c r="AG86" s="16">
        <v>4246</v>
      </c>
      <c r="AH86" s="16">
        <v>0</v>
      </c>
      <c r="AI86" s="16">
        <v>0</v>
      </c>
      <c r="AJ86" s="16">
        <v>2382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f>SUM(BB86+BF86+BI86+BK86+BM86)</f>
        <v>0</v>
      </c>
      <c r="BB86" s="16">
        <f>SUM(BC86:BE86)</f>
        <v>0</v>
      </c>
      <c r="BC86" s="16">
        <v>0</v>
      </c>
      <c r="BD86" s="16">
        <v>0</v>
      </c>
      <c r="BE86" s="16">
        <v>0</v>
      </c>
      <c r="BF86" s="16">
        <f t="shared" si="105"/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f t="shared" si="106"/>
        <v>0</v>
      </c>
      <c r="BL86" s="16">
        <v>0</v>
      </c>
      <c r="BM86" s="16">
        <f t="shared" si="107"/>
        <v>0</v>
      </c>
      <c r="BN86" s="16">
        <v>0</v>
      </c>
      <c r="BO86" s="16">
        <v>0</v>
      </c>
      <c r="BP86" s="16">
        <v>0</v>
      </c>
      <c r="BQ86" s="16">
        <v>0</v>
      </c>
      <c r="BR86" s="16">
        <v>0</v>
      </c>
      <c r="BS86" s="16">
        <v>0</v>
      </c>
      <c r="BT86" s="16">
        <v>0</v>
      </c>
      <c r="BU86" s="16">
        <v>0</v>
      </c>
      <c r="BV86" s="16">
        <v>0</v>
      </c>
      <c r="BW86" s="16">
        <v>0</v>
      </c>
      <c r="BX86" s="16">
        <v>0</v>
      </c>
      <c r="BY86" s="16">
        <f>SUM(BZ86+CS86)</f>
        <v>3861</v>
      </c>
      <c r="BZ86" s="16">
        <f>SUM(CA86+CD86+CK86)</f>
        <v>3861</v>
      </c>
      <c r="CA86" s="16">
        <f t="shared" si="108"/>
        <v>3861</v>
      </c>
      <c r="CB86" s="16">
        <v>0</v>
      </c>
      <c r="CC86" s="16">
        <v>3861</v>
      </c>
      <c r="CD86" s="16">
        <f t="shared" si="109"/>
        <v>0</v>
      </c>
      <c r="CE86" s="16">
        <v>0</v>
      </c>
      <c r="CF86" s="16">
        <v>0</v>
      </c>
      <c r="CG86" s="16">
        <v>0</v>
      </c>
      <c r="CH86" s="16">
        <v>0</v>
      </c>
      <c r="CI86" s="16">
        <v>0</v>
      </c>
      <c r="CJ86" s="16">
        <v>0</v>
      </c>
      <c r="CK86" s="16">
        <f t="shared" si="110"/>
        <v>0</v>
      </c>
      <c r="CL86" s="16">
        <v>0</v>
      </c>
      <c r="CM86" s="16">
        <v>0</v>
      </c>
      <c r="CN86" s="16">
        <v>0</v>
      </c>
      <c r="CO86" s="16">
        <v>0</v>
      </c>
      <c r="CP86" s="16">
        <v>0</v>
      </c>
      <c r="CQ86" s="16">
        <v>0</v>
      </c>
      <c r="CR86" s="16">
        <v>0</v>
      </c>
      <c r="CS86" s="16">
        <v>0</v>
      </c>
      <c r="CT86" s="16">
        <f t="shared" si="111"/>
        <v>0</v>
      </c>
      <c r="CU86" s="16">
        <f t="shared" si="112"/>
        <v>0</v>
      </c>
      <c r="CV86" s="16">
        <v>0</v>
      </c>
      <c r="CW86" s="17">
        <v>0</v>
      </c>
      <c r="CX86" s="40"/>
    </row>
    <row r="87" spans="1:102" ht="31.5" hidden="1" x14ac:dyDescent="0.25">
      <c r="A87" s="13" t="s">
        <v>117</v>
      </c>
      <c r="B87" s="14" t="s">
        <v>47</v>
      </c>
      <c r="C87" s="14" t="s">
        <v>1</v>
      </c>
      <c r="D87" s="30" t="s">
        <v>121</v>
      </c>
      <c r="E87" s="15">
        <f t="shared" ref="E87:AJ87" si="131">SUM(E88:E98)</f>
        <v>8420850</v>
      </c>
      <c r="F87" s="16">
        <f t="shared" si="131"/>
        <v>8405232</v>
      </c>
      <c r="G87" s="16">
        <f t="shared" si="131"/>
        <v>8405232</v>
      </c>
      <c r="H87" s="16">
        <f t="shared" si="131"/>
        <v>294494</v>
      </c>
      <c r="I87" s="16">
        <f t="shared" si="131"/>
        <v>68548</v>
      </c>
      <c r="J87" s="16">
        <f t="shared" si="131"/>
        <v>9114</v>
      </c>
      <c r="K87" s="16">
        <f t="shared" si="131"/>
        <v>0</v>
      </c>
      <c r="L87" s="16">
        <f t="shared" si="131"/>
        <v>0</v>
      </c>
      <c r="M87" s="16">
        <f t="shared" si="131"/>
        <v>0</v>
      </c>
      <c r="N87" s="16">
        <f t="shared" si="131"/>
        <v>0</v>
      </c>
      <c r="O87" s="16">
        <f t="shared" si="131"/>
        <v>0</v>
      </c>
      <c r="P87" s="16">
        <f t="shared" si="131"/>
        <v>9114</v>
      </c>
      <c r="Q87" s="16">
        <f t="shared" si="131"/>
        <v>1736</v>
      </c>
      <c r="R87" s="16">
        <f t="shared" si="131"/>
        <v>0</v>
      </c>
      <c r="S87" s="16">
        <f t="shared" si="131"/>
        <v>1736</v>
      </c>
      <c r="T87" s="16">
        <f t="shared" si="131"/>
        <v>0</v>
      </c>
      <c r="U87" s="16">
        <f t="shared" si="131"/>
        <v>0</v>
      </c>
      <c r="V87" s="16">
        <f t="shared" si="131"/>
        <v>0</v>
      </c>
      <c r="W87" s="16">
        <f t="shared" si="131"/>
        <v>0</v>
      </c>
      <c r="X87" s="16">
        <f t="shared" si="131"/>
        <v>0</v>
      </c>
      <c r="Y87" s="16">
        <f t="shared" si="131"/>
        <v>0</v>
      </c>
      <c r="Z87" s="16">
        <f t="shared" si="131"/>
        <v>0</v>
      </c>
      <c r="AA87" s="16">
        <f t="shared" si="131"/>
        <v>0</v>
      </c>
      <c r="AB87" s="16">
        <f t="shared" si="131"/>
        <v>0</v>
      </c>
      <c r="AC87" s="16">
        <f t="shared" si="131"/>
        <v>0</v>
      </c>
      <c r="AD87" s="16">
        <f t="shared" ref="AD87" si="132">SUM(AD88:AD98)</f>
        <v>0</v>
      </c>
      <c r="AE87" s="16">
        <f t="shared" si="131"/>
        <v>8031340</v>
      </c>
      <c r="AF87" s="16">
        <f t="shared" si="131"/>
        <v>8029604</v>
      </c>
      <c r="AG87" s="16">
        <f t="shared" si="131"/>
        <v>0</v>
      </c>
      <c r="AH87" s="16">
        <f t="shared" si="131"/>
        <v>0</v>
      </c>
      <c r="AI87" s="16">
        <f t="shared" si="131"/>
        <v>0</v>
      </c>
      <c r="AJ87" s="16">
        <f t="shared" si="131"/>
        <v>0</v>
      </c>
      <c r="AK87" s="16">
        <f t="shared" ref="AK87:BP87" si="133">SUM(AK88:AK98)</f>
        <v>0</v>
      </c>
      <c r="AL87" s="16">
        <f t="shared" si="133"/>
        <v>1736</v>
      </c>
      <c r="AM87" s="16">
        <f t="shared" si="133"/>
        <v>0</v>
      </c>
      <c r="AN87" s="16">
        <f t="shared" si="133"/>
        <v>0</v>
      </c>
      <c r="AO87" s="16">
        <f t="shared" si="133"/>
        <v>0</v>
      </c>
      <c r="AP87" s="16">
        <f t="shared" si="133"/>
        <v>0</v>
      </c>
      <c r="AQ87" s="16">
        <f t="shared" si="133"/>
        <v>0</v>
      </c>
      <c r="AR87" s="16">
        <f t="shared" si="133"/>
        <v>0</v>
      </c>
      <c r="AS87" s="16">
        <f t="shared" si="133"/>
        <v>0</v>
      </c>
      <c r="AT87" s="16">
        <f t="shared" si="133"/>
        <v>0</v>
      </c>
      <c r="AU87" s="16">
        <f t="shared" si="133"/>
        <v>0</v>
      </c>
      <c r="AV87" s="16">
        <f t="shared" si="133"/>
        <v>0</v>
      </c>
      <c r="AW87" s="16">
        <f t="shared" si="133"/>
        <v>0</v>
      </c>
      <c r="AX87" s="16">
        <f t="shared" si="133"/>
        <v>0</v>
      </c>
      <c r="AY87" s="16">
        <f t="shared" si="133"/>
        <v>0</v>
      </c>
      <c r="AZ87" s="16">
        <f t="shared" si="133"/>
        <v>0</v>
      </c>
      <c r="BA87" s="16">
        <f t="shared" si="133"/>
        <v>0</v>
      </c>
      <c r="BB87" s="16">
        <f t="shared" si="133"/>
        <v>0</v>
      </c>
      <c r="BC87" s="16">
        <f t="shared" si="133"/>
        <v>0</v>
      </c>
      <c r="BD87" s="16">
        <f t="shared" si="133"/>
        <v>0</v>
      </c>
      <c r="BE87" s="16">
        <f t="shared" si="133"/>
        <v>0</v>
      </c>
      <c r="BF87" s="16">
        <f t="shared" si="133"/>
        <v>0</v>
      </c>
      <c r="BG87" s="16">
        <f t="shared" si="133"/>
        <v>0</v>
      </c>
      <c r="BH87" s="16">
        <f t="shared" si="133"/>
        <v>0</v>
      </c>
      <c r="BI87" s="16">
        <f t="shared" si="133"/>
        <v>0</v>
      </c>
      <c r="BJ87" s="16">
        <f t="shared" si="133"/>
        <v>0</v>
      </c>
      <c r="BK87" s="16">
        <f t="shared" si="133"/>
        <v>0</v>
      </c>
      <c r="BL87" s="16">
        <f t="shared" si="133"/>
        <v>0</v>
      </c>
      <c r="BM87" s="16">
        <f t="shared" si="133"/>
        <v>0</v>
      </c>
      <c r="BN87" s="16">
        <f t="shared" si="133"/>
        <v>0</v>
      </c>
      <c r="BO87" s="16">
        <f t="shared" si="133"/>
        <v>0</v>
      </c>
      <c r="BP87" s="16">
        <f t="shared" si="133"/>
        <v>0</v>
      </c>
      <c r="BQ87" s="16">
        <f t="shared" ref="BQ87:CV87" si="134">SUM(BQ88:BQ98)</f>
        <v>0</v>
      </c>
      <c r="BR87" s="16">
        <f t="shared" si="134"/>
        <v>0</v>
      </c>
      <c r="BS87" s="16">
        <f t="shared" si="134"/>
        <v>0</v>
      </c>
      <c r="BT87" s="16">
        <f t="shared" si="134"/>
        <v>0</v>
      </c>
      <c r="BU87" s="16">
        <f t="shared" si="134"/>
        <v>0</v>
      </c>
      <c r="BV87" s="16">
        <f t="shared" si="134"/>
        <v>0</v>
      </c>
      <c r="BW87" s="16">
        <f t="shared" si="134"/>
        <v>0</v>
      </c>
      <c r="BX87" s="16">
        <f t="shared" si="134"/>
        <v>0</v>
      </c>
      <c r="BY87" s="16">
        <f t="shared" si="134"/>
        <v>15618</v>
      </c>
      <c r="BZ87" s="16">
        <f t="shared" si="134"/>
        <v>15618</v>
      </c>
      <c r="CA87" s="16">
        <f t="shared" si="134"/>
        <v>15618</v>
      </c>
      <c r="CB87" s="16">
        <f t="shared" si="134"/>
        <v>0</v>
      </c>
      <c r="CC87" s="16">
        <f t="shared" si="134"/>
        <v>15618</v>
      </c>
      <c r="CD87" s="16">
        <f t="shared" si="134"/>
        <v>0</v>
      </c>
      <c r="CE87" s="16">
        <f t="shared" si="134"/>
        <v>0</v>
      </c>
      <c r="CF87" s="16">
        <f t="shared" si="134"/>
        <v>0</v>
      </c>
      <c r="CG87" s="16">
        <f t="shared" si="134"/>
        <v>0</v>
      </c>
      <c r="CH87" s="16">
        <f t="shared" si="134"/>
        <v>0</v>
      </c>
      <c r="CI87" s="16">
        <f t="shared" si="134"/>
        <v>0</v>
      </c>
      <c r="CJ87" s="16">
        <f t="shared" si="134"/>
        <v>0</v>
      </c>
      <c r="CK87" s="16">
        <f t="shared" si="134"/>
        <v>0</v>
      </c>
      <c r="CL87" s="16">
        <f t="shared" si="134"/>
        <v>0</v>
      </c>
      <c r="CM87" s="16">
        <f t="shared" si="134"/>
        <v>0</v>
      </c>
      <c r="CN87" s="16">
        <f t="shared" si="134"/>
        <v>0</v>
      </c>
      <c r="CO87" s="16">
        <f t="shared" si="134"/>
        <v>0</v>
      </c>
      <c r="CP87" s="16">
        <f t="shared" si="134"/>
        <v>0</v>
      </c>
      <c r="CQ87" s="16">
        <f t="shared" si="134"/>
        <v>0</v>
      </c>
      <c r="CR87" s="16">
        <f t="shared" si="134"/>
        <v>0</v>
      </c>
      <c r="CS87" s="16">
        <f t="shared" si="134"/>
        <v>0</v>
      </c>
      <c r="CT87" s="16">
        <f t="shared" si="134"/>
        <v>0</v>
      </c>
      <c r="CU87" s="16">
        <f t="shared" si="134"/>
        <v>0</v>
      </c>
      <c r="CV87" s="16">
        <f t="shared" si="134"/>
        <v>0</v>
      </c>
      <c r="CW87" s="17">
        <f t="shared" ref="CW87" si="135">SUM(CW88:CW98)</f>
        <v>0</v>
      </c>
      <c r="CX87" s="40"/>
    </row>
    <row r="88" spans="1:102" ht="15.75" hidden="1" x14ac:dyDescent="0.25">
      <c r="A88" s="13" t="s">
        <v>1</v>
      </c>
      <c r="B88" s="14" t="s">
        <v>1</v>
      </c>
      <c r="C88" s="14" t="s">
        <v>17</v>
      </c>
      <c r="D88" s="30" t="s">
        <v>522</v>
      </c>
      <c r="E88" s="15">
        <f t="shared" ref="E88:E98" si="136">SUM(F88+BY88+CT88)</f>
        <v>803480</v>
      </c>
      <c r="F88" s="16">
        <f t="shared" ref="F88:F98" si="137">SUM(G88+BA88)</f>
        <v>803480</v>
      </c>
      <c r="G88" s="16">
        <f t="shared" ref="G88:G98" si="138">SUM(H88+I88+J88+Q88+T88+U88+V88+AE88)</f>
        <v>803480</v>
      </c>
      <c r="H88" s="16">
        <v>0</v>
      </c>
      <c r="I88" s="16">
        <v>0</v>
      </c>
      <c r="J88" s="16">
        <f t="shared" si="103"/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f t="shared" si="104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ref="V88:V98" si="139">SUM(W88:AD88)</f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f t="shared" ref="AE88:AE98" si="140">SUM(AF88:AZ88)</f>
        <v>803480</v>
      </c>
      <c r="AF88" s="16">
        <v>803480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f t="shared" ref="BA88:BA98" si="141">SUM(BB88+BF88+BI88+BK88+BM88)</f>
        <v>0</v>
      </c>
      <c r="BB88" s="16">
        <f t="shared" ref="BB88:BB98" si="142">SUM(BC88:BE88)</f>
        <v>0</v>
      </c>
      <c r="BC88" s="16">
        <v>0</v>
      </c>
      <c r="BD88" s="16">
        <v>0</v>
      </c>
      <c r="BE88" s="16">
        <v>0</v>
      </c>
      <c r="BF88" s="16">
        <f t="shared" si="105"/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f t="shared" si="106"/>
        <v>0</v>
      </c>
      <c r="BL88" s="16">
        <v>0</v>
      </c>
      <c r="BM88" s="16">
        <f t="shared" si="107"/>
        <v>0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6">
        <v>0</v>
      </c>
      <c r="BU88" s="16">
        <v>0</v>
      </c>
      <c r="BV88" s="16">
        <v>0</v>
      </c>
      <c r="BW88" s="16">
        <v>0</v>
      </c>
      <c r="BX88" s="16">
        <v>0</v>
      </c>
      <c r="BY88" s="16">
        <f t="shared" ref="BY88:BY98" si="143">SUM(BZ88+CS88)</f>
        <v>0</v>
      </c>
      <c r="BZ88" s="16">
        <f t="shared" ref="BZ88:BZ98" si="144">SUM(CA88+CD88+CK88)</f>
        <v>0</v>
      </c>
      <c r="CA88" s="16">
        <f t="shared" si="108"/>
        <v>0</v>
      </c>
      <c r="CB88" s="16">
        <v>0</v>
      </c>
      <c r="CC88" s="16">
        <v>0</v>
      </c>
      <c r="CD88" s="16">
        <f t="shared" si="109"/>
        <v>0</v>
      </c>
      <c r="CE88" s="16">
        <v>0</v>
      </c>
      <c r="CF88" s="16">
        <v>0</v>
      </c>
      <c r="CG88" s="16">
        <v>0</v>
      </c>
      <c r="CH88" s="16">
        <v>0</v>
      </c>
      <c r="CI88" s="16">
        <v>0</v>
      </c>
      <c r="CJ88" s="16">
        <v>0</v>
      </c>
      <c r="CK88" s="16">
        <f t="shared" si="110"/>
        <v>0</v>
      </c>
      <c r="CL88" s="16">
        <v>0</v>
      </c>
      <c r="CM88" s="16">
        <v>0</v>
      </c>
      <c r="CN88" s="16">
        <v>0</v>
      </c>
      <c r="CO88" s="16">
        <v>0</v>
      </c>
      <c r="CP88" s="16">
        <v>0</v>
      </c>
      <c r="CQ88" s="16">
        <v>0</v>
      </c>
      <c r="CR88" s="16">
        <v>0</v>
      </c>
      <c r="CS88" s="16">
        <v>0</v>
      </c>
      <c r="CT88" s="16">
        <f t="shared" si="111"/>
        <v>0</v>
      </c>
      <c r="CU88" s="16">
        <f t="shared" si="112"/>
        <v>0</v>
      </c>
      <c r="CV88" s="16">
        <v>0</v>
      </c>
      <c r="CW88" s="17">
        <v>0</v>
      </c>
      <c r="CX88" s="40"/>
    </row>
    <row r="89" spans="1:102" ht="15.75" hidden="1" x14ac:dyDescent="0.25">
      <c r="A89" s="13" t="s">
        <v>1</v>
      </c>
      <c r="B89" s="14" t="s">
        <v>1</v>
      </c>
      <c r="C89" s="14" t="s">
        <v>21</v>
      </c>
      <c r="D89" s="30" t="s">
        <v>523</v>
      </c>
      <c r="E89" s="15">
        <f t="shared" si="136"/>
        <v>498305</v>
      </c>
      <c r="F89" s="16">
        <f t="shared" si="137"/>
        <v>498305</v>
      </c>
      <c r="G89" s="16">
        <f t="shared" si="138"/>
        <v>498305</v>
      </c>
      <c r="H89" s="16">
        <v>0</v>
      </c>
      <c r="I89" s="16">
        <v>0</v>
      </c>
      <c r="J89" s="16">
        <f>SUM(K89:P89)</f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f>SUM(R89:S89)</f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139"/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f t="shared" si="140"/>
        <v>498305</v>
      </c>
      <c r="AF89" s="16">
        <v>498305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f t="shared" si="141"/>
        <v>0</v>
      </c>
      <c r="BB89" s="16">
        <f t="shared" si="142"/>
        <v>0</v>
      </c>
      <c r="BC89" s="16">
        <v>0</v>
      </c>
      <c r="BD89" s="16">
        <v>0</v>
      </c>
      <c r="BE89" s="16">
        <v>0</v>
      </c>
      <c r="BF89" s="16">
        <f>SUM(BG89:BH89)</f>
        <v>0</v>
      </c>
      <c r="BG89" s="16">
        <v>0</v>
      </c>
      <c r="BH89" s="16">
        <v>0</v>
      </c>
      <c r="BI89" s="16">
        <v>0</v>
      </c>
      <c r="BJ89" s="16">
        <v>0</v>
      </c>
      <c r="BK89" s="16">
        <f>SUM(BL89)</f>
        <v>0</v>
      </c>
      <c r="BL89" s="16">
        <v>0</v>
      </c>
      <c r="BM89" s="16">
        <f>SUM(BN89:BX89)</f>
        <v>0</v>
      </c>
      <c r="BN89" s="16">
        <v>0</v>
      </c>
      <c r="BO89" s="16">
        <v>0</v>
      </c>
      <c r="BP89" s="16">
        <v>0</v>
      </c>
      <c r="BQ89" s="16">
        <v>0</v>
      </c>
      <c r="BR89" s="16">
        <v>0</v>
      </c>
      <c r="BS89" s="16">
        <v>0</v>
      </c>
      <c r="BT89" s="16">
        <v>0</v>
      </c>
      <c r="BU89" s="16">
        <v>0</v>
      </c>
      <c r="BV89" s="16">
        <v>0</v>
      </c>
      <c r="BW89" s="16">
        <v>0</v>
      </c>
      <c r="BX89" s="16">
        <v>0</v>
      </c>
      <c r="BY89" s="16">
        <f t="shared" si="143"/>
        <v>0</v>
      </c>
      <c r="BZ89" s="16">
        <f t="shared" si="144"/>
        <v>0</v>
      </c>
      <c r="CA89" s="16">
        <f>SUM(CB89:CC89)</f>
        <v>0</v>
      </c>
      <c r="CB89" s="16">
        <v>0</v>
      </c>
      <c r="CC89" s="16">
        <v>0</v>
      </c>
      <c r="CD89" s="16">
        <f>SUM(CE89:CI89)</f>
        <v>0</v>
      </c>
      <c r="CE89" s="16">
        <v>0</v>
      </c>
      <c r="CF89" s="16">
        <v>0</v>
      </c>
      <c r="CG89" s="16">
        <v>0</v>
      </c>
      <c r="CH89" s="16">
        <v>0</v>
      </c>
      <c r="CI89" s="16">
        <v>0</v>
      </c>
      <c r="CJ89" s="16">
        <v>0</v>
      </c>
      <c r="CK89" s="16">
        <f>SUM(CL89:CP89)</f>
        <v>0</v>
      </c>
      <c r="CL89" s="16">
        <v>0</v>
      </c>
      <c r="CM89" s="16">
        <v>0</v>
      </c>
      <c r="CN89" s="16">
        <v>0</v>
      </c>
      <c r="CO89" s="16">
        <v>0</v>
      </c>
      <c r="CP89" s="16">
        <v>0</v>
      </c>
      <c r="CQ89" s="16">
        <v>0</v>
      </c>
      <c r="CR89" s="16">
        <v>0</v>
      </c>
      <c r="CS89" s="16">
        <v>0</v>
      </c>
      <c r="CT89" s="16">
        <f>SUM(CU89)</f>
        <v>0</v>
      </c>
      <c r="CU89" s="16">
        <f>SUM(CV89:CW89)</f>
        <v>0</v>
      </c>
      <c r="CV89" s="16">
        <v>0</v>
      </c>
      <c r="CW89" s="17">
        <v>0</v>
      </c>
      <c r="CX89" s="40"/>
    </row>
    <row r="90" spans="1:102" ht="15.75" hidden="1" x14ac:dyDescent="0.25">
      <c r="A90" s="13" t="s">
        <v>1</v>
      </c>
      <c r="B90" s="14" t="s">
        <v>1</v>
      </c>
      <c r="C90" s="14" t="s">
        <v>23</v>
      </c>
      <c r="D90" s="30" t="s">
        <v>524</v>
      </c>
      <c r="E90" s="15">
        <f t="shared" si="136"/>
        <v>5078113</v>
      </c>
      <c r="F90" s="16">
        <f t="shared" si="137"/>
        <v>5078113</v>
      </c>
      <c r="G90" s="16">
        <f t="shared" si="138"/>
        <v>5078113</v>
      </c>
      <c r="H90" s="16">
        <v>0</v>
      </c>
      <c r="I90" s="16">
        <v>0</v>
      </c>
      <c r="J90" s="16">
        <f>SUM(K90:P90)</f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f>SUM(R90:S90)</f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139"/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f t="shared" si="140"/>
        <v>5078113</v>
      </c>
      <c r="AF90" s="16">
        <v>5078113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f t="shared" si="141"/>
        <v>0</v>
      </c>
      <c r="BB90" s="16">
        <f t="shared" si="142"/>
        <v>0</v>
      </c>
      <c r="BC90" s="16">
        <v>0</v>
      </c>
      <c r="BD90" s="16">
        <v>0</v>
      </c>
      <c r="BE90" s="16">
        <v>0</v>
      </c>
      <c r="BF90" s="16">
        <f>SUM(BG90:BH90)</f>
        <v>0</v>
      </c>
      <c r="BG90" s="16">
        <v>0</v>
      </c>
      <c r="BH90" s="16">
        <v>0</v>
      </c>
      <c r="BI90" s="16">
        <v>0</v>
      </c>
      <c r="BJ90" s="16">
        <v>0</v>
      </c>
      <c r="BK90" s="16">
        <f>SUM(BL90)</f>
        <v>0</v>
      </c>
      <c r="BL90" s="16">
        <v>0</v>
      </c>
      <c r="BM90" s="16">
        <f>SUM(BN90:BX90)</f>
        <v>0</v>
      </c>
      <c r="BN90" s="16">
        <v>0</v>
      </c>
      <c r="BO90" s="16">
        <v>0</v>
      </c>
      <c r="BP90" s="16">
        <v>0</v>
      </c>
      <c r="BQ90" s="16">
        <v>0</v>
      </c>
      <c r="BR90" s="16">
        <v>0</v>
      </c>
      <c r="BS90" s="16">
        <v>0</v>
      </c>
      <c r="BT90" s="16">
        <v>0</v>
      </c>
      <c r="BU90" s="16">
        <v>0</v>
      </c>
      <c r="BV90" s="16">
        <v>0</v>
      </c>
      <c r="BW90" s="16">
        <v>0</v>
      </c>
      <c r="BX90" s="16">
        <v>0</v>
      </c>
      <c r="BY90" s="16">
        <f t="shared" si="143"/>
        <v>0</v>
      </c>
      <c r="BZ90" s="16">
        <f t="shared" si="144"/>
        <v>0</v>
      </c>
      <c r="CA90" s="16">
        <f>SUM(CB90:CC90)</f>
        <v>0</v>
      </c>
      <c r="CB90" s="16">
        <v>0</v>
      </c>
      <c r="CC90" s="16">
        <v>0</v>
      </c>
      <c r="CD90" s="16">
        <f>SUM(CE90:CI90)</f>
        <v>0</v>
      </c>
      <c r="CE90" s="16">
        <v>0</v>
      </c>
      <c r="CF90" s="16">
        <v>0</v>
      </c>
      <c r="CG90" s="16">
        <v>0</v>
      </c>
      <c r="CH90" s="16">
        <v>0</v>
      </c>
      <c r="CI90" s="16">
        <v>0</v>
      </c>
      <c r="CJ90" s="16">
        <v>0</v>
      </c>
      <c r="CK90" s="16">
        <f>SUM(CL90:CP90)</f>
        <v>0</v>
      </c>
      <c r="CL90" s="16">
        <v>0</v>
      </c>
      <c r="CM90" s="16">
        <v>0</v>
      </c>
      <c r="CN90" s="16">
        <v>0</v>
      </c>
      <c r="CO90" s="16">
        <v>0</v>
      </c>
      <c r="CP90" s="16">
        <v>0</v>
      </c>
      <c r="CQ90" s="16">
        <v>0</v>
      </c>
      <c r="CR90" s="16">
        <v>0</v>
      </c>
      <c r="CS90" s="16">
        <v>0</v>
      </c>
      <c r="CT90" s="16">
        <f>SUM(CU90)</f>
        <v>0</v>
      </c>
      <c r="CU90" s="16">
        <f>SUM(CV90:CW90)</f>
        <v>0</v>
      </c>
      <c r="CV90" s="16">
        <v>0</v>
      </c>
      <c r="CW90" s="17">
        <v>0</v>
      </c>
      <c r="CX90" s="40"/>
    </row>
    <row r="91" spans="1:102" s="49" customFormat="1" ht="15.75" hidden="1" x14ac:dyDescent="0.25">
      <c r="A91" s="42"/>
      <c r="B91" s="43"/>
      <c r="C91" s="44" t="s">
        <v>23</v>
      </c>
      <c r="D91" s="45" t="s">
        <v>551</v>
      </c>
      <c r="E91" s="46">
        <f t="shared" si="136"/>
        <v>0</v>
      </c>
      <c r="F91" s="41">
        <f t="shared" si="137"/>
        <v>0</v>
      </c>
      <c r="G91" s="41">
        <f t="shared" si="138"/>
        <v>0</v>
      </c>
      <c r="H91" s="41"/>
      <c r="I91" s="41"/>
      <c r="J91" s="41">
        <f t="shared" ref="J91" si="145">SUM(K91:P91)</f>
        <v>0</v>
      </c>
      <c r="K91" s="41">
        <v>0</v>
      </c>
      <c r="L91" s="41"/>
      <c r="M91" s="41">
        <v>0</v>
      </c>
      <c r="N91" s="41">
        <v>0</v>
      </c>
      <c r="O91" s="41"/>
      <c r="P91" s="41"/>
      <c r="Q91" s="41">
        <f t="shared" ref="Q91" si="146">SUM(R91:S91)</f>
        <v>0</v>
      </c>
      <c r="R91" s="41"/>
      <c r="S91" s="41"/>
      <c r="T91" s="41">
        <v>0</v>
      </c>
      <c r="U91" s="41"/>
      <c r="V91" s="41">
        <f t="shared" si="139"/>
        <v>0</v>
      </c>
      <c r="W91" s="41"/>
      <c r="X91" s="41"/>
      <c r="Y91" s="41"/>
      <c r="Z91" s="41"/>
      <c r="AA91" s="41"/>
      <c r="AB91" s="41">
        <v>0</v>
      </c>
      <c r="AC91" s="41">
        <v>0</v>
      </c>
      <c r="AD91" s="41"/>
      <c r="AE91" s="41">
        <f>SUM(AF91:AZ91)</f>
        <v>0</v>
      </c>
      <c r="AF91" s="41">
        <v>0</v>
      </c>
      <c r="AG91" s="41"/>
      <c r="AH91" s="41"/>
      <c r="AI91" s="41">
        <v>0</v>
      </c>
      <c r="AJ91" s="41"/>
      <c r="AK91" s="41"/>
      <c r="AL91" s="41"/>
      <c r="AM91" s="41"/>
      <c r="AN91" s="41"/>
      <c r="AO91" s="41"/>
      <c r="AP91" s="41"/>
      <c r="AQ91" s="41">
        <v>0</v>
      </c>
      <c r="AR91" s="41">
        <v>0</v>
      </c>
      <c r="AS91" s="41"/>
      <c r="AT91" s="41">
        <v>0</v>
      </c>
      <c r="AU91" s="41">
        <v>0</v>
      </c>
      <c r="AV91" s="41">
        <v>0</v>
      </c>
      <c r="AW91" s="41">
        <v>0</v>
      </c>
      <c r="AX91" s="41">
        <v>0</v>
      </c>
      <c r="AY91" s="41"/>
      <c r="AZ91" s="41"/>
      <c r="BA91" s="41">
        <f t="shared" si="141"/>
        <v>0</v>
      </c>
      <c r="BB91" s="41">
        <f t="shared" si="142"/>
        <v>0</v>
      </c>
      <c r="BC91" s="41">
        <v>0</v>
      </c>
      <c r="BD91" s="41">
        <v>0</v>
      </c>
      <c r="BE91" s="41">
        <v>0</v>
      </c>
      <c r="BF91" s="41">
        <f t="shared" ref="BF91" si="147">SUM(BG91:BH91)</f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f t="shared" ref="BK91" si="148">SUM(BL91)</f>
        <v>0</v>
      </c>
      <c r="BL91" s="41">
        <v>0</v>
      </c>
      <c r="BM91" s="41">
        <f t="shared" ref="BM91" si="149">SUM(BN91:BX91)</f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0</v>
      </c>
      <c r="BT91" s="41">
        <v>0</v>
      </c>
      <c r="BU91" s="41">
        <v>0</v>
      </c>
      <c r="BV91" s="41">
        <v>0</v>
      </c>
      <c r="BW91" s="41"/>
      <c r="BX91" s="41">
        <v>0</v>
      </c>
      <c r="BY91" s="41">
        <f t="shared" si="143"/>
        <v>0</v>
      </c>
      <c r="BZ91" s="41">
        <f t="shared" si="144"/>
        <v>0</v>
      </c>
      <c r="CA91" s="41">
        <f t="shared" ref="CA91" si="150">SUM(CB91:CC91)</f>
        <v>0</v>
      </c>
      <c r="CB91" s="41">
        <v>0</v>
      </c>
      <c r="CC91" s="41"/>
      <c r="CD91" s="41">
        <f t="shared" ref="CD91" si="151">SUM(CE91:CI91)</f>
        <v>0</v>
      </c>
      <c r="CE91" s="41">
        <v>0</v>
      </c>
      <c r="CF91" s="41">
        <v>0</v>
      </c>
      <c r="CG91" s="41">
        <v>0</v>
      </c>
      <c r="CH91" s="41">
        <v>0</v>
      </c>
      <c r="CI91" s="41">
        <v>0</v>
      </c>
      <c r="CJ91" s="41">
        <v>0</v>
      </c>
      <c r="CK91" s="41">
        <f t="shared" ref="CK91" si="152">SUM(CL91:CP91)</f>
        <v>0</v>
      </c>
      <c r="CL91" s="41">
        <v>0</v>
      </c>
      <c r="CM91" s="41">
        <v>0</v>
      </c>
      <c r="CN91" s="41">
        <v>0</v>
      </c>
      <c r="CO91" s="41"/>
      <c r="CP91" s="41">
        <v>0</v>
      </c>
      <c r="CQ91" s="41">
        <f>SUM(CR91)</f>
        <v>0</v>
      </c>
      <c r="CR91" s="41"/>
      <c r="CS91" s="41">
        <v>0</v>
      </c>
      <c r="CT91" s="41">
        <f t="shared" ref="CT91" si="153">SUM(CU91)</f>
        <v>0</v>
      </c>
      <c r="CU91" s="41">
        <f t="shared" ref="CU91" si="154">SUM(CV91:CW91)</f>
        <v>0</v>
      </c>
      <c r="CV91" s="41">
        <v>0</v>
      </c>
      <c r="CW91" s="47">
        <v>0</v>
      </c>
      <c r="CX91" s="48"/>
    </row>
    <row r="92" spans="1:102" s="49" customFormat="1" ht="15.75" hidden="1" x14ac:dyDescent="0.25">
      <c r="A92" s="42"/>
      <c r="B92" s="43"/>
      <c r="C92" s="44" t="s">
        <v>23</v>
      </c>
      <c r="D92" s="45" t="s">
        <v>552</v>
      </c>
      <c r="E92" s="46">
        <f t="shared" si="136"/>
        <v>0</v>
      </c>
      <c r="F92" s="41">
        <f t="shared" si="137"/>
        <v>0</v>
      </c>
      <c r="G92" s="41">
        <f t="shared" si="138"/>
        <v>0</v>
      </c>
      <c r="H92" s="41"/>
      <c r="I92" s="41"/>
      <c r="J92" s="41">
        <f t="shared" ref="J92" si="155">SUM(K92:P92)</f>
        <v>0</v>
      </c>
      <c r="K92" s="41">
        <v>0</v>
      </c>
      <c r="L92" s="41"/>
      <c r="M92" s="41">
        <v>0</v>
      </c>
      <c r="N92" s="41">
        <v>0</v>
      </c>
      <c r="O92" s="41"/>
      <c r="P92" s="41"/>
      <c r="Q92" s="41">
        <f t="shared" ref="Q92" si="156">SUM(R92:S92)</f>
        <v>0</v>
      </c>
      <c r="R92" s="41"/>
      <c r="S92" s="41"/>
      <c r="T92" s="41">
        <v>0</v>
      </c>
      <c r="U92" s="41"/>
      <c r="V92" s="41">
        <f t="shared" si="139"/>
        <v>0</v>
      </c>
      <c r="W92" s="41"/>
      <c r="X92" s="41"/>
      <c r="Y92" s="41"/>
      <c r="Z92" s="41"/>
      <c r="AA92" s="41"/>
      <c r="AB92" s="41">
        <v>0</v>
      </c>
      <c r="AC92" s="41">
        <v>0</v>
      </c>
      <c r="AD92" s="41"/>
      <c r="AE92" s="41">
        <f>SUM(AF92:AZ92)</f>
        <v>0</v>
      </c>
      <c r="AF92" s="41">
        <v>0</v>
      </c>
      <c r="AG92" s="41"/>
      <c r="AH92" s="41"/>
      <c r="AI92" s="41">
        <v>0</v>
      </c>
      <c r="AJ92" s="41"/>
      <c r="AK92" s="41"/>
      <c r="AL92" s="41"/>
      <c r="AM92" s="41"/>
      <c r="AN92" s="41"/>
      <c r="AO92" s="41"/>
      <c r="AP92" s="41"/>
      <c r="AQ92" s="41">
        <v>0</v>
      </c>
      <c r="AR92" s="41">
        <v>0</v>
      </c>
      <c r="AS92" s="41"/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/>
      <c r="AZ92" s="41"/>
      <c r="BA92" s="41">
        <f t="shared" si="141"/>
        <v>0</v>
      </c>
      <c r="BB92" s="41">
        <f t="shared" si="142"/>
        <v>0</v>
      </c>
      <c r="BC92" s="41">
        <v>0</v>
      </c>
      <c r="BD92" s="41">
        <v>0</v>
      </c>
      <c r="BE92" s="41">
        <v>0</v>
      </c>
      <c r="BF92" s="41">
        <f t="shared" ref="BF92" si="157">SUM(BG92:BH92)</f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f t="shared" ref="BK92" si="158">SUM(BL92)</f>
        <v>0</v>
      </c>
      <c r="BL92" s="41">
        <v>0</v>
      </c>
      <c r="BM92" s="41">
        <f t="shared" ref="BM92" si="159">SUM(BN92:BX92)</f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/>
      <c r="BX92" s="41">
        <v>0</v>
      </c>
      <c r="BY92" s="41">
        <f t="shared" si="143"/>
        <v>0</v>
      </c>
      <c r="BZ92" s="41">
        <f t="shared" si="144"/>
        <v>0</v>
      </c>
      <c r="CA92" s="41">
        <f t="shared" ref="CA92" si="160">SUM(CB92:CC92)</f>
        <v>0</v>
      </c>
      <c r="CB92" s="41">
        <v>0</v>
      </c>
      <c r="CC92" s="41"/>
      <c r="CD92" s="41">
        <f t="shared" ref="CD92" si="161">SUM(CE92:CI92)</f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f t="shared" ref="CK92" si="162">SUM(CL92:CP92)</f>
        <v>0</v>
      </c>
      <c r="CL92" s="41">
        <v>0</v>
      </c>
      <c r="CM92" s="41">
        <v>0</v>
      </c>
      <c r="CN92" s="41">
        <v>0</v>
      </c>
      <c r="CO92" s="41"/>
      <c r="CP92" s="41">
        <v>0</v>
      </c>
      <c r="CQ92" s="41">
        <f>SUM(CR92)</f>
        <v>0</v>
      </c>
      <c r="CR92" s="41"/>
      <c r="CS92" s="41">
        <v>0</v>
      </c>
      <c r="CT92" s="41">
        <f t="shared" ref="CT92" si="163">SUM(CU92)</f>
        <v>0</v>
      </c>
      <c r="CU92" s="41">
        <f t="shared" ref="CU92" si="164">SUM(CV92:CW92)</f>
        <v>0</v>
      </c>
      <c r="CV92" s="41">
        <v>0</v>
      </c>
      <c r="CW92" s="47">
        <v>0</v>
      </c>
      <c r="CX92" s="48"/>
    </row>
    <row r="93" spans="1:102" ht="15.75" hidden="1" x14ac:dyDescent="0.25">
      <c r="A93" s="13" t="s">
        <v>1</v>
      </c>
      <c r="B93" s="14" t="s">
        <v>1</v>
      </c>
      <c r="C93" s="14" t="s">
        <v>25</v>
      </c>
      <c r="D93" s="30" t="s">
        <v>526</v>
      </c>
      <c r="E93" s="15">
        <f t="shared" si="136"/>
        <v>315668</v>
      </c>
      <c r="F93" s="16">
        <f t="shared" si="137"/>
        <v>315668</v>
      </c>
      <c r="G93" s="16">
        <f t="shared" si="138"/>
        <v>315668</v>
      </c>
      <c r="H93" s="16">
        <v>0</v>
      </c>
      <c r="I93" s="16">
        <v>0</v>
      </c>
      <c r="J93" s="16">
        <f t="shared" si="103"/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f t="shared" si="104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139"/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f t="shared" si="140"/>
        <v>315668</v>
      </c>
      <c r="AF93" s="16">
        <v>315668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f t="shared" si="141"/>
        <v>0</v>
      </c>
      <c r="BB93" s="16">
        <f t="shared" si="142"/>
        <v>0</v>
      </c>
      <c r="BC93" s="16">
        <v>0</v>
      </c>
      <c r="BD93" s="16">
        <v>0</v>
      </c>
      <c r="BE93" s="16">
        <v>0</v>
      </c>
      <c r="BF93" s="16">
        <f t="shared" si="105"/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f t="shared" si="106"/>
        <v>0</v>
      </c>
      <c r="BL93" s="16">
        <v>0</v>
      </c>
      <c r="BM93" s="16">
        <f t="shared" si="107"/>
        <v>0</v>
      </c>
      <c r="BN93" s="16">
        <v>0</v>
      </c>
      <c r="BO93" s="16">
        <v>0</v>
      </c>
      <c r="BP93" s="16">
        <v>0</v>
      </c>
      <c r="BQ93" s="16">
        <v>0</v>
      </c>
      <c r="BR93" s="16">
        <v>0</v>
      </c>
      <c r="BS93" s="16">
        <v>0</v>
      </c>
      <c r="BT93" s="16">
        <v>0</v>
      </c>
      <c r="BU93" s="16">
        <v>0</v>
      </c>
      <c r="BV93" s="16">
        <v>0</v>
      </c>
      <c r="BW93" s="16">
        <v>0</v>
      </c>
      <c r="BX93" s="16">
        <v>0</v>
      </c>
      <c r="BY93" s="16">
        <f t="shared" si="143"/>
        <v>0</v>
      </c>
      <c r="BZ93" s="16">
        <f t="shared" si="144"/>
        <v>0</v>
      </c>
      <c r="CA93" s="16">
        <f t="shared" si="108"/>
        <v>0</v>
      </c>
      <c r="CB93" s="16">
        <v>0</v>
      </c>
      <c r="CC93" s="16">
        <v>0</v>
      </c>
      <c r="CD93" s="16">
        <f t="shared" si="109"/>
        <v>0</v>
      </c>
      <c r="CE93" s="16">
        <v>0</v>
      </c>
      <c r="CF93" s="16">
        <v>0</v>
      </c>
      <c r="CG93" s="16">
        <v>0</v>
      </c>
      <c r="CH93" s="16">
        <v>0</v>
      </c>
      <c r="CI93" s="16">
        <v>0</v>
      </c>
      <c r="CJ93" s="16">
        <v>0</v>
      </c>
      <c r="CK93" s="16">
        <f t="shared" si="110"/>
        <v>0</v>
      </c>
      <c r="CL93" s="16">
        <v>0</v>
      </c>
      <c r="CM93" s="16">
        <v>0</v>
      </c>
      <c r="CN93" s="16">
        <v>0</v>
      </c>
      <c r="CO93" s="16">
        <v>0</v>
      </c>
      <c r="CP93" s="16">
        <v>0</v>
      </c>
      <c r="CQ93" s="16">
        <v>0</v>
      </c>
      <c r="CR93" s="16">
        <v>0</v>
      </c>
      <c r="CS93" s="16">
        <v>0</v>
      </c>
      <c r="CT93" s="16">
        <f t="shared" si="111"/>
        <v>0</v>
      </c>
      <c r="CU93" s="16">
        <f t="shared" si="112"/>
        <v>0</v>
      </c>
      <c r="CV93" s="16">
        <v>0</v>
      </c>
      <c r="CW93" s="17">
        <v>0</v>
      </c>
      <c r="CX93" s="40"/>
    </row>
    <row r="94" spans="1:102" ht="31.5" hidden="1" x14ac:dyDescent="0.25">
      <c r="A94" s="13" t="s">
        <v>1</v>
      </c>
      <c r="B94" s="14" t="s">
        <v>1</v>
      </c>
      <c r="C94" s="14" t="s">
        <v>98</v>
      </c>
      <c r="D94" s="30" t="s">
        <v>99</v>
      </c>
      <c r="E94" s="15">
        <f t="shared" si="136"/>
        <v>555159</v>
      </c>
      <c r="F94" s="16">
        <f t="shared" si="137"/>
        <v>555159</v>
      </c>
      <c r="G94" s="16">
        <f t="shared" si="138"/>
        <v>555159</v>
      </c>
      <c r="H94" s="16">
        <v>0</v>
      </c>
      <c r="I94" s="16">
        <v>0</v>
      </c>
      <c r="J94" s="16">
        <f t="shared" si="103"/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f t="shared" si="104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139"/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f t="shared" si="140"/>
        <v>555159</v>
      </c>
      <c r="AF94" s="16">
        <v>555159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f t="shared" si="141"/>
        <v>0</v>
      </c>
      <c r="BB94" s="16">
        <f t="shared" si="142"/>
        <v>0</v>
      </c>
      <c r="BC94" s="16">
        <v>0</v>
      </c>
      <c r="BD94" s="16">
        <v>0</v>
      </c>
      <c r="BE94" s="16">
        <v>0</v>
      </c>
      <c r="BF94" s="16">
        <f t="shared" si="105"/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f t="shared" si="106"/>
        <v>0</v>
      </c>
      <c r="BL94" s="16">
        <v>0</v>
      </c>
      <c r="BM94" s="16">
        <f t="shared" si="107"/>
        <v>0</v>
      </c>
      <c r="BN94" s="16">
        <v>0</v>
      </c>
      <c r="BO94" s="16">
        <v>0</v>
      </c>
      <c r="BP94" s="16">
        <v>0</v>
      </c>
      <c r="BQ94" s="16">
        <v>0</v>
      </c>
      <c r="BR94" s="16">
        <v>0</v>
      </c>
      <c r="BS94" s="16">
        <v>0</v>
      </c>
      <c r="BT94" s="16">
        <v>0</v>
      </c>
      <c r="BU94" s="16">
        <v>0</v>
      </c>
      <c r="BV94" s="16">
        <v>0</v>
      </c>
      <c r="BW94" s="16">
        <v>0</v>
      </c>
      <c r="BX94" s="16">
        <v>0</v>
      </c>
      <c r="BY94" s="16">
        <f t="shared" si="143"/>
        <v>0</v>
      </c>
      <c r="BZ94" s="16">
        <f t="shared" si="144"/>
        <v>0</v>
      </c>
      <c r="CA94" s="16">
        <f t="shared" si="108"/>
        <v>0</v>
      </c>
      <c r="CB94" s="16">
        <v>0</v>
      </c>
      <c r="CC94" s="16">
        <v>0</v>
      </c>
      <c r="CD94" s="16">
        <f t="shared" si="109"/>
        <v>0</v>
      </c>
      <c r="CE94" s="16">
        <v>0</v>
      </c>
      <c r="CF94" s="16">
        <v>0</v>
      </c>
      <c r="CG94" s="16">
        <v>0</v>
      </c>
      <c r="CH94" s="16">
        <v>0</v>
      </c>
      <c r="CI94" s="16">
        <v>0</v>
      </c>
      <c r="CJ94" s="16">
        <v>0</v>
      </c>
      <c r="CK94" s="16">
        <f t="shared" si="110"/>
        <v>0</v>
      </c>
      <c r="CL94" s="16">
        <v>0</v>
      </c>
      <c r="CM94" s="16">
        <v>0</v>
      </c>
      <c r="CN94" s="16">
        <v>0</v>
      </c>
      <c r="CO94" s="16">
        <v>0</v>
      </c>
      <c r="CP94" s="16">
        <v>0</v>
      </c>
      <c r="CQ94" s="16">
        <v>0</v>
      </c>
      <c r="CR94" s="16">
        <v>0</v>
      </c>
      <c r="CS94" s="16">
        <v>0</v>
      </c>
      <c r="CT94" s="16">
        <f t="shared" si="111"/>
        <v>0</v>
      </c>
      <c r="CU94" s="16">
        <f t="shared" si="112"/>
        <v>0</v>
      </c>
      <c r="CV94" s="16">
        <v>0</v>
      </c>
      <c r="CW94" s="17">
        <v>0</v>
      </c>
      <c r="CX94" s="40"/>
    </row>
    <row r="95" spans="1:102" ht="15.75" hidden="1" x14ac:dyDescent="0.25">
      <c r="A95" s="13" t="s">
        <v>1</v>
      </c>
      <c r="B95" s="14" t="s">
        <v>1</v>
      </c>
      <c r="C95" s="14" t="s">
        <v>29</v>
      </c>
      <c r="D95" s="30" t="s">
        <v>525</v>
      </c>
      <c r="E95" s="15">
        <f t="shared" si="136"/>
        <v>661407</v>
      </c>
      <c r="F95" s="16">
        <f t="shared" si="137"/>
        <v>661407</v>
      </c>
      <c r="G95" s="16">
        <f t="shared" si="138"/>
        <v>661407</v>
      </c>
      <c r="H95" s="16">
        <v>0</v>
      </c>
      <c r="I95" s="16">
        <v>0</v>
      </c>
      <c r="J95" s="16">
        <f t="shared" si="103"/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f t="shared" si="104"/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139"/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f t="shared" si="140"/>
        <v>661407</v>
      </c>
      <c r="AF95" s="16">
        <v>661407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f t="shared" si="141"/>
        <v>0</v>
      </c>
      <c r="BB95" s="16">
        <f t="shared" si="142"/>
        <v>0</v>
      </c>
      <c r="BC95" s="16">
        <v>0</v>
      </c>
      <c r="BD95" s="16">
        <v>0</v>
      </c>
      <c r="BE95" s="16">
        <v>0</v>
      </c>
      <c r="BF95" s="16">
        <f t="shared" si="105"/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f t="shared" si="106"/>
        <v>0</v>
      </c>
      <c r="BL95" s="16">
        <v>0</v>
      </c>
      <c r="BM95" s="16">
        <f t="shared" si="107"/>
        <v>0</v>
      </c>
      <c r="BN95" s="16">
        <v>0</v>
      </c>
      <c r="BO95" s="16">
        <v>0</v>
      </c>
      <c r="BP95" s="16">
        <v>0</v>
      </c>
      <c r="BQ95" s="16">
        <v>0</v>
      </c>
      <c r="BR95" s="16">
        <v>0</v>
      </c>
      <c r="BS95" s="16">
        <v>0</v>
      </c>
      <c r="BT95" s="16">
        <v>0</v>
      </c>
      <c r="BU95" s="16">
        <v>0</v>
      </c>
      <c r="BV95" s="16">
        <v>0</v>
      </c>
      <c r="BW95" s="16">
        <v>0</v>
      </c>
      <c r="BX95" s="16">
        <v>0</v>
      </c>
      <c r="BY95" s="16">
        <f t="shared" si="143"/>
        <v>0</v>
      </c>
      <c r="BZ95" s="16">
        <f t="shared" si="144"/>
        <v>0</v>
      </c>
      <c r="CA95" s="16">
        <f t="shared" si="108"/>
        <v>0</v>
      </c>
      <c r="CB95" s="16">
        <v>0</v>
      </c>
      <c r="CC95" s="16">
        <v>0</v>
      </c>
      <c r="CD95" s="16">
        <f t="shared" si="109"/>
        <v>0</v>
      </c>
      <c r="CE95" s="16">
        <v>0</v>
      </c>
      <c r="CF95" s="16">
        <v>0</v>
      </c>
      <c r="CG95" s="16">
        <v>0</v>
      </c>
      <c r="CH95" s="16">
        <v>0</v>
      </c>
      <c r="CI95" s="16">
        <v>0</v>
      </c>
      <c r="CJ95" s="16">
        <v>0</v>
      </c>
      <c r="CK95" s="16">
        <f t="shared" si="110"/>
        <v>0</v>
      </c>
      <c r="CL95" s="16">
        <v>0</v>
      </c>
      <c r="CM95" s="16">
        <v>0</v>
      </c>
      <c r="CN95" s="16">
        <v>0</v>
      </c>
      <c r="CO95" s="16">
        <v>0</v>
      </c>
      <c r="CP95" s="16">
        <v>0</v>
      </c>
      <c r="CQ95" s="16">
        <v>0</v>
      </c>
      <c r="CR95" s="16">
        <v>0</v>
      </c>
      <c r="CS95" s="16">
        <v>0</v>
      </c>
      <c r="CT95" s="16">
        <f t="shared" si="111"/>
        <v>0</v>
      </c>
      <c r="CU95" s="16">
        <f t="shared" si="112"/>
        <v>0</v>
      </c>
      <c r="CV95" s="16">
        <v>0</v>
      </c>
      <c r="CW95" s="17">
        <v>0</v>
      </c>
      <c r="CX95" s="40"/>
    </row>
    <row r="96" spans="1:102" ht="31.5" hidden="1" x14ac:dyDescent="0.25">
      <c r="A96" s="13" t="s">
        <v>1</v>
      </c>
      <c r="B96" s="14" t="s">
        <v>1</v>
      </c>
      <c r="C96" s="14" t="s">
        <v>122</v>
      </c>
      <c r="D96" s="30" t="s">
        <v>520</v>
      </c>
      <c r="E96" s="15">
        <f t="shared" si="136"/>
        <v>366211</v>
      </c>
      <c r="F96" s="16">
        <f t="shared" si="137"/>
        <v>350593</v>
      </c>
      <c r="G96" s="16">
        <f t="shared" si="138"/>
        <v>350593</v>
      </c>
      <c r="H96" s="16">
        <v>274466</v>
      </c>
      <c r="I96" s="16">
        <v>63541</v>
      </c>
      <c r="J96" s="16">
        <f t="shared" si="103"/>
        <v>9114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9114</v>
      </c>
      <c r="Q96" s="16">
        <f t="shared" si="104"/>
        <v>1736</v>
      </c>
      <c r="R96" s="16">
        <v>0</v>
      </c>
      <c r="S96" s="16">
        <v>1736</v>
      </c>
      <c r="T96" s="16">
        <v>0</v>
      </c>
      <c r="U96" s="16">
        <v>0</v>
      </c>
      <c r="V96" s="16">
        <f t="shared" si="139"/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f t="shared" si="140"/>
        <v>1736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1736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f t="shared" si="141"/>
        <v>0</v>
      </c>
      <c r="BB96" s="16">
        <f t="shared" si="142"/>
        <v>0</v>
      </c>
      <c r="BC96" s="16">
        <v>0</v>
      </c>
      <c r="BD96" s="16">
        <v>0</v>
      </c>
      <c r="BE96" s="16">
        <v>0</v>
      </c>
      <c r="BF96" s="16">
        <f t="shared" si="105"/>
        <v>0</v>
      </c>
      <c r="BG96" s="16">
        <v>0</v>
      </c>
      <c r="BH96" s="16">
        <v>0</v>
      </c>
      <c r="BI96" s="16">
        <v>0</v>
      </c>
      <c r="BJ96" s="16">
        <v>0</v>
      </c>
      <c r="BK96" s="16">
        <f t="shared" si="106"/>
        <v>0</v>
      </c>
      <c r="BL96" s="16">
        <v>0</v>
      </c>
      <c r="BM96" s="16">
        <f t="shared" si="107"/>
        <v>0</v>
      </c>
      <c r="BN96" s="16">
        <v>0</v>
      </c>
      <c r="BO96" s="16">
        <v>0</v>
      </c>
      <c r="BP96" s="16">
        <v>0</v>
      </c>
      <c r="BQ96" s="16">
        <v>0</v>
      </c>
      <c r="BR96" s="16">
        <v>0</v>
      </c>
      <c r="BS96" s="16">
        <v>0</v>
      </c>
      <c r="BT96" s="16">
        <v>0</v>
      </c>
      <c r="BU96" s="16">
        <v>0</v>
      </c>
      <c r="BV96" s="16">
        <v>0</v>
      </c>
      <c r="BW96" s="16">
        <v>0</v>
      </c>
      <c r="BX96" s="16">
        <v>0</v>
      </c>
      <c r="BY96" s="16">
        <f t="shared" si="143"/>
        <v>15618</v>
      </c>
      <c r="BZ96" s="16">
        <f t="shared" si="144"/>
        <v>15618</v>
      </c>
      <c r="CA96" s="16">
        <f t="shared" si="108"/>
        <v>15618</v>
      </c>
      <c r="CB96" s="16">
        <v>0</v>
      </c>
      <c r="CC96" s="16">
        <v>15618</v>
      </c>
      <c r="CD96" s="16">
        <f t="shared" si="109"/>
        <v>0</v>
      </c>
      <c r="CE96" s="16">
        <v>0</v>
      </c>
      <c r="CF96" s="16">
        <v>0</v>
      </c>
      <c r="CG96" s="16">
        <v>0</v>
      </c>
      <c r="CH96" s="16">
        <v>0</v>
      </c>
      <c r="CI96" s="16">
        <v>0</v>
      </c>
      <c r="CJ96" s="16">
        <v>0</v>
      </c>
      <c r="CK96" s="16">
        <f t="shared" si="110"/>
        <v>0</v>
      </c>
      <c r="CL96" s="16">
        <v>0</v>
      </c>
      <c r="CM96" s="16">
        <v>0</v>
      </c>
      <c r="CN96" s="16">
        <v>0</v>
      </c>
      <c r="CO96" s="16">
        <v>0</v>
      </c>
      <c r="CP96" s="16">
        <v>0</v>
      </c>
      <c r="CQ96" s="16">
        <v>0</v>
      </c>
      <c r="CR96" s="16">
        <v>0</v>
      </c>
      <c r="CS96" s="16">
        <v>0</v>
      </c>
      <c r="CT96" s="16">
        <f t="shared" si="111"/>
        <v>0</v>
      </c>
      <c r="CU96" s="16">
        <f t="shared" si="112"/>
        <v>0</v>
      </c>
      <c r="CV96" s="16">
        <v>0</v>
      </c>
      <c r="CW96" s="17">
        <v>0</v>
      </c>
      <c r="CX96" s="40"/>
    </row>
    <row r="97" spans="1:102" ht="15.75" hidden="1" x14ac:dyDescent="0.25">
      <c r="A97" s="13" t="s">
        <v>1</v>
      </c>
      <c r="B97" s="14" t="s">
        <v>1</v>
      </c>
      <c r="C97" s="14" t="s">
        <v>113</v>
      </c>
      <c r="D97" s="30" t="s">
        <v>553</v>
      </c>
      <c r="E97" s="15">
        <f t="shared" si="136"/>
        <v>117472</v>
      </c>
      <c r="F97" s="16">
        <f t="shared" si="137"/>
        <v>117472</v>
      </c>
      <c r="G97" s="16">
        <f t="shared" si="138"/>
        <v>117472</v>
      </c>
      <c r="H97" s="16">
        <v>0</v>
      </c>
      <c r="I97" s="16">
        <v>0</v>
      </c>
      <c r="J97" s="16">
        <f>SUM(K97:P97)</f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f>SUM(R97:S97)</f>
        <v>0</v>
      </c>
      <c r="R97" s="16">
        <v>0</v>
      </c>
      <c r="S97" s="16">
        <v>0</v>
      </c>
      <c r="T97" s="16">
        <v>0</v>
      </c>
      <c r="U97" s="16">
        <v>0</v>
      </c>
      <c r="V97" s="16">
        <f t="shared" si="139"/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f t="shared" si="140"/>
        <v>117472</v>
      </c>
      <c r="AF97" s="16">
        <v>117472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f t="shared" si="141"/>
        <v>0</v>
      </c>
      <c r="BB97" s="16">
        <f t="shared" si="142"/>
        <v>0</v>
      </c>
      <c r="BC97" s="16">
        <v>0</v>
      </c>
      <c r="BD97" s="16">
        <v>0</v>
      </c>
      <c r="BE97" s="16">
        <v>0</v>
      </c>
      <c r="BF97" s="16">
        <f>SUM(BG97:BH97)</f>
        <v>0</v>
      </c>
      <c r="BG97" s="16">
        <v>0</v>
      </c>
      <c r="BH97" s="16">
        <v>0</v>
      </c>
      <c r="BI97" s="16">
        <v>0</v>
      </c>
      <c r="BJ97" s="16">
        <v>0</v>
      </c>
      <c r="BK97" s="16">
        <f>SUM(BL97)</f>
        <v>0</v>
      </c>
      <c r="BL97" s="16">
        <v>0</v>
      </c>
      <c r="BM97" s="16">
        <f>SUM(BN97:BX97)</f>
        <v>0</v>
      </c>
      <c r="BN97" s="16">
        <v>0</v>
      </c>
      <c r="BO97" s="16">
        <v>0</v>
      </c>
      <c r="BP97" s="16">
        <v>0</v>
      </c>
      <c r="BQ97" s="16">
        <v>0</v>
      </c>
      <c r="BR97" s="16">
        <v>0</v>
      </c>
      <c r="BS97" s="16">
        <v>0</v>
      </c>
      <c r="BT97" s="16">
        <v>0</v>
      </c>
      <c r="BU97" s="16">
        <v>0</v>
      </c>
      <c r="BV97" s="16">
        <v>0</v>
      </c>
      <c r="BW97" s="16">
        <v>0</v>
      </c>
      <c r="BX97" s="16">
        <v>0</v>
      </c>
      <c r="BY97" s="16">
        <f t="shared" si="143"/>
        <v>0</v>
      </c>
      <c r="BZ97" s="16">
        <f t="shared" si="144"/>
        <v>0</v>
      </c>
      <c r="CA97" s="16">
        <f>SUM(CB97:CC97)</f>
        <v>0</v>
      </c>
      <c r="CB97" s="16">
        <v>0</v>
      </c>
      <c r="CC97" s="16">
        <v>0</v>
      </c>
      <c r="CD97" s="16">
        <f>SUM(CE97:CI97)</f>
        <v>0</v>
      </c>
      <c r="CE97" s="16">
        <v>0</v>
      </c>
      <c r="CF97" s="16">
        <v>0</v>
      </c>
      <c r="CG97" s="16">
        <v>0</v>
      </c>
      <c r="CH97" s="16">
        <v>0</v>
      </c>
      <c r="CI97" s="16">
        <v>0</v>
      </c>
      <c r="CJ97" s="16">
        <v>0</v>
      </c>
      <c r="CK97" s="16">
        <f>SUM(CL97:CP97)</f>
        <v>0</v>
      </c>
      <c r="CL97" s="16">
        <v>0</v>
      </c>
      <c r="CM97" s="16">
        <v>0</v>
      </c>
      <c r="CN97" s="16">
        <v>0</v>
      </c>
      <c r="CO97" s="16">
        <v>0</v>
      </c>
      <c r="CP97" s="16">
        <v>0</v>
      </c>
      <c r="CQ97" s="16">
        <v>0</v>
      </c>
      <c r="CR97" s="16">
        <v>0</v>
      </c>
      <c r="CS97" s="16">
        <v>0</v>
      </c>
      <c r="CT97" s="16">
        <f>SUM(CU97)</f>
        <v>0</v>
      </c>
      <c r="CU97" s="16">
        <f>SUM(CV97:CW97)</f>
        <v>0</v>
      </c>
      <c r="CV97" s="16">
        <v>0</v>
      </c>
      <c r="CW97" s="17">
        <v>0</v>
      </c>
      <c r="CX97" s="40"/>
    </row>
    <row r="98" spans="1:102" ht="31.5" hidden="1" x14ac:dyDescent="0.25">
      <c r="A98" s="13" t="s">
        <v>1</v>
      </c>
      <c r="B98" s="14" t="s">
        <v>1</v>
      </c>
      <c r="C98" s="14" t="s">
        <v>33</v>
      </c>
      <c r="D98" s="30" t="s">
        <v>123</v>
      </c>
      <c r="E98" s="15">
        <f t="shared" si="136"/>
        <v>25035</v>
      </c>
      <c r="F98" s="16">
        <f t="shared" si="137"/>
        <v>25035</v>
      </c>
      <c r="G98" s="16">
        <f t="shared" si="138"/>
        <v>25035</v>
      </c>
      <c r="H98" s="16">
        <v>20028</v>
      </c>
      <c r="I98" s="16">
        <v>5007</v>
      </c>
      <c r="J98" s="16">
        <f t="shared" si="103"/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f t="shared" si="104"/>
        <v>0</v>
      </c>
      <c r="R98" s="16">
        <v>0</v>
      </c>
      <c r="S98" s="16">
        <v>0</v>
      </c>
      <c r="T98" s="16">
        <v>0</v>
      </c>
      <c r="U98" s="16">
        <v>0</v>
      </c>
      <c r="V98" s="16">
        <f t="shared" si="139"/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f t="shared" si="140"/>
        <v>0</v>
      </c>
      <c r="AF98" s="16">
        <f>129044-129044</f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f t="shared" si="141"/>
        <v>0</v>
      </c>
      <c r="BB98" s="16">
        <f t="shared" si="142"/>
        <v>0</v>
      </c>
      <c r="BC98" s="16">
        <v>0</v>
      </c>
      <c r="BD98" s="16">
        <v>0</v>
      </c>
      <c r="BE98" s="16">
        <v>0</v>
      </c>
      <c r="BF98" s="16">
        <f t="shared" si="105"/>
        <v>0</v>
      </c>
      <c r="BG98" s="16">
        <v>0</v>
      </c>
      <c r="BH98" s="16">
        <v>0</v>
      </c>
      <c r="BI98" s="16">
        <v>0</v>
      </c>
      <c r="BJ98" s="16">
        <v>0</v>
      </c>
      <c r="BK98" s="16">
        <f t="shared" si="106"/>
        <v>0</v>
      </c>
      <c r="BL98" s="16">
        <v>0</v>
      </c>
      <c r="BM98" s="16">
        <f t="shared" si="107"/>
        <v>0</v>
      </c>
      <c r="BN98" s="16">
        <v>0</v>
      </c>
      <c r="BO98" s="16">
        <v>0</v>
      </c>
      <c r="BP98" s="16">
        <v>0</v>
      </c>
      <c r="BQ98" s="16">
        <v>0</v>
      </c>
      <c r="BR98" s="16">
        <v>0</v>
      </c>
      <c r="BS98" s="16">
        <v>0</v>
      </c>
      <c r="BT98" s="16">
        <v>0</v>
      </c>
      <c r="BU98" s="16">
        <v>0</v>
      </c>
      <c r="BV98" s="16">
        <v>0</v>
      </c>
      <c r="BW98" s="16">
        <v>0</v>
      </c>
      <c r="BX98" s="16">
        <v>0</v>
      </c>
      <c r="BY98" s="16">
        <f t="shared" si="143"/>
        <v>0</v>
      </c>
      <c r="BZ98" s="16">
        <f t="shared" si="144"/>
        <v>0</v>
      </c>
      <c r="CA98" s="16">
        <f t="shared" si="108"/>
        <v>0</v>
      </c>
      <c r="CB98" s="16">
        <v>0</v>
      </c>
      <c r="CC98" s="16">
        <v>0</v>
      </c>
      <c r="CD98" s="16">
        <f t="shared" si="109"/>
        <v>0</v>
      </c>
      <c r="CE98" s="16">
        <v>0</v>
      </c>
      <c r="CF98" s="16">
        <v>0</v>
      </c>
      <c r="CG98" s="16">
        <v>0</v>
      </c>
      <c r="CH98" s="16">
        <v>0</v>
      </c>
      <c r="CI98" s="16">
        <v>0</v>
      </c>
      <c r="CJ98" s="16">
        <v>0</v>
      </c>
      <c r="CK98" s="16">
        <f t="shared" si="110"/>
        <v>0</v>
      </c>
      <c r="CL98" s="16">
        <v>0</v>
      </c>
      <c r="CM98" s="16">
        <v>0</v>
      </c>
      <c r="CN98" s="16">
        <v>0</v>
      </c>
      <c r="CO98" s="16">
        <v>0</v>
      </c>
      <c r="CP98" s="16">
        <v>0</v>
      </c>
      <c r="CQ98" s="16">
        <v>0</v>
      </c>
      <c r="CR98" s="16">
        <v>0</v>
      </c>
      <c r="CS98" s="16">
        <v>0</v>
      </c>
      <c r="CT98" s="16">
        <f t="shared" si="111"/>
        <v>0</v>
      </c>
      <c r="CU98" s="16">
        <f t="shared" si="112"/>
        <v>0</v>
      </c>
      <c r="CV98" s="16">
        <v>0</v>
      </c>
      <c r="CW98" s="17">
        <v>0</v>
      </c>
      <c r="CX98" s="40"/>
    </row>
    <row r="99" spans="1:102" ht="31.5" hidden="1" x14ac:dyDescent="0.25">
      <c r="A99" s="18" t="s">
        <v>124</v>
      </c>
      <c r="B99" s="19" t="s">
        <v>1</v>
      </c>
      <c r="C99" s="19" t="s">
        <v>1</v>
      </c>
      <c r="D99" s="31" t="s">
        <v>125</v>
      </c>
      <c r="E99" s="20">
        <f>SUM(E100)</f>
        <v>144656032</v>
      </c>
      <c r="F99" s="21">
        <f t="shared" ref="F99:BS100" si="165">SUM(F100)</f>
        <v>144656032</v>
      </c>
      <c r="G99" s="21">
        <f t="shared" si="165"/>
        <v>0</v>
      </c>
      <c r="H99" s="21">
        <f t="shared" si="165"/>
        <v>0</v>
      </c>
      <c r="I99" s="21">
        <f t="shared" si="165"/>
        <v>0</v>
      </c>
      <c r="J99" s="21">
        <f t="shared" si="165"/>
        <v>0</v>
      </c>
      <c r="K99" s="21">
        <f t="shared" si="165"/>
        <v>0</v>
      </c>
      <c r="L99" s="21">
        <f t="shared" si="165"/>
        <v>0</v>
      </c>
      <c r="M99" s="21">
        <f t="shared" si="165"/>
        <v>0</v>
      </c>
      <c r="N99" s="21">
        <f t="shared" si="165"/>
        <v>0</v>
      </c>
      <c r="O99" s="21">
        <f t="shared" si="165"/>
        <v>0</v>
      </c>
      <c r="P99" s="21">
        <f t="shared" si="165"/>
        <v>0</v>
      </c>
      <c r="Q99" s="21">
        <f t="shared" si="165"/>
        <v>0</v>
      </c>
      <c r="R99" s="21">
        <f t="shared" si="165"/>
        <v>0</v>
      </c>
      <c r="S99" s="21">
        <f t="shared" si="165"/>
        <v>0</v>
      </c>
      <c r="T99" s="21">
        <f t="shared" si="165"/>
        <v>0</v>
      </c>
      <c r="U99" s="21">
        <f t="shared" si="165"/>
        <v>0</v>
      </c>
      <c r="V99" s="21">
        <f t="shared" si="165"/>
        <v>0</v>
      </c>
      <c r="W99" s="21">
        <f t="shared" si="165"/>
        <v>0</v>
      </c>
      <c r="X99" s="21">
        <f t="shared" si="165"/>
        <v>0</v>
      </c>
      <c r="Y99" s="21">
        <f t="shared" si="165"/>
        <v>0</v>
      </c>
      <c r="Z99" s="21">
        <f t="shared" si="165"/>
        <v>0</v>
      </c>
      <c r="AA99" s="21">
        <f t="shared" si="165"/>
        <v>0</v>
      </c>
      <c r="AB99" s="21">
        <f t="shared" si="165"/>
        <v>0</v>
      </c>
      <c r="AC99" s="21">
        <f t="shared" si="165"/>
        <v>0</v>
      </c>
      <c r="AD99" s="21">
        <f t="shared" si="165"/>
        <v>0</v>
      </c>
      <c r="AE99" s="21">
        <f t="shared" si="165"/>
        <v>0</v>
      </c>
      <c r="AF99" s="21">
        <f t="shared" si="165"/>
        <v>0</v>
      </c>
      <c r="AG99" s="21">
        <f t="shared" si="165"/>
        <v>0</v>
      </c>
      <c r="AH99" s="21">
        <f t="shared" si="165"/>
        <v>0</v>
      </c>
      <c r="AI99" s="21">
        <f t="shared" si="165"/>
        <v>0</v>
      </c>
      <c r="AJ99" s="21">
        <f t="shared" si="165"/>
        <v>0</v>
      </c>
      <c r="AK99" s="21">
        <f t="shared" si="165"/>
        <v>0</v>
      </c>
      <c r="AL99" s="21">
        <f t="shared" si="165"/>
        <v>0</v>
      </c>
      <c r="AM99" s="21">
        <f t="shared" si="165"/>
        <v>0</v>
      </c>
      <c r="AN99" s="21">
        <f t="shared" si="165"/>
        <v>0</v>
      </c>
      <c r="AO99" s="21">
        <f t="shared" si="165"/>
        <v>0</v>
      </c>
      <c r="AP99" s="21">
        <f t="shared" si="165"/>
        <v>0</v>
      </c>
      <c r="AQ99" s="21">
        <f t="shared" si="165"/>
        <v>0</v>
      </c>
      <c r="AR99" s="21">
        <f t="shared" si="165"/>
        <v>0</v>
      </c>
      <c r="AS99" s="21">
        <f t="shared" si="165"/>
        <v>0</v>
      </c>
      <c r="AT99" s="21">
        <f t="shared" si="165"/>
        <v>0</v>
      </c>
      <c r="AU99" s="21">
        <f t="shared" si="165"/>
        <v>0</v>
      </c>
      <c r="AV99" s="21">
        <f t="shared" si="165"/>
        <v>0</v>
      </c>
      <c r="AW99" s="21">
        <f t="shared" si="165"/>
        <v>0</v>
      </c>
      <c r="AX99" s="21">
        <f t="shared" si="165"/>
        <v>0</v>
      </c>
      <c r="AY99" s="21">
        <f t="shared" si="165"/>
        <v>0</v>
      </c>
      <c r="AZ99" s="21">
        <f t="shared" si="165"/>
        <v>0</v>
      </c>
      <c r="BA99" s="21">
        <f t="shared" si="165"/>
        <v>144656032</v>
      </c>
      <c r="BB99" s="21">
        <f t="shared" si="165"/>
        <v>144656032</v>
      </c>
      <c r="BC99" s="21">
        <f t="shared" si="165"/>
        <v>144656032</v>
      </c>
      <c r="BD99" s="21">
        <f t="shared" si="165"/>
        <v>0</v>
      </c>
      <c r="BE99" s="21">
        <f t="shared" si="165"/>
        <v>0</v>
      </c>
      <c r="BF99" s="21">
        <f t="shared" si="165"/>
        <v>0</v>
      </c>
      <c r="BG99" s="21">
        <f t="shared" si="165"/>
        <v>0</v>
      </c>
      <c r="BH99" s="21">
        <f t="shared" si="165"/>
        <v>0</v>
      </c>
      <c r="BI99" s="21">
        <f t="shared" si="165"/>
        <v>0</v>
      </c>
      <c r="BJ99" s="21">
        <f t="shared" si="165"/>
        <v>0</v>
      </c>
      <c r="BK99" s="21">
        <f t="shared" si="165"/>
        <v>0</v>
      </c>
      <c r="BL99" s="21">
        <f t="shared" si="165"/>
        <v>0</v>
      </c>
      <c r="BM99" s="21">
        <f t="shared" si="165"/>
        <v>0</v>
      </c>
      <c r="BN99" s="21">
        <f t="shared" si="165"/>
        <v>0</v>
      </c>
      <c r="BO99" s="21">
        <f t="shared" si="165"/>
        <v>0</v>
      </c>
      <c r="BP99" s="21">
        <f t="shared" si="165"/>
        <v>0</v>
      </c>
      <c r="BQ99" s="21">
        <f t="shared" si="165"/>
        <v>0</v>
      </c>
      <c r="BR99" s="21">
        <f t="shared" si="165"/>
        <v>0</v>
      </c>
      <c r="BS99" s="21">
        <f t="shared" si="165"/>
        <v>0</v>
      </c>
      <c r="BT99" s="21">
        <f t="shared" ref="BT99:CW100" si="166">SUM(BT100)</f>
        <v>0</v>
      </c>
      <c r="BU99" s="21">
        <f t="shared" si="166"/>
        <v>0</v>
      </c>
      <c r="BV99" s="21">
        <f t="shared" si="166"/>
        <v>0</v>
      </c>
      <c r="BW99" s="21">
        <f t="shared" si="166"/>
        <v>0</v>
      </c>
      <c r="BX99" s="21">
        <f t="shared" si="166"/>
        <v>0</v>
      </c>
      <c r="BY99" s="21">
        <f t="shared" si="166"/>
        <v>0</v>
      </c>
      <c r="BZ99" s="21">
        <f t="shared" si="166"/>
        <v>0</v>
      </c>
      <c r="CA99" s="21">
        <f t="shared" si="166"/>
        <v>0</v>
      </c>
      <c r="CB99" s="21">
        <f t="shared" si="166"/>
        <v>0</v>
      </c>
      <c r="CC99" s="21">
        <f t="shared" si="166"/>
        <v>0</v>
      </c>
      <c r="CD99" s="21">
        <f t="shared" si="166"/>
        <v>0</v>
      </c>
      <c r="CE99" s="21">
        <f t="shared" si="166"/>
        <v>0</v>
      </c>
      <c r="CF99" s="21">
        <f t="shared" si="166"/>
        <v>0</v>
      </c>
      <c r="CG99" s="21">
        <f t="shared" si="166"/>
        <v>0</v>
      </c>
      <c r="CH99" s="21">
        <f t="shared" si="166"/>
        <v>0</v>
      </c>
      <c r="CI99" s="21">
        <f t="shared" si="166"/>
        <v>0</v>
      </c>
      <c r="CJ99" s="21">
        <f t="shared" si="166"/>
        <v>0</v>
      </c>
      <c r="CK99" s="21">
        <f t="shared" si="166"/>
        <v>0</v>
      </c>
      <c r="CL99" s="21">
        <f t="shared" si="166"/>
        <v>0</v>
      </c>
      <c r="CM99" s="21">
        <f t="shared" si="166"/>
        <v>0</v>
      </c>
      <c r="CN99" s="21">
        <f t="shared" si="166"/>
        <v>0</v>
      </c>
      <c r="CO99" s="21">
        <f t="shared" si="166"/>
        <v>0</v>
      </c>
      <c r="CP99" s="21">
        <f t="shared" si="166"/>
        <v>0</v>
      </c>
      <c r="CQ99" s="21">
        <f t="shared" si="166"/>
        <v>0</v>
      </c>
      <c r="CR99" s="21">
        <f t="shared" si="166"/>
        <v>0</v>
      </c>
      <c r="CS99" s="21">
        <f t="shared" si="166"/>
        <v>0</v>
      </c>
      <c r="CT99" s="21">
        <f t="shared" si="166"/>
        <v>0</v>
      </c>
      <c r="CU99" s="21">
        <f t="shared" si="166"/>
        <v>0</v>
      </c>
      <c r="CV99" s="21">
        <f t="shared" si="166"/>
        <v>0</v>
      </c>
      <c r="CW99" s="22">
        <f t="shared" si="166"/>
        <v>0</v>
      </c>
      <c r="CX99" s="40"/>
    </row>
    <row r="100" spans="1:102" ht="31.5" hidden="1" x14ac:dyDescent="0.25">
      <c r="A100" s="13" t="s">
        <v>100</v>
      </c>
      <c r="B100" s="14" t="s">
        <v>100</v>
      </c>
      <c r="C100" s="14" t="s">
        <v>1</v>
      </c>
      <c r="D100" s="30" t="s">
        <v>126</v>
      </c>
      <c r="E100" s="15">
        <f>SUM(E101)</f>
        <v>144656032</v>
      </c>
      <c r="F100" s="16">
        <f t="shared" si="165"/>
        <v>144656032</v>
      </c>
      <c r="G100" s="16">
        <f t="shared" si="165"/>
        <v>0</v>
      </c>
      <c r="H100" s="16">
        <f t="shared" si="165"/>
        <v>0</v>
      </c>
      <c r="I100" s="16">
        <f t="shared" si="165"/>
        <v>0</v>
      </c>
      <c r="J100" s="16">
        <f t="shared" si="165"/>
        <v>0</v>
      </c>
      <c r="K100" s="16">
        <f t="shared" si="165"/>
        <v>0</v>
      </c>
      <c r="L100" s="16">
        <f t="shared" si="165"/>
        <v>0</v>
      </c>
      <c r="M100" s="16">
        <f t="shared" si="165"/>
        <v>0</v>
      </c>
      <c r="N100" s="16">
        <f t="shared" si="165"/>
        <v>0</v>
      </c>
      <c r="O100" s="16">
        <f t="shared" si="165"/>
        <v>0</v>
      </c>
      <c r="P100" s="16">
        <f t="shared" si="165"/>
        <v>0</v>
      </c>
      <c r="Q100" s="16">
        <f t="shared" si="165"/>
        <v>0</v>
      </c>
      <c r="R100" s="16">
        <f t="shared" si="165"/>
        <v>0</v>
      </c>
      <c r="S100" s="16">
        <f t="shared" si="165"/>
        <v>0</v>
      </c>
      <c r="T100" s="16">
        <f t="shared" si="165"/>
        <v>0</v>
      </c>
      <c r="U100" s="16">
        <f t="shared" si="165"/>
        <v>0</v>
      </c>
      <c r="V100" s="16">
        <f t="shared" si="165"/>
        <v>0</v>
      </c>
      <c r="W100" s="16">
        <f t="shared" si="165"/>
        <v>0</v>
      </c>
      <c r="X100" s="16">
        <f t="shared" si="165"/>
        <v>0</v>
      </c>
      <c r="Y100" s="16">
        <f t="shared" si="165"/>
        <v>0</v>
      </c>
      <c r="Z100" s="16">
        <f t="shared" si="165"/>
        <v>0</v>
      </c>
      <c r="AA100" s="16">
        <f t="shared" si="165"/>
        <v>0</v>
      </c>
      <c r="AB100" s="16">
        <f t="shared" si="165"/>
        <v>0</v>
      </c>
      <c r="AC100" s="16">
        <f t="shared" si="165"/>
        <v>0</v>
      </c>
      <c r="AD100" s="16">
        <f t="shared" si="165"/>
        <v>0</v>
      </c>
      <c r="AE100" s="16">
        <f t="shared" si="165"/>
        <v>0</v>
      </c>
      <c r="AF100" s="16">
        <f t="shared" si="165"/>
        <v>0</v>
      </c>
      <c r="AG100" s="16">
        <f t="shared" si="165"/>
        <v>0</v>
      </c>
      <c r="AH100" s="16">
        <f t="shared" si="165"/>
        <v>0</v>
      </c>
      <c r="AI100" s="16">
        <f t="shared" si="165"/>
        <v>0</v>
      </c>
      <c r="AJ100" s="16">
        <f t="shared" si="165"/>
        <v>0</v>
      </c>
      <c r="AK100" s="16">
        <f t="shared" si="165"/>
        <v>0</v>
      </c>
      <c r="AL100" s="16">
        <f t="shared" si="165"/>
        <v>0</v>
      </c>
      <c r="AM100" s="16">
        <f t="shared" si="165"/>
        <v>0</v>
      </c>
      <c r="AN100" s="16">
        <f t="shared" si="165"/>
        <v>0</v>
      </c>
      <c r="AO100" s="16">
        <f t="shared" si="165"/>
        <v>0</v>
      </c>
      <c r="AP100" s="16">
        <f t="shared" si="165"/>
        <v>0</v>
      </c>
      <c r="AQ100" s="16">
        <f t="shared" si="165"/>
        <v>0</v>
      </c>
      <c r="AR100" s="16">
        <f t="shared" si="165"/>
        <v>0</v>
      </c>
      <c r="AS100" s="16">
        <f t="shared" si="165"/>
        <v>0</v>
      </c>
      <c r="AT100" s="16">
        <f t="shared" si="165"/>
        <v>0</v>
      </c>
      <c r="AU100" s="16">
        <f t="shared" si="165"/>
        <v>0</v>
      </c>
      <c r="AV100" s="16">
        <f t="shared" si="165"/>
        <v>0</v>
      </c>
      <c r="AW100" s="16">
        <f t="shared" si="165"/>
        <v>0</v>
      </c>
      <c r="AX100" s="16">
        <f t="shared" si="165"/>
        <v>0</v>
      </c>
      <c r="AY100" s="16">
        <f t="shared" si="165"/>
        <v>0</v>
      </c>
      <c r="AZ100" s="16">
        <f t="shared" si="165"/>
        <v>0</v>
      </c>
      <c r="BA100" s="16">
        <f t="shared" si="165"/>
        <v>144656032</v>
      </c>
      <c r="BB100" s="16">
        <f t="shared" si="165"/>
        <v>144656032</v>
      </c>
      <c r="BC100" s="16">
        <f t="shared" si="165"/>
        <v>144656032</v>
      </c>
      <c r="BD100" s="16">
        <f t="shared" si="165"/>
        <v>0</v>
      </c>
      <c r="BE100" s="16">
        <f t="shared" si="165"/>
        <v>0</v>
      </c>
      <c r="BF100" s="16">
        <f t="shared" si="165"/>
        <v>0</v>
      </c>
      <c r="BG100" s="16">
        <f t="shared" si="165"/>
        <v>0</v>
      </c>
      <c r="BH100" s="16">
        <f t="shared" si="165"/>
        <v>0</v>
      </c>
      <c r="BI100" s="16">
        <f t="shared" si="165"/>
        <v>0</v>
      </c>
      <c r="BJ100" s="16">
        <f t="shared" si="165"/>
        <v>0</v>
      </c>
      <c r="BK100" s="16">
        <f t="shared" si="165"/>
        <v>0</v>
      </c>
      <c r="BL100" s="16">
        <f t="shared" si="165"/>
        <v>0</v>
      </c>
      <c r="BM100" s="16">
        <f t="shared" si="165"/>
        <v>0</v>
      </c>
      <c r="BN100" s="16">
        <f t="shared" si="165"/>
        <v>0</v>
      </c>
      <c r="BO100" s="16">
        <f t="shared" si="165"/>
        <v>0</v>
      </c>
      <c r="BP100" s="16">
        <f t="shared" si="165"/>
        <v>0</v>
      </c>
      <c r="BQ100" s="16">
        <f t="shared" si="165"/>
        <v>0</v>
      </c>
      <c r="BR100" s="16">
        <f t="shared" si="165"/>
        <v>0</v>
      </c>
      <c r="BS100" s="16">
        <f t="shared" si="165"/>
        <v>0</v>
      </c>
      <c r="BT100" s="16">
        <f t="shared" si="166"/>
        <v>0</v>
      </c>
      <c r="BU100" s="16">
        <f t="shared" si="166"/>
        <v>0</v>
      </c>
      <c r="BV100" s="16">
        <f t="shared" si="166"/>
        <v>0</v>
      </c>
      <c r="BW100" s="16">
        <f t="shared" si="166"/>
        <v>0</v>
      </c>
      <c r="BX100" s="16">
        <f t="shared" si="166"/>
        <v>0</v>
      </c>
      <c r="BY100" s="16">
        <f t="shared" si="166"/>
        <v>0</v>
      </c>
      <c r="BZ100" s="16">
        <f t="shared" si="166"/>
        <v>0</v>
      </c>
      <c r="CA100" s="16">
        <f t="shared" si="166"/>
        <v>0</v>
      </c>
      <c r="CB100" s="16">
        <f t="shared" si="166"/>
        <v>0</v>
      </c>
      <c r="CC100" s="16">
        <f t="shared" si="166"/>
        <v>0</v>
      </c>
      <c r="CD100" s="16">
        <f t="shared" si="166"/>
        <v>0</v>
      </c>
      <c r="CE100" s="16">
        <f t="shared" si="166"/>
        <v>0</v>
      </c>
      <c r="CF100" s="16">
        <f t="shared" si="166"/>
        <v>0</v>
      </c>
      <c r="CG100" s="16">
        <f t="shared" si="166"/>
        <v>0</v>
      </c>
      <c r="CH100" s="16">
        <f t="shared" si="166"/>
        <v>0</v>
      </c>
      <c r="CI100" s="16">
        <f t="shared" si="166"/>
        <v>0</v>
      </c>
      <c r="CJ100" s="16">
        <f t="shared" si="166"/>
        <v>0</v>
      </c>
      <c r="CK100" s="16">
        <f t="shared" si="166"/>
        <v>0</v>
      </c>
      <c r="CL100" s="16">
        <f t="shared" si="166"/>
        <v>0</v>
      </c>
      <c r="CM100" s="16">
        <f t="shared" si="166"/>
        <v>0</v>
      </c>
      <c r="CN100" s="16">
        <f t="shared" si="166"/>
        <v>0</v>
      </c>
      <c r="CO100" s="16">
        <f t="shared" si="166"/>
        <v>0</v>
      </c>
      <c r="CP100" s="16">
        <f t="shared" si="166"/>
        <v>0</v>
      </c>
      <c r="CQ100" s="16">
        <f t="shared" si="166"/>
        <v>0</v>
      </c>
      <c r="CR100" s="16">
        <f t="shared" si="166"/>
        <v>0</v>
      </c>
      <c r="CS100" s="16">
        <f t="shared" si="166"/>
        <v>0</v>
      </c>
      <c r="CT100" s="16">
        <f t="shared" si="166"/>
        <v>0</v>
      </c>
      <c r="CU100" s="16">
        <f t="shared" si="166"/>
        <v>0</v>
      </c>
      <c r="CV100" s="16">
        <f t="shared" si="166"/>
        <v>0</v>
      </c>
      <c r="CW100" s="17">
        <f t="shared" si="166"/>
        <v>0</v>
      </c>
      <c r="CX100" s="40"/>
    </row>
    <row r="101" spans="1:102" ht="15.75" hidden="1" x14ac:dyDescent="0.25">
      <c r="A101" s="13" t="s">
        <v>1</v>
      </c>
      <c r="B101" s="14" t="s">
        <v>1</v>
      </c>
      <c r="C101" s="14" t="s">
        <v>17</v>
      </c>
      <c r="D101" s="30" t="s">
        <v>127</v>
      </c>
      <c r="E101" s="15">
        <f>SUM(F101+BY101+CT101)</f>
        <v>144656032</v>
      </c>
      <c r="F101" s="16">
        <f>SUM(G101+BA101)</f>
        <v>144656032</v>
      </c>
      <c r="G101" s="16">
        <f>SUM(H101+I101+J101+Q101+T101+U101+V101+AE101)</f>
        <v>0</v>
      </c>
      <c r="H101" s="16">
        <v>0</v>
      </c>
      <c r="I101" s="16">
        <v>0</v>
      </c>
      <c r="J101" s="16">
        <f t="shared" si="103"/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f t="shared" si="104"/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f>SUM(W101:AD101)</f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f>SUM(AF101:AZ101)</f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f>SUM(BB101+BF101+BI101+BK101+BM101)</f>
        <v>144656032</v>
      </c>
      <c r="BB101" s="16">
        <f>SUM(BC101:BE101)</f>
        <v>144656032</v>
      </c>
      <c r="BC101" s="16">
        <v>144656032</v>
      </c>
      <c r="BD101" s="16">
        <v>0</v>
      </c>
      <c r="BE101" s="16">
        <v>0</v>
      </c>
      <c r="BF101" s="16">
        <f t="shared" si="105"/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f t="shared" si="106"/>
        <v>0</v>
      </c>
      <c r="BL101" s="16">
        <v>0</v>
      </c>
      <c r="BM101" s="16">
        <f t="shared" si="107"/>
        <v>0</v>
      </c>
      <c r="BN101" s="16">
        <v>0</v>
      </c>
      <c r="BO101" s="16">
        <v>0</v>
      </c>
      <c r="BP101" s="16">
        <v>0</v>
      </c>
      <c r="BQ101" s="16">
        <v>0</v>
      </c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  <c r="BW101" s="16">
        <v>0</v>
      </c>
      <c r="BX101" s="16">
        <v>0</v>
      </c>
      <c r="BY101" s="16">
        <f>SUM(BZ101+CS101)</f>
        <v>0</v>
      </c>
      <c r="BZ101" s="16">
        <f>SUM(CA101+CD101+CK101)</f>
        <v>0</v>
      </c>
      <c r="CA101" s="16">
        <f t="shared" si="108"/>
        <v>0</v>
      </c>
      <c r="CB101" s="16">
        <v>0</v>
      </c>
      <c r="CC101" s="16">
        <v>0</v>
      </c>
      <c r="CD101" s="16">
        <f t="shared" si="109"/>
        <v>0</v>
      </c>
      <c r="CE101" s="16">
        <v>0</v>
      </c>
      <c r="CF101" s="16">
        <v>0</v>
      </c>
      <c r="CG101" s="16">
        <v>0</v>
      </c>
      <c r="CH101" s="16">
        <v>0</v>
      </c>
      <c r="CI101" s="16">
        <v>0</v>
      </c>
      <c r="CJ101" s="16">
        <v>0</v>
      </c>
      <c r="CK101" s="16">
        <f t="shared" si="110"/>
        <v>0</v>
      </c>
      <c r="CL101" s="16">
        <v>0</v>
      </c>
      <c r="CM101" s="16">
        <v>0</v>
      </c>
      <c r="CN101" s="16">
        <v>0</v>
      </c>
      <c r="CO101" s="16">
        <v>0</v>
      </c>
      <c r="CP101" s="16">
        <v>0</v>
      </c>
      <c r="CQ101" s="16">
        <v>0</v>
      </c>
      <c r="CR101" s="16">
        <v>0</v>
      </c>
      <c r="CS101" s="16">
        <v>0</v>
      </c>
      <c r="CT101" s="16">
        <f t="shared" si="111"/>
        <v>0</v>
      </c>
      <c r="CU101" s="16">
        <f t="shared" si="112"/>
        <v>0</v>
      </c>
      <c r="CV101" s="16">
        <v>0</v>
      </c>
      <c r="CW101" s="17">
        <v>0</v>
      </c>
      <c r="CX101" s="40"/>
    </row>
    <row r="102" spans="1:102" ht="17.25" hidden="1" customHeight="1" x14ac:dyDescent="0.25">
      <c r="A102" s="18" t="s">
        <v>128</v>
      </c>
      <c r="B102" s="19" t="s">
        <v>1</v>
      </c>
      <c r="C102" s="19" t="s">
        <v>1</v>
      </c>
      <c r="D102" s="31" t="s">
        <v>129</v>
      </c>
      <c r="E102" s="20">
        <f t="shared" ref="E102:AJ102" si="167">SUM(E103)</f>
        <v>27431137</v>
      </c>
      <c r="F102" s="21">
        <f t="shared" si="167"/>
        <v>27431137</v>
      </c>
      <c r="G102" s="21">
        <f t="shared" si="167"/>
        <v>27431137</v>
      </c>
      <c r="H102" s="21">
        <f t="shared" si="167"/>
        <v>21919802</v>
      </c>
      <c r="I102" s="21">
        <f t="shared" si="167"/>
        <v>5412176</v>
      </c>
      <c r="J102" s="21">
        <f t="shared" si="167"/>
        <v>0</v>
      </c>
      <c r="K102" s="21">
        <f t="shared" si="167"/>
        <v>0</v>
      </c>
      <c r="L102" s="21">
        <f t="shared" si="167"/>
        <v>0</v>
      </c>
      <c r="M102" s="21">
        <f t="shared" si="167"/>
        <v>0</v>
      </c>
      <c r="N102" s="21">
        <f t="shared" si="167"/>
        <v>0</v>
      </c>
      <c r="O102" s="21">
        <f t="shared" si="167"/>
        <v>0</v>
      </c>
      <c r="P102" s="21">
        <f t="shared" si="167"/>
        <v>0</v>
      </c>
      <c r="Q102" s="21">
        <f t="shared" si="167"/>
        <v>0</v>
      </c>
      <c r="R102" s="21">
        <f t="shared" si="167"/>
        <v>0</v>
      </c>
      <c r="S102" s="21">
        <f t="shared" si="167"/>
        <v>0</v>
      </c>
      <c r="T102" s="21">
        <f t="shared" si="167"/>
        <v>0</v>
      </c>
      <c r="U102" s="21">
        <f t="shared" si="167"/>
        <v>99159</v>
      </c>
      <c r="V102" s="21">
        <f t="shared" si="167"/>
        <v>0</v>
      </c>
      <c r="W102" s="21">
        <f t="shared" si="167"/>
        <v>0</v>
      </c>
      <c r="X102" s="21">
        <f t="shared" si="167"/>
        <v>0</v>
      </c>
      <c r="Y102" s="21">
        <f t="shared" si="167"/>
        <v>0</v>
      </c>
      <c r="Z102" s="21">
        <f t="shared" si="167"/>
        <v>0</v>
      </c>
      <c r="AA102" s="21">
        <f t="shared" si="167"/>
        <v>0</v>
      </c>
      <c r="AB102" s="21">
        <f t="shared" si="167"/>
        <v>0</v>
      </c>
      <c r="AC102" s="21">
        <f t="shared" si="167"/>
        <v>0</v>
      </c>
      <c r="AD102" s="21">
        <f t="shared" si="167"/>
        <v>0</v>
      </c>
      <c r="AE102" s="21">
        <f t="shared" si="167"/>
        <v>0</v>
      </c>
      <c r="AF102" s="21">
        <f t="shared" si="167"/>
        <v>0</v>
      </c>
      <c r="AG102" s="21">
        <f t="shared" si="167"/>
        <v>0</v>
      </c>
      <c r="AH102" s="21">
        <f t="shared" si="167"/>
        <v>0</v>
      </c>
      <c r="AI102" s="21">
        <f t="shared" si="167"/>
        <v>0</v>
      </c>
      <c r="AJ102" s="21">
        <f t="shared" si="167"/>
        <v>0</v>
      </c>
      <c r="AK102" s="21">
        <f t="shared" ref="AK102:BR102" si="168">SUM(AK103)</f>
        <v>0</v>
      </c>
      <c r="AL102" s="21">
        <f t="shared" si="168"/>
        <v>0</v>
      </c>
      <c r="AM102" s="21">
        <f t="shared" si="168"/>
        <v>0</v>
      </c>
      <c r="AN102" s="21">
        <f t="shared" si="168"/>
        <v>0</v>
      </c>
      <c r="AO102" s="21">
        <f t="shared" si="168"/>
        <v>0</v>
      </c>
      <c r="AP102" s="21">
        <f t="shared" si="168"/>
        <v>0</v>
      </c>
      <c r="AQ102" s="21">
        <f t="shared" si="168"/>
        <v>0</v>
      </c>
      <c r="AR102" s="21">
        <f t="shared" si="168"/>
        <v>0</v>
      </c>
      <c r="AS102" s="21">
        <f t="shared" si="168"/>
        <v>0</v>
      </c>
      <c r="AT102" s="21">
        <f t="shared" si="168"/>
        <v>0</v>
      </c>
      <c r="AU102" s="21">
        <f t="shared" si="168"/>
        <v>0</v>
      </c>
      <c r="AV102" s="21">
        <f t="shared" si="168"/>
        <v>0</v>
      </c>
      <c r="AW102" s="21">
        <f t="shared" si="168"/>
        <v>0</v>
      </c>
      <c r="AX102" s="21">
        <f t="shared" si="168"/>
        <v>0</v>
      </c>
      <c r="AY102" s="21">
        <f t="shared" si="168"/>
        <v>0</v>
      </c>
      <c r="AZ102" s="21">
        <f t="shared" si="168"/>
        <v>0</v>
      </c>
      <c r="BA102" s="21">
        <f t="shared" si="168"/>
        <v>0</v>
      </c>
      <c r="BB102" s="21">
        <f t="shared" si="168"/>
        <v>0</v>
      </c>
      <c r="BC102" s="21">
        <f t="shared" si="168"/>
        <v>0</v>
      </c>
      <c r="BD102" s="21">
        <f t="shared" si="168"/>
        <v>0</v>
      </c>
      <c r="BE102" s="21">
        <f t="shared" si="168"/>
        <v>0</v>
      </c>
      <c r="BF102" s="21">
        <f t="shared" si="168"/>
        <v>0</v>
      </c>
      <c r="BG102" s="21">
        <f t="shared" si="168"/>
        <v>0</v>
      </c>
      <c r="BH102" s="21">
        <f t="shared" si="168"/>
        <v>0</v>
      </c>
      <c r="BI102" s="21">
        <f t="shared" si="168"/>
        <v>0</v>
      </c>
      <c r="BJ102" s="21">
        <f t="shared" si="168"/>
        <v>0</v>
      </c>
      <c r="BK102" s="21">
        <f t="shared" si="168"/>
        <v>0</v>
      </c>
      <c r="BL102" s="21">
        <f t="shared" si="168"/>
        <v>0</v>
      </c>
      <c r="BM102" s="21">
        <f t="shared" si="168"/>
        <v>0</v>
      </c>
      <c r="BN102" s="21">
        <f t="shared" si="168"/>
        <v>0</v>
      </c>
      <c r="BO102" s="21">
        <f t="shared" si="168"/>
        <v>0</v>
      </c>
      <c r="BP102" s="21">
        <f t="shared" si="168"/>
        <v>0</v>
      </c>
      <c r="BQ102" s="21">
        <f t="shared" si="168"/>
        <v>0</v>
      </c>
      <c r="BR102" s="21">
        <f t="shared" si="168"/>
        <v>0</v>
      </c>
      <c r="BS102" s="21">
        <f t="shared" ref="BS102:CW102" si="169">SUM(BS103)</f>
        <v>0</v>
      </c>
      <c r="BT102" s="21">
        <f t="shared" si="169"/>
        <v>0</v>
      </c>
      <c r="BU102" s="21">
        <f t="shared" si="169"/>
        <v>0</v>
      </c>
      <c r="BV102" s="21">
        <f t="shared" si="169"/>
        <v>0</v>
      </c>
      <c r="BW102" s="21">
        <f t="shared" si="169"/>
        <v>0</v>
      </c>
      <c r="BX102" s="21">
        <f t="shared" si="169"/>
        <v>0</v>
      </c>
      <c r="BY102" s="21">
        <f t="shared" si="169"/>
        <v>0</v>
      </c>
      <c r="BZ102" s="21">
        <f t="shared" si="169"/>
        <v>0</v>
      </c>
      <c r="CA102" s="21">
        <f t="shared" si="169"/>
        <v>0</v>
      </c>
      <c r="CB102" s="21">
        <f t="shared" si="169"/>
        <v>0</v>
      </c>
      <c r="CC102" s="21">
        <f t="shared" si="169"/>
        <v>0</v>
      </c>
      <c r="CD102" s="21">
        <f t="shared" si="169"/>
        <v>0</v>
      </c>
      <c r="CE102" s="21">
        <f t="shared" si="169"/>
        <v>0</v>
      </c>
      <c r="CF102" s="21">
        <f t="shared" si="169"/>
        <v>0</v>
      </c>
      <c r="CG102" s="21">
        <f t="shared" si="169"/>
        <v>0</v>
      </c>
      <c r="CH102" s="21">
        <f t="shared" si="169"/>
        <v>0</v>
      </c>
      <c r="CI102" s="21">
        <f t="shared" si="169"/>
        <v>0</v>
      </c>
      <c r="CJ102" s="21">
        <f t="shared" si="169"/>
        <v>0</v>
      </c>
      <c r="CK102" s="21">
        <f t="shared" si="169"/>
        <v>0</v>
      </c>
      <c r="CL102" s="21">
        <f t="shared" si="169"/>
        <v>0</v>
      </c>
      <c r="CM102" s="21">
        <f t="shared" si="169"/>
        <v>0</v>
      </c>
      <c r="CN102" s="21">
        <f t="shared" si="169"/>
        <v>0</v>
      </c>
      <c r="CO102" s="21">
        <f t="shared" si="169"/>
        <v>0</v>
      </c>
      <c r="CP102" s="21">
        <f t="shared" si="169"/>
        <v>0</v>
      </c>
      <c r="CQ102" s="21">
        <f t="shared" si="169"/>
        <v>0</v>
      </c>
      <c r="CR102" s="21">
        <f t="shared" si="169"/>
        <v>0</v>
      </c>
      <c r="CS102" s="21">
        <f t="shared" si="169"/>
        <v>0</v>
      </c>
      <c r="CT102" s="21">
        <f t="shared" si="169"/>
        <v>0</v>
      </c>
      <c r="CU102" s="21">
        <f t="shared" si="169"/>
        <v>0</v>
      </c>
      <c r="CV102" s="21">
        <f t="shared" si="169"/>
        <v>0</v>
      </c>
      <c r="CW102" s="22">
        <f t="shared" si="169"/>
        <v>0</v>
      </c>
      <c r="CX102" s="40"/>
    </row>
    <row r="103" spans="1:102" ht="31.5" hidden="1" x14ac:dyDescent="0.25">
      <c r="A103" s="13" t="s">
        <v>54</v>
      </c>
      <c r="B103" s="14" t="s">
        <v>50</v>
      </c>
      <c r="C103" s="14" t="s">
        <v>1</v>
      </c>
      <c r="D103" s="30" t="s">
        <v>130</v>
      </c>
      <c r="E103" s="15">
        <f>SUM(E104:E105)</f>
        <v>27431137</v>
      </c>
      <c r="F103" s="16">
        <f t="shared" ref="F103:BS103" si="170">SUM(F104:F105)</f>
        <v>27431137</v>
      </c>
      <c r="G103" s="16">
        <f t="shared" si="170"/>
        <v>27431137</v>
      </c>
      <c r="H103" s="16">
        <f t="shared" si="170"/>
        <v>21919802</v>
      </c>
      <c r="I103" s="16">
        <f t="shared" si="170"/>
        <v>5412176</v>
      </c>
      <c r="J103" s="16">
        <f t="shared" si="170"/>
        <v>0</v>
      </c>
      <c r="K103" s="16">
        <f t="shared" si="170"/>
        <v>0</v>
      </c>
      <c r="L103" s="16">
        <f t="shared" si="170"/>
        <v>0</v>
      </c>
      <c r="M103" s="16">
        <f t="shared" si="170"/>
        <v>0</v>
      </c>
      <c r="N103" s="16">
        <f t="shared" si="170"/>
        <v>0</v>
      </c>
      <c r="O103" s="16">
        <f t="shared" si="170"/>
        <v>0</v>
      </c>
      <c r="P103" s="16">
        <f t="shared" si="170"/>
        <v>0</v>
      </c>
      <c r="Q103" s="16">
        <f t="shared" si="170"/>
        <v>0</v>
      </c>
      <c r="R103" s="16">
        <f t="shared" si="170"/>
        <v>0</v>
      </c>
      <c r="S103" s="16">
        <f t="shared" si="170"/>
        <v>0</v>
      </c>
      <c r="T103" s="16">
        <f t="shared" si="170"/>
        <v>0</v>
      </c>
      <c r="U103" s="16">
        <f t="shared" si="170"/>
        <v>99159</v>
      </c>
      <c r="V103" s="16">
        <f t="shared" si="170"/>
        <v>0</v>
      </c>
      <c r="W103" s="16">
        <f t="shared" si="170"/>
        <v>0</v>
      </c>
      <c r="X103" s="16">
        <f t="shared" si="170"/>
        <v>0</v>
      </c>
      <c r="Y103" s="16">
        <f t="shared" si="170"/>
        <v>0</v>
      </c>
      <c r="Z103" s="16">
        <f t="shared" si="170"/>
        <v>0</v>
      </c>
      <c r="AA103" s="16">
        <f t="shared" si="170"/>
        <v>0</v>
      </c>
      <c r="AB103" s="16">
        <f t="shared" si="170"/>
        <v>0</v>
      </c>
      <c r="AC103" s="16">
        <f t="shared" si="170"/>
        <v>0</v>
      </c>
      <c r="AD103" s="16">
        <f t="shared" ref="AD103" si="171">SUM(AD104:AD105)</f>
        <v>0</v>
      </c>
      <c r="AE103" s="16">
        <f t="shared" si="170"/>
        <v>0</v>
      </c>
      <c r="AF103" s="16">
        <f t="shared" si="170"/>
        <v>0</v>
      </c>
      <c r="AG103" s="16">
        <f t="shared" si="170"/>
        <v>0</v>
      </c>
      <c r="AH103" s="16">
        <f t="shared" si="170"/>
        <v>0</v>
      </c>
      <c r="AI103" s="16">
        <f t="shared" si="170"/>
        <v>0</v>
      </c>
      <c r="AJ103" s="16">
        <f t="shared" si="170"/>
        <v>0</v>
      </c>
      <c r="AK103" s="16">
        <f t="shared" si="170"/>
        <v>0</v>
      </c>
      <c r="AL103" s="16">
        <f t="shared" si="170"/>
        <v>0</v>
      </c>
      <c r="AM103" s="16">
        <f t="shared" si="170"/>
        <v>0</v>
      </c>
      <c r="AN103" s="16">
        <f t="shared" si="170"/>
        <v>0</v>
      </c>
      <c r="AO103" s="16">
        <f t="shared" si="170"/>
        <v>0</v>
      </c>
      <c r="AP103" s="16">
        <f>SUM(AP104:AP105)</f>
        <v>0</v>
      </c>
      <c r="AQ103" s="16">
        <f t="shared" si="170"/>
        <v>0</v>
      </c>
      <c r="AR103" s="16">
        <f t="shared" si="170"/>
        <v>0</v>
      </c>
      <c r="AS103" s="16">
        <f t="shared" si="170"/>
        <v>0</v>
      </c>
      <c r="AT103" s="16">
        <f t="shared" si="170"/>
        <v>0</v>
      </c>
      <c r="AU103" s="16">
        <f t="shared" si="170"/>
        <v>0</v>
      </c>
      <c r="AV103" s="16">
        <f t="shared" si="170"/>
        <v>0</v>
      </c>
      <c r="AW103" s="16">
        <f t="shared" si="170"/>
        <v>0</v>
      </c>
      <c r="AX103" s="16">
        <f t="shared" si="170"/>
        <v>0</v>
      </c>
      <c r="AY103" s="16">
        <f t="shared" si="170"/>
        <v>0</v>
      </c>
      <c r="AZ103" s="16">
        <f t="shared" si="170"/>
        <v>0</v>
      </c>
      <c r="BA103" s="16">
        <f t="shared" si="170"/>
        <v>0</v>
      </c>
      <c r="BB103" s="16">
        <f t="shared" si="170"/>
        <v>0</v>
      </c>
      <c r="BC103" s="16">
        <f t="shared" si="170"/>
        <v>0</v>
      </c>
      <c r="BD103" s="16">
        <f t="shared" si="170"/>
        <v>0</v>
      </c>
      <c r="BE103" s="16">
        <f t="shared" si="170"/>
        <v>0</v>
      </c>
      <c r="BF103" s="16">
        <f t="shared" si="170"/>
        <v>0</v>
      </c>
      <c r="BG103" s="16">
        <f t="shared" si="170"/>
        <v>0</v>
      </c>
      <c r="BH103" s="16">
        <f t="shared" si="170"/>
        <v>0</v>
      </c>
      <c r="BI103" s="16">
        <f t="shared" si="170"/>
        <v>0</v>
      </c>
      <c r="BJ103" s="16">
        <f t="shared" si="170"/>
        <v>0</v>
      </c>
      <c r="BK103" s="16">
        <f t="shared" si="170"/>
        <v>0</v>
      </c>
      <c r="BL103" s="16">
        <f t="shared" si="170"/>
        <v>0</v>
      </c>
      <c r="BM103" s="16">
        <f t="shared" si="170"/>
        <v>0</v>
      </c>
      <c r="BN103" s="16">
        <f t="shared" si="170"/>
        <v>0</v>
      </c>
      <c r="BO103" s="16">
        <f t="shared" si="170"/>
        <v>0</v>
      </c>
      <c r="BP103" s="16">
        <f t="shared" si="170"/>
        <v>0</v>
      </c>
      <c r="BQ103" s="16">
        <f t="shared" si="170"/>
        <v>0</v>
      </c>
      <c r="BR103" s="16">
        <f t="shared" si="170"/>
        <v>0</v>
      </c>
      <c r="BS103" s="16">
        <f t="shared" si="170"/>
        <v>0</v>
      </c>
      <c r="BT103" s="16">
        <f t="shared" ref="BT103:CW103" si="172">SUM(BT104:BT105)</f>
        <v>0</v>
      </c>
      <c r="BU103" s="16">
        <f t="shared" si="172"/>
        <v>0</v>
      </c>
      <c r="BV103" s="16">
        <f t="shared" si="172"/>
        <v>0</v>
      </c>
      <c r="BW103" s="16">
        <f t="shared" si="172"/>
        <v>0</v>
      </c>
      <c r="BX103" s="16">
        <f t="shared" si="172"/>
        <v>0</v>
      </c>
      <c r="BY103" s="16">
        <f t="shared" si="172"/>
        <v>0</v>
      </c>
      <c r="BZ103" s="16">
        <f t="shared" si="172"/>
        <v>0</v>
      </c>
      <c r="CA103" s="16">
        <f t="shared" si="172"/>
        <v>0</v>
      </c>
      <c r="CB103" s="16">
        <f t="shared" si="172"/>
        <v>0</v>
      </c>
      <c r="CC103" s="16">
        <f t="shared" si="172"/>
        <v>0</v>
      </c>
      <c r="CD103" s="16">
        <f t="shared" si="172"/>
        <v>0</v>
      </c>
      <c r="CE103" s="16">
        <f t="shared" si="172"/>
        <v>0</v>
      </c>
      <c r="CF103" s="16">
        <f>SUM(CF104:CF105)</f>
        <v>0</v>
      </c>
      <c r="CG103" s="16">
        <f t="shared" si="172"/>
        <v>0</v>
      </c>
      <c r="CH103" s="16">
        <f t="shared" si="172"/>
        <v>0</v>
      </c>
      <c r="CI103" s="16">
        <f t="shared" si="172"/>
        <v>0</v>
      </c>
      <c r="CJ103" s="16">
        <f t="shared" ref="CJ103" si="173">SUM(CJ104:CJ105)</f>
        <v>0</v>
      </c>
      <c r="CK103" s="16">
        <f t="shared" si="172"/>
        <v>0</v>
      </c>
      <c r="CL103" s="16">
        <f t="shared" si="172"/>
        <v>0</v>
      </c>
      <c r="CM103" s="16">
        <f>SUM(CM104:CM105)</f>
        <v>0</v>
      </c>
      <c r="CN103" s="16">
        <f t="shared" si="172"/>
        <v>0</v>
      </c>
      <c r="CO103" s="16">
        <f t="shared" si="172"/>
        <v>0</v>
      </c>
      <c r="CP103" s="16">
        <f t="shared" si="172"/>
        <v>0</v>
      </c>
      <c r="CQ103" s="16">
        <f t="shared" si="172"/>
        <v>0</v>
      </c>
      <c r="CR103" s="16">
        <f t="shared" si="172"/>
        <v>0</v>
      </c>
      <c r="CS103" s="16">
        <f t="shared" si="172"/>
        <v>0</v>
      </c>
      <c r="CT103" s="16">
        <f t="shared" si="172"/>
        <v>0</v>
      </c>
      <c r="CU103" s="16">
        <f t="shared" si="172"/>
        <v>0</v>
      </c>
      <c r="CV103" s="16">
        <f t="shared" si="172"/>
        <v>0</v>
      </c>
      <c r="CW103" s="17">
        <f t="shared" si="172"/>
        <v>0</v>
      </c>
      <c r="CX103" s="40"/>
    </row>
    <row r="104" spans="1:102" ht="31.5" hidden="1" x14ac:dyDescent="0.25">
      <c r="A104" s="13" t="s">
        <v>1</v>
      </c>
      <c r="B104" s="14" t="s">
        <v>1</v>
      </c>
      <c r="C104" s="14" t="s">
        <v>29</v>
      </c>
      <c r="D104" s="30" t="s">
        <v>131</v>
      </c>
      <c r="E104" s="15">
        <f>SUM(F104+BY104+CT104)</f>
        <v>19458568</v>
      </c>
      <c r="F104" s="16">
        <f>SUM(G104+BA104)</f>
        <v>19458568</v>
      </c>
      <c r="G104" s="16">
        <f>SUM(H104+I104+J104+Q104+T104+U104+V104+AE104)</f>
        <v>19458568</v>
      </c>
      <c r="H104" s="16">
        <v>15566854</v>
      </c>
      <c r="I104" s="16">
        <v>3891714</v>
      </c>
      <c r="J104" s="16">
        <f t="shared" si="103"/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f t="shared" si="104"/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f>SUM(W104:AD104)</f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f>SUM(AF104:AZ104)</f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f>SUM(BB104+BF104+BI104+BK104+BM104)</f>
        <v>0</v>
      </c>
      <c r="BB104" s="16">
        <f>SUM(BC104:BE104)</f>
        <v>0</v>
      </c>
      <c r="BC104" s="16">
        <v>0</v>
      </c>
      <c r="BD104" s="16">
        <v>0</v>
      </c>
      <c r="BE104" s="16">
        <v>0</v>
      </c>
      <c r="BF104" s="16">
        <f t="shared" si="105"/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f t="shared" si="106"/>
        <v>0</v>
      </c>
      <c r="BL104" s="16">
        <v>0</v>
      </c>
      <c r="BM104" s="16">
        <f t="shared" si="107"/>
        <v>0</v>
      </c>
      <c r="BN104" s="16">
        <v>0</v>
      </c>
      <c r="BO104" s="16">
        <v>0</v>
      </c>
      <c r="BP104" s="16">
        <v>0</v>
      </c>
      <c r="BQ104" s="16">
        <v>0</v>
      </c>
      <c r="BR104" s="16">
        <v>0</v>
      </c>
      <c r="BS104" s="16">
        <v>0</v>
      </c>
      <c r="BT104" s="16">
        <v>0</v>
      </c>
      <c r="BU104" s="16">
        <v>0</v>
      </c>
      <c r="BV104" s="16">
        <v>0</v>
      </c>
      <c r="BW104" s="16">
        <v>0</v>
      </c>
      <c r="BX104" s="16">
        <v>0</v>
      </c>
      <c r="BY104" s="16">
        <f>SUM(BZ104+CS104)</f>
        <v>0</v>
      </c>
      <c r="BZ104" s="16">
        <f>SUM(CA104+CD104+CK104)</f>
        <v>0</v>
      </c>
      <c r="CA104" s="16">
        <f t="shared" si="108"/>
        <v>0</v>
      </c>
      <c r="CB104" s="16">
        <v>0</v>
      </c>
      <c r="CC104" s="16">
        <v>0</v>
      </c>
      <c r="CD104" s="16">
        <f t="shared" si="109"/>
        <v>0</v>
      </c>
      <c r="CE104" s="16">
        <v>0</v>
      </c>
      <c r="CF104" s="16">
        <v>0</v>
      </c>
      <c r="CG104" s="16">
        <v>0</v>
      </c>
      <c r="CH104" s="16">
        <v>0</v>
      </c>
      <c r="CI104" s="16">
        <v>0</v>
      </c>
      <c r="CJ104" s="16">
        <v>0</v>
      </c>
      <c r="CK104" s="16">
        <f t="shared" si="110"/>
        <v>0</v>
      </c>
      <c r="CL104" s="16">
        <v>0</v>
      </c>
      <c r="CM104" s="16">
        <v>0</v>
      </c>
      <c r="CN104" s="16">
        <v>0</v>
      </c>
      <c r="CO104" s="16">
        <v>0</v>
      </c>
      <c r="CP104" s="16">
        <v>0</v>
      </c>
      <c r="CQ104" s="16">
        <v>0</v>
      </c>
      <c r="CR104" s="16">
        <v>0</v>
      </c>
      <c r="CS104" s="16">
        <v>0</v>
      </c>
      <c r="CT104" s="16">
        <f t="shared" si="111"/>
        <v>0</v>
      </c>
      <c r="CU104" s="16">
        <f t="shared" si="112"/>
        <v>0</v>
      </c>
      <c r="CV104" s="16">
        <v>0</v>
      </c>
      <c r="CW104" s="17">
        <v>0</v>
      </c>
      <c r="CX104" s="40"/>
    </row>
    <row r="105" spans="1:102" ht="15.75" hidden="1" x14ac:dyDescent="0.25">
      <c r="A105" s="13" t="s">
        <v>1</v>
      </c>
      <c r="B105" s="14" t="s">
        <v>1</v>
      </c>
      <c r="C105" s="14" t="s">
        <v>29</v>
      </c>
      <c r="D105" s="30" t="s">
        <v>132</v>
      </c>
      <c r="E105" s="15">
        <f>SUM(F105+BY105+CT105)</f>
        <v>7972569</v>
      </c>
      <c r="F105" s="16">
        <f>SUM(G105+BA105)</f>
        <v>7972569</v>
      </c>
      <c r="G105" s="16">
        <f>SUM(H105+I105+J105+Q105+T105+U105+V105+AE105)</f>
        <v>7972569</v>
      </c>
      <c r="H105" s="16">
        <v>6352948</v>
      </c>
      <c r="I105" s="16">
        <v>1520462</v>
      </c>
      <c r="J105" s="16">
        <f t="shared" si="103"/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f t="shared" si="104"/>
        <v>0</v>
      </c>
      <c r="R105" s="16">
        <v>0</v>
      </c>
      <c r="S105" s="16">
        <v>0</v>
      </c>
      <c r="T105" s="16">
        <v>0</v>
      </c>
      <c r="U105" s="16">
        <v>99159</v>
      </c>
      <c r="V105" s="16">
        <f>SUM(W105:AD105)</f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f>SUM(AF105:AZ105)</f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f>SUM(BB105+BF105+BI105+BK105+BM105)</f>
        <v>0</v>
      </c>
      <c r="BB105" s="16">
        <f>SUM(BC105:BE105)</f>
        <v>0</v>
      </c>
      <c r="BC105" s="16">
        <v>0</v>
      </c>
      <c r="BD105" s="16">
        <v>0</v>
      </c>
      <c r="BE105" s="16">
        <v>0</v>
      </c>
      <c r="BF105" s="16">
        <f t="shared" si="105"/>
        <v>0</v>
      </c>
      <c r="BG105" s="16">
        <v>0</v>
      </c>
      <c r="BH105" s="16">
        <v>0</v>
      </c>
      <c r="BI105" s="16">
        <v>0</v>
      </c>
      <c r="BJ105" s="16">
        <v>0</v>
      </c>
      <c r="BK105" s="16">
        <f t="shared" si="106"/>
        <v>0</v>
      </c>
      <c r="BL105" s="16">
        <v>0</v>
      </c>
      <c r="BM105" s="16">
        <f t="shared" si="107"/>
        <v>0</v>
      </c>
      <c r="BN105" s="16">
        <v>0</v>
      </c>
      <c r="BO105" s="16">
        <v>0</v>
      </c>
      <c r="BP105" s="16">
        <v>0</v>
      </c>
      <c r="BQ105" s="16">
        <v>0</v>
      </c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  <c r="BW105" s="16">
        <v>0</v>
      </c>
      <c r="BX105" s="16">
        <v>0</v>
      </c>
      <c r="BY105" s="16">
        <f>SUM(BZ105+CS105)</f>
        <v>0</v>
      </c>
      <c r="BZ105" s="16">
        <f>SUM(CA105+CD105+CK105)</f>
        <v>0</v>
      </c>
      <c r="CA105" s="16">
        <f t="shared" si="108"/>
        <v>0</v>
      </c>
      <c r="CB105" s="16">
        <v>0</v>
      </c>
      <c r="CC105" s="16">
        <v>0</v>
      </c>
      <c r="CD105" s="16">
        <f t="shared" si="109"/>
        <v>0</v>
      </c>
      <c r="CE105" s="16">
        <v>0</v>
      </c>
      <c r="CF105" s="16">
        <v>0</v>
      </c>
      <c r="CG105" s="16">
        <v>0</v>
      </c>
      <c r="CH105" s="16">
        <v>0</v>
      </c>
      <c r="CI105" s="16">
        <v>0</v>
      </c>
      <c r="CJ105" s="16">
        <v>0</v>
      </c>
      <c r="CK105" s="16">
        <f t="shared" si="110"/>
        <v>0</v>
      </c>
      <c r="CL105" s="16">
        <v>0</v>
      </c>
      <c r="CM105" s="16">
        <v>0</v>
      </c>
      <c r="CN105" s="16">
        <v>0</v>
      </c>
      <c r="CO105" s="16">
        <v>0</v>
      </c>
      <c r="CP105" s="16">
        <v>0</v>
      </c>
      <c r="CQ105" s="16">
        <v>0</v>
      </c>
      <c r="CR105" s="16">
        <v>0</v>
      </c>
      <c r="CS105" s="16">
        <v>0</v>
      </c>
      <c r="CT105" s="16">
        <f t="shared" si="111"/>
        <v>0</v>
      </c>
      <c r="CU105" s="16">
        <f t="shared" si="112"/>
        <v>0</v>
      </c>
      <c r="CV105" s="16">
        <v>0</v>
      </c>
      <c r="CW105" s="17">
        <v>0</v>
      </c>
      <c r="CX105" s="40"/>
    </row>
    <row r="106" spans="1:102" ht="47.25" hidden="1" x14ac:dyDescent="0.25">
      <c r="A106" s="18" t="s">
        <v>133</v>
      </c>
      <c r="B106" s="19" t="s">
        <v>1</v>
      </c>
      <c r="C106" s="19" t="s">
        <v>1</v>
      </c>
      <c r="D106" s="31" t="s">
        <v>134</v>
      </c>
      <c r="E106" s="20">
        <f>SUM(E107+E109)</f>
        <v>12472908</v>
      </c>
      <c r="F106" s="21">
        <f t="shared" ref="F106:BS106" si="174">SUM(F107+F109)</f>
        <v>12429073</v>
      </c>
      <c r="G106" s="21">
        <f t="shared" si="174"/>
        <v>3786990</v>
      </c>
      <c r="H106" s="21">
        <f t="shared" si="174"/>
        <v>2971382</v>
      </c>
      <c r="I106" s="21">
        <f t="shared" si="174"/>
        <v>680746</v>
      </c>
      <c r="J106" s="21">
        <f t="shared" si="174"/>
        <v>45417</v>
      </c>
      <c r="K106" s="21">
        <f t="shared" si="174"/>
        <v>0</v>
      </c>
      <c r="L106" s="21">
        <f t="shared" si="174"/>
        <v>0</v>
      </c>
      <c r="M106" s="21">
        <f t="shared" si="174"/>
        <v>0</v>
      </c>
      <c r="N106" s="21">
        <f t="shared" si="174"/>
        <v>2513</v>
      </c>
      <c r="O106" s="21">
        <f t="shared" si="174"/>
        <v>42904</v>
      </c>
      <c r="P106" s="21">
        <f t="shared" si="174"/>
        <v>0</v>
      </c>
      <c r="Q106" s="21">
        <f t="shared" si="174"/>
        <v>0</v>
      </c>
      <c r="R106" s="21">
        <f t="shared" si="174"/>
        <v>0</v>
      </c>
      <c r="S106" s="21">
        <f t="shared" si="174"/>
        <v>0</v>
      </c>
      <c r="T106" s="21">
        <f t="shared" si="174"/>
        <v>0</v>
      </c>
      <c r="U106" s="21">
        <f t="shared" si="174"/>
        <v>40815</v>
      </c>
      <c r="V106" s="21">
        <f t="shared" si="174"/>
        <v>20114</v>
      </c>
      <c r="W106" s="21">
        <f t="shared" si="174"/>
        <v>0</v>
      </c>
      <c r="X106" s="21">
        <f t="shared" si="174"/>
        <v>4431</v>
      </c>
      <c r="Y106" s="21">
        <f t="shared" si="174"/>
        <v>15555</v>
      </c>
      <c r="Z106" s="21">
        <f t="shared" si="174"/>
        <v>128</v>
      </c>
      <c r="AA106" s="21">
        <f t="shared" si="174"/>
        <v>0</v>
      </c>
      <c r="AB106" s="21">
        <f t="shared" si="174"/>
        <v>0</v>
      </c>
      <c r="AC106" s="21">
        <f t="shared" si="174"/>
        <v>0</v>
      </c>
      <c r="AD106" s="21">
        <f t="shared" ref="AD106" si="175">SUM(AD107+AD109)</f>
        <v>0</v>
      </c>
      <c r="AE106" s="21">
        <f t="shared" si="174"/>
        <v>28516</v>
      </c>
      <c r="AF106" s="21">
        <f t="shared" si="174"/>
        <v>0</v>
      </c>
      <c r="AG106" s="21">
        <f t="shared" si="174"/>
        <v>0</v>
      </c>
      <c r="AH106" s="21">
        <f t="shared" si="174"/>
        <v>6598</v>
      </c>
      <c r="AI106" s="21">
        <f t="shared" si="174"/>
        <v>0</v>
      </c>
      <c r="AJ106" s="21">
        <f t="shared" si="174"/>
        <v>0</v>
      </c>
      <c r="AK106" s="21">
        <f t="shared" si="174"/>
        <v>0</v>
      </c>
      <c r="AL106" s="21">
        <f t="shared" si="174"/>
        <v>21918</v>
      </c>
      <c r="AM106" s="21">
        <f t="shared" si="174"/>
        <v>0</v>
      </c>
      <c r="AN106" s="21">
        <f t="shared" si="174"/>
        <v>0</v>
      </c>
      <c r="AO106" s="21">
        <f t="shared" si="174"/>
        <v>0</v>
      </c>
      <c r="AP106" s="21">
        <f>SUM(AP107+AP109)</f>
        <v>0</v>
      </c>
      <c r="AQ106" s="21">
        <f t="shared" si="174"/>
        <v>0</v>
      </c>
      <c r="AR106" s="21">
        <f t="shared" si="174"/>
        <v>0</v>
      </c>
      <c r="AS106" s="21">
        <f t="shared" si="174"/>
        <v>0</v>
      </c>
      <c r="AT106" s="21">
        <f t="shared" si="174"/>
        <v>0</v>
      </c>
      <c r="AU106" s="21">
        <f t="shared" si="174"/>
        <v>0</v>
      </c>
      <c r="AV106" s="21">
        <f t="shared" si="174"/>
        <v>0</v>
      </c>
      <c r="AW106" s="21">
        <f t="shared" si="174"/>
        <v>0</v>
      </c>
      <c r="AX106" s="21">
        <f t="shared" si="174"/>
        <v>0</v>
      </c>
      <c r="AY106" s="21">
        <f t="shared" si="174"/>
        <v>0</v>
      </c>
      <c r="AZ106" s="21">
        <f t="shared" si="174"/>
        <v>0</v>
      </c>
      <c r="BA106" s="21">
        <f t="shared" si="174"/>
        <v>8642083</v>
      </c>
      <c r="BB106" s="21">
        <f t="shared" si="174"/>
        <v>0</v>
      </c>
      <c r="BC106" s="21">
        <f t="shared" si="174"/>
        <v>0</v>
      </c>
      <c r="BD106" s="21">
        <f t="shared" si="174"/>
        <v>0</v>
      </c>
      <c r="BE106" s="21">
        <f t="shared" si="174"/>
        <v>0</v>
      </c>
      <c r="BF106" s="21">
        <f t="shared" si="174"/>
        <v>8642083</v>
      </c>
      <c r="BG106" s="21">
        <f t="shared" si="174"/>
        <v>8642083</v>
      </c>
      <c r="BH106" s="21">
        <f t="shared" si="174"/>
        <v>0</v>
      </c>
      <c r="BI106" s="21">
        <f t="shared" si="174"/>
        <v>0</v>
      </c>
      <c r="BJ106" s="21">
        <f t="shared" si="174"/>
        <v>0</v>
      </c>
      <c r="BK106" s="21">
        <f t="shared" si="174"/>
        <v>0</v>
      </c>
      <c r="BL106" s="21">
        <f t="shared" si="174"/>
        <v>0</v>
      </c>
      <c r="BM106" s="21">
        <f t="shared" si="174"/>
        <v>0</v>
      </c>
      <c r="BN106" s="21">
        <f t="shared" si="174"/>
        <v>0</v>
      </c>
      <c r="BO106" s="21">
        <f t="shared" si="174"/>
        <v>0</v>
      </c>
      <c r="BP106" s="21">
        <f t="shared" si="174"/>
        <v>0</v>
      </c>
      <c r="BQ106" s="21">
        <f t="shared" si="174"/>
        <v>0</v>
      </c>
      <c r="BR106" s="21">
        <f t="shared" si="174"/>
        <v>0</v>
      </c>
      <c r="BS106" s="21">
        <f t="shared" si="174"/>
        <v>0</v>
      </c>
      <c r="BT106" s="21">
        <f t="shared" ref="BT106:CW106" si="176">SUM(BT107+BT109)</f>
        <v>0</v>
      </c>
      <c r="BU106" s="21">
        <f t="shared" si="176"/>
        <v>0</v>
      </c>
      <c r="BV106" s="21">
        <f t="shared" si="176"/>
        <v>0</v>
      </c>
      <c r="BW106" s="21">
        <f t="shared" si="176"/>
        <v>0</v>
      </c>
      <c r="BX106" s="21">
        <f t="shared" si="176"/>
        <v>0</v>
      </c>
      <c r="BY106" s="21">
        <f t="shared" si="176"/>
        <v>43835</v>
      </c>
      <c r="BZ106" s="21">
        <f t="shared" si="176"/>
        <v>43835</v>
      </c>
      <c r="CA106" s="21">
        <f t="shared" si="176"/>
        <v>43835</v>
      </c>
      <c r="CB106" s="21">
        <f t="shared" si="176"/>
        <v>0</v>
      </c>
      <c r="CC106" s="21">
        <f t="shared" si="176"/>
        <v>43835</v>
      </c>
      <c r="CD106" s="21">
        <f t="shared" si="176"/>
        <v>0</v>
      </c>
      <c r="CE106" s="21">
        <f t="shared" si="176"/>
        <v>0</v>
      </c>
      <c r="CF106" s="21">
        <f>SUM(CF107+CF109)</f>
        <v>0</v>
      </c>
      <c r="CG106" s="21">
        <f t="shared" si="176"/>
        <v>0</v>
      </c>
      <c r="CH106" s="21">
        <f t="shared" si="176"/>
        <v>0</v>
      </c>
      <c r="CI106" s="21">
        <f t="shared" si="176"/>
        <v>0</v>
      </c>
      <c r="CJ106" s="21">
        <f t="shared" ref="CJ106" si="177">SUM(CJ107+CJ109)</f>
        <v>0</v>
      </c>
      <c r="CK106" s="21">
        <f t="shared" si="176"/>
        <v>0</v>
      </c>
      <c r="CL106" s="21">
        <f t="shared" si="176"/>
        <v>0</v>
      </c>
      <c r="CM106" s="21">
        <f>SUM(CM107+CM109)</f>
        <v>0</v>
      </c>
      <c r="CN106" s="21">
        <f t="shared" si="176"/>
        <v>0</v>
      </c>
      <c r="CO106" s="21">
        <f t="shared" si="176"/>
        <v>0</v>
      </c>
      <c r="CP106" s="21">
        <f t="shared" si="176"/>
        <v>0</v>
      </c>
      <c r="CQ106" s="21">
        <f t="shared" si="176"/>
        <v>0</v>
      </c>
      <c r="CR106" s="21">
        <f t="shared" si="176"/>
        <v>0</v>
      </c>
      <c r="CS106" s="21">
        <f t="shared" si="176"/>
        <v>0</v>
      </c>
      <c r="CT106" s="21">
        <f t="shared" si="176"/>
        <v>0</v>
      </c>
      <c r="CU106" s="21">
        <f t="shared" si="176"/>
        <v>0</v>
      </c>
      <c r="CV106" s="21">
        <f t="shared" si="176"/>
        <v>0</v>
      </c>
      <c r="CW106" s="22">
        <f t="shared" si="176"/>
        <v>0</v>
      </c>
      <c r="CX106" s="40"/>
    </row>
    <row r="107" spans="1:102" ht="15.75" hidden="1" x14ac:dyDescent="0.25">
      <c r="A107" s="13" t="s">
        <v>107</v>
      </c>
      <c r="B107" s="14" t="s">
        <v>7</v>
      </c>
      <c r="C107" s="14" t="s">
        <v>1</v>
      </c>
      <c r="D107" s="30" t="s">
        <v>135</v>
      </c>
      <c r="E107" s="15">
        <f>SUM(E108)</f>
        <v>8642083</v>
      </c>
      <c r="F107" s="16">
        <f t="shared" ref="F107:BS107" si="178">SUM(F108)</f>
        <v>8642083</v>
      </c>
      <c r="G107" s="16">
        <f t="shared" si="178"/>
        <v>0</v>
      </c>
      <c r="H107" s="16">
        <f t="shared" si="178"/>
        <v>0</v>
      </c>
      <c r="I107" s="16">
        <f t="shared" si="178"/>
        <v>0</v>
      </c>
      <c r="J107" s="16">
        <f t="shared" si="178"/>
        <v>0</v>
      </c>
      <c r="K107" s="16">
        <f t="shared" si="178"/>
        <v>0</v>
      </c>
      <c r="L107" s="16">
        <f t="shared" si="178"/>
        <v>0</v>
      </c>
      <c r="M107" s="16">
        <f t="shared" si="178"/>
        <v>0</v>
      </c>
      <c r="N107" s="16">
        <f t="shared" si="178"/>
        <v>0</v>
      </c>
      <c r="O107" s="16">
        <f t="shared" si="178"/>
        <v>0</v>
      </c>
      <c r="P107" s="16">
        <f t="shared" si="178"/>
        <v>0</v>
      </c>
      <c r="Q107" s="16">
        <f t="shared" si="178"/>
        <v>0</v>
      </c>
      <c r="R107" s="16">
        <f t="shared" si="178"/>
        <v>0</v>
      </c>
      <c r="S107" s="16">
        <f t="shared" si="178"/>
        <v>0</v>
      </c>
      <c r="T107" s="16">
        <f t="shared" si="178"/>
        <v>0</v>
      </c>
      <c r="U107" s="16">
        <f t="shared" si="178"/>
        <v>0</v>
      </c>
      <c r="V107" s="16">
        <f t="shared" si="178"/>
        <v>0</v>
      </c>
      <c r="W107" s="16">
        <f t="shared" si="178"/>
        <v>0</v>
      </c>
      <c r="X107" s="16">
        <f t="shared" si="178"/>
        <v>0</v>
      </c>
      <c r="Y107" s="16">
        <f t="shared" si="178"/>
        <v>0</v>
      </c>
      <c r="Z107" s="16">
        <f t="shared" si="178"/>
        <v>0</v>
      </c>
      <c r="AA107" s="16">
        <f t="shared" si="178"/>
        <v>0</v>
      </c>
      <c r="AB107" s="16">
        <f t="shared" si="178"/>
        <v>0</v>
      </c>
      <c r="AC107" s="16">
        <f t="shared" si="178"/>
        <v>0</v>
      </c>
      <c r="AD107" s="16">
        <f t="shared" si="178"/>
        <v>0</v>
      </c>
      <c r="AE107" s="16">
        <f t="shared" si="178"/>
        <v>0</v>
      </c>
      <c r="AF107" s="16">
        <f t="shared" si="178"/>
        <v>0</v>
      </c>
      <c r="AG107" s="16">
        <f t="shared" si="178"/>
        <v>0</v>
      </c>
      <c r="AH107" s="16">
        <f t="shared" si="178"/>
        <v>0</v>
      </c>
      <c r="AI107" s="16">
        <f t="shared" si="178"/>
        <v>0</v>
      </c>
      <c r="AJ107" s="16">
        <f t="shared" si="178"/>
        <v>0</v>
      </c>
      <c r="AK107" s="16">
        <f t="shared" si="178"/>
        <v>0</v>
      </c>
      <c r="AL107" s="16">
        <f t="shared" si="178"/>
        <v>0</v>
      </c>
      <c r="AM107" s="16">
        <f t="shared" si="178"/>
        <v>0</v>
      </c>
      <c r="AN107" s="16">
        <f t="shared" si="178"/>
        <v>0</v>
      </c>
      <c r="AO107" s="16">
        <f t="shared" si="178"/>
        <v>0</v>
      </c>
      <c r="AP107" s="16">
        <f t="shared" si="178"/>
        <v>0</v>
      </c>
      <c r="AQ107" s="16">
        <f t="shared" si="178"/>
        <v>0</v>
      </c>
      <c r="AR107" s="16">
        <f t="shared" si="178"/>
        <v>0</v>
      </c>
      <c r="AS107" s="16">
        <f t="shared" si="178"/>
        <v>0</v>
      </c>
      <c r="AT107" s="16">
        <f t="shared" si="178"/>
        <v>0</v>
      </c>
      <c r="AU107" s="16">
        <f t="shared" si="178"/>
        <v>0</v>
      </c>
      <c r="AV107" s="16">
        <f t="shared" si="178"/>
        <v>0</v>
      </c>
      <c r="AW107" s="16">
        <f t="shared" si="178"/>
        <v>0</v>
      </c>
      <c r="AX107" s="16">
        <f t="shared" si="178"/>
        <v>0</v>
      </c>
      <c r="AY107" s="16">
        <f t="shared" si="178"/>
        <v>0</v>
      </c>
      <c r="AZ107" s="16">
        <f t="shared" si="178"/>
        <v>0</v>
      </c>
      <c r="BA107" s="16">
        <f t="shared" si="178"/>
        <v>8642083</v>
      </c>
      <c r="BB107" s="16">
        <f t="shared" si="178"/>
        <v>0</v>
      </c>
      <c r="BC107" s="16">
        <f t="shared" si="178"/>
        <v>0</v>
      </c>
      <c r="BD107" s="16">
        <f t="shared" si="178"/>
        <v>0</v>
      </c>
      <c r="BE107" s="16">
        <f t="shared" si="178"/>
        <v>0</v>
      </c>
      <c r="BF107" s="16">
        <f t="shared" si="178"/>
        <v>8642083</v>
      </c>
      <c r="BG107" s="16">
        <f t="shared" si="178"/>
        <v>8642083</v>
      </c>
      <c r="BH107" s="16">
        <f t="shared" si="178"/>
        <v>0</v>
      </c>
      <c r="BI107" s="16">
        <f t="shared" si="178"/>
        <v>0</v>
      </c>
      <c r="BJ107" s="16">
        <f t="shared" si="178"/>
        <v>0</v>
      </c>
      <c r="BK107" s="16">
        <f t="shared" si="178"/>
        <v>0</v>
      </c>
      <c r="BL107" s="16">
        <f t="shared" si="178"/>
        <v>0</v>
      </c>
      <c r="BM107" s="16">
        <f t="shared" si="178"/>
        <v>0</v>
      </c>
      <c r="BN107" s="16">
        <f t="shared" si="178"/>
        <v>0</v>
      </c>
      <c r="BO107" s="16">
        <f t="shared" si="178"/>
        <v>0</v>
      </c>
      <c r="BP107" s="16">
        <f t="shared" si="178"/>
        <v>0</v>
      </c>
      <c r="BQ107" s="16">
        <f t="shared" si="178"/>
        <v>0</v>
      </c>
      <c r="BR107" s="16">
        <f t="shared" si="178"/>
        <v>0</v>
      </c>
      <c r="BS107" s="16">
        <f t="shared" si="178"/>
        <v>0</v>
      </c>
      <c r="BT107" s="16">
        <f t="shared" ref="BT107:CW107" si="179">SUM(BT108)</f>
        <v>0</v>
      </c>
      <c r="BU107" s="16">
        <f t="shared" si="179"/>
        <v>0</v>
      </c>
      <c r="BV107" s="16">
        <f t="shared" si="179"/>
        <v>0</v>
      </c>
      <c r="BW107" s="16">
        <f t="shared" si="179"/>
        <v>0</v>
      </c>
      <c r="BX107" s="16">
        <f t="shared" si="179"/>
        <v>0</v>
      </c>
      <c r="BY107" s="16">
        <f t="shared" si="179"/>
        <v>0</v>
      </c>
      <c r="BZ107" s="16">
        <f t="shared" si="179"/>
        <v>0</v>
      </c>
      <c r="CA107" s="16">
        <f t="shared" si="179"/>
        <v>0</v>
      </c>
      <c r="CB107" s="16">
        <f t="shared" si="179"/>
        <v>0</v>
      </c>
      <c r="CC107" s="16">
        <f t="shared" si="179"/>
        <v>0</v>
      </c>
      <c r="CD107" s="16">
        <f t="shared" si="179"/>
        <v>0</v>
      </c>
      <c r="CE107" s="16">
        <f t="shared" si="179"/>
        <v>0</v>
      </c>
      <c r="CF107" s="16">
        <f t="shared" si="179"/>
        <v>0</v>
      </c>
      <c r="CG107" s="16">
        <f t="shared" si="179"/>
        <v>0</v>
      </c>
      <c r="CH107" s="16">
        <f t="shared" si="179"/>
        <v>0</v>
      </c>
      <c r="CI107" s="16">
        <f t="shared" si="179"/>
        <v>0</v>
      </c>
      <c r="CJ107" s="16">
        <f t="shared" si="179"/>
        <v>0</v>
      </c>
      <c r="CK107" s="16">
        <f t="shared" si="179"/>
        <v>0</v>
      </c>
      <c r="CL107" s="16">
        <f t="shared" si="179"/>
        <v>0</v>
      </c>
      <c r="CM107" s="16">
        <f t="shared" si="179"/>
        <v>0</v>
      </c>
      <c r="CN107" s="16">
        <f t="shared" si="179"/>
        <v>0</v>
      </c>
      <c r="CO107" s="16">
        <f t="shared" si="179"/>
        <v>0</v>
      </c>
      <c r="CP107" s="16">
        <f t="shared" si="179"/>
        <v>0</v>
      </c>
      <c r="CQ107" s="16">
        <f t="shared" si="179"/>
        <v>0</v>
      </c>
      <c r="CR107" s="16">
        <f t="shared" si="179"/>
        <v>0</v>
      </c>
      <c r="CS107" s="16">
        <f t="shared" si="179"/>
        <v>0</v>
      </c>
      <c r="CT107" s="16">
        <f t="shared" si="179"/>
        <v>0</v>
      </c>
      <c r="CU107" s="16">
        <f t="shared" si="179"/>
        <v>0</v>
      </c>
      <c r="CV107" s="16">
        <f t="shared" si="179"/>
        <v>0</v>
      </c>
      <c r="CW107" s="17">
        <f t="shared" si="179"/>
        <v>0</v>
      </c>
      <c r="CX107" s="40"/>
    </row>
    <row r="108" spans="1:102" ht="31.5" hidden="1" x14ac:dyDescent="0.25">
      <c r="A108" s="13" t="s">
        <v>1</v>
      </c>
      <c r="B108" s="14" t="s">
        <v>1</v>
      </c>
      <c r="C108" s="14" t="s">
        <v>29</v>
      </c>
      <c r="D108" s="30" t="s">
        <v>501</v>
      </c>
      <c r="E108" s="15">
        <f>SUM(F108+BY108+CT108)</f>
        <v>8642083</v>
      </c>
      <c r="F108" s="16">
        <f>SUM(G108+BA108)</f>
        <v>8642083</v>
      </c>
      <c r="G108" s="16">
        <f>SUM(H108+I108+J108+Q108+T108+U108+V108+AE108)</f>
        <v>0</v>
      </c>
      <c r="H108" s="16">
        <v>0</v>
      </c>
      <c r="I108" s="16">
        <v>0</v>
      </c>
      <c r="J108" s="16">
        <f t="shared" si="103"/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f t="shared" si="104"/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f>SUM(W108:AD108)</f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f>SUM(AF108:AZ108)</f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f>SUM(BB108+BF108+BI108+BK108+BM108)</f>
        <v>8642083</v>
      </c>
      <c r="BB108" s="16">
        <f>SUM(BC108:BE108)</f>
        <v>0</v>
      </c>
      <c r="BC108" s="16">
        <v>0</v>
      </c>
      <c r="BD108" s="16">
        <v>0</v>
      </c>
      <c r="BE108" s="16">
        <v>0</v>
      </c>
      <c r="BF108" s="16">
        <f t="shared" si="105"/>
        <v>8642083</v>
      </c>
      <c r="BG108" s="16">
        <v>8642083</v>
      </c>
      <c r="BH108" s="16">
        <v>0</v>
      </c>
      <c r="BI108" s="16">
        <v>0</v>
      </c>
      <c r="BJ108" s="16">
        <v>0</v>
      </c>
      <c r="BK108" s="16">
        <f t="shared" si="106"/>
        <v>0</v>
      </c>
      <c r="BL108" s="16">
        <v>0</v>
      </c>
      <c r="BM108" s="16">
        <f t="shared" si="107"/>
        <v>0</v>
      </c>
      <c r="BN108" s="16">
        <v>0</v>
      </c>
      <c r="BO108" s="16">
        <v>0</v>
      </c>
      <c r="BP108" s="16">
        <v>0</v>
      </c>
      <c r="BQ108" s="16">
        <v>0</v>
      </c>
      <c r="BR108" s="16">
        <v>0</v>
      </c>
      <c r="BS108" s="16">
        <v>0</v>
      </c>
      <c r="BT108" s="16">
        <v>0</v>
      </c>
      <c r="BU108" s="16">
        <v>0</v>
      </c>
      <c r="BV108" s="16">
        <v>0</v>
      </c>
      <c r="BW108" s="16">
        <v>0</v>
      </c>
      <c r="BX108" s="16">
        <v>0</v>
      </c>
      <c r="BY108" s="16">
        <f>SUM(BZ108+CS108)</f>
        <v>0</v>
      </c>
      <c r="BZ108" s="16">
        <f>SUM(CA108+CD108+CK108)</f>
        <v>0</v>
      </c>
      <c r="CA108" s="16">
        <f t="shared" si="108"/>
        <v>0</v>
      </c>
      <c r="CB108" s="16">
        <v>0</v>
      </c>
      <c r="CC108" s="16">
        <v>0</v>
      </c>
      <c r="CD108" s="16">
        <f t="shared" si="109"/>
        <v>0</v>
      </c>
      <c r="CE108" s="16">
        <v>0</v>
      </c>
      <c r="CF108" s="16">
        <v>0</v>
      </c>
      <c r="CG108" s="16">
        <v>0</v>
      </c>
      <c r="CH108" s="16">
        <v>0</v>
      </c>
      <c r="CI108" s="16">
        <v>0</v>
      </c>
      <c r="CJ108" s="16">
        <v>0</v>
      </c>
      <c r="CK108" s="16">
        <f t="shared" si="110"/>
        <v>0</v>
      </c>
      <c r="CL108" s="16">
        <v>0</v>
      </c>
      <c r="CM108" s="16">
        <v>0</v>
      </c>
      <c r="CN108" s="16">
        <v>0</v>
      </c>
      <c r="CO108" s="16">
        <v>0</v>
      </c>
      <c r="CP108" s="16">
        <v>0</v>
      </c>
      <c r="CQ108" s="16">
        <v>0</v>
      </c>
      <c r="CR108" s="16">
        <v>0</v>
      </c>
      <c r="CS108" s="16">
        <v>0</v>
      </c>
      <c r="CT108" s="16">
        <f t="shared" si="111"/>
        <v>0</v>
      </c>
      <c r="CU108" s="16">
        <f t="shared" si="112"/>
        <v>0</v>
      </c>
      <c r="CV108" s="16">
        <v>0</v>
      </c>
      <c r="CW108" s="17">
        <v>0</v>
      </c>
      <c r="CX108" s="40"/>
    </row>
    <row r="109" spans="1:102" ht="15.75" hidden="1" x14ac:dyDescent="0.25">
      <c r="A109" s="13" t="s">
        <v>107</v>
      </c>
      <c r="B109" s="14" t="s">
        <v>50</v>
      </c>
      <c r="C109" s="14" t="s">
        <v>1</v>
      </c>
      <c r="D109" s="30" t="s">
        <v>136</v>
      </c>
      <c r="E109" s="15">
        <f t="shared" ref="E109:AJ109" si="180">SUM(E110)</f>
        <v>3830825</v>
      </c>
      <c r="F109" s="16">
        <f t="shared" si="180"/>
        <v>3786990</v>
      </c>
      <c r="G109" s="16">
        <f t="shared" si="180"/>
        <v>3786990</v>
      </c>
      <c r="H109" s="16">
        <f t="shared" si="180"/>
        <v>2971382</v>
      </c>
      <c r="I109" s="16">
        <f t="shared" si="180"/>
        <v>680746</v>
      </c>
      <c r="J109" s="16">
        <f t="shared" si="180"/>
        <v>45417</v>
      </c>
      <c r="K109" s="16">
        <f t="shared" si="180"/>
        <v>0</v>
      </c>
      <c r="L109" s="16">
        <f t="shared" si="180"/>
        <v>0</v>
      </c>
      <c r="M109" s="16">
        <f t="shared" si="180"/>
        <v>0</v>
      </c>
      <c r="N109" s="16">
        <f t="shared" si="180"/>
        <v>2513</v>
      </c>
      <c r="O109" s="16">
        <f t="shared" si="180"/>
        <v>42904</v>
      </c>
      <c r="P109" s="16">
        <f t="shared" si="180"/>
        <v>0</v>
      </c>
      <c r="Q109" s="16">
        <f t="shared" si="180"/>
        <v>0</v>
      </c>
      <c r="R109" s="16">
        <f t="shared" si="180"/>
        <v>0</v>
      </c>
      <c r="S109" s="16">
        <f t="shared" si="180"/>
        <v>0</v>
      </c>
      <c r="T109" s="16">
        <f t="shared" si="180"/>
        <v>0</v>
      </c>
      <c r="U109" s="16">
        <f t="shared" si="180"/>
        <v>40815</v>
      </c>
      <c r="V109" s="16">
        <f t="shared" si="180"/>
        <v>20114</v>
      </c>
      <c r="W109" s="16">
        <f t="shared" si="180"/>
        <v>0</v>
      </c>
      <c r="X109" s="16">
        <f t="shared" si="180"/>
        <v>4431</v>
      </c>
      <c r="Y109" s="16">
        <f t="shared" si="180"/>
        <v>15555</v>
      </c>
      <c r="Z109" s="16">
        <f t="shared" si="180"/>
        <v>128</v>
      </c>
      <c r="AA109" s="16">
        <f t="shared" si="180"/>
        <v>0</v>
      </c>
      <c r="AB109" s="16">
        <f t="shared" si="180"/>
        <v>0</v>
      </c>
      <c r="AC109" s="16">
        <f t="shared" si="180"/>
        <v>0</v>
      </c>
      <c r="AD109" s="16">
        <f t="shared" si="180"/>
        <v>0</v>
      </c>
      <c r="AE109" s="16">
        <f t="shared" si="180"/>
        <v>28516</v>
      </c>
      <c r="AF109" s="16">
        <f t="shared" si="180"/>
        <v>0</v>
      </c>
      <c r="AG109" s="16">
        <f t="shared" si="180"/>
        <v>0</v>
      </c>
      <c r="AH109" s="16">
        <f t="shared" si="180"/>
        <v>6598</v>
      </c>
      <c r="AI109" s="16">
        <f t="shared" si="180"/>
        <v>0</v>
      </c>
      <c r="AJ109" s="16">
        <f t="shared" si="180"/>
        <v>0</v>
      </c>
      <c r="AK109" s="16">
        <f t="shared" ref="AK109:BR109" si="181">SUM(AK110)</f>
        <v>0</v>
      </c>
      <c r="AL109" s="16">
        <f t="shared" si="181"/>
        <v>21918</v>
      </c>
      <c r="AM109" s="16">
        <f t="shared" si="181"/>
        <v>0</v>
      </c>
      <c r="AN109" s="16">
        <f t="shared" si="181"/>
        <v>0</v>
      </c>
      <c r="AO109" s="16">
        <f t="shared" si="181"/>
        <v>0</v>
      </c>
      <c r="AP109" s="16">
        <f t="shared" si="181"/>
        <v>0</v>
      </c>
      <c r="AQ109" s="16">
        <f t="shared" si="181"/>
        <v>0</v>
      </c>
      <c r="AR109" s="16">
        <f t="shared" si="181"/>
        <v>0</v>
      </c>
      <c r="AS109" s="16">
        <f t="shared" si="181"/>
        <v>0</v>
      </c>
      <c r="AT109" s="16">
        <f t="shared" si="181"/>
        <v>0</v>
      </c>
      <c r="AU109" s="16">
        <f t="shared" si="181"/>
        <v>0</v>
      </c>
      <c r="AV109" s="16">
        <f t="shared" si="181"/>
        <v>0</v>
      </c>
      <c r="AW109" s="16">
        <f t="shared" si="181"/>
        <v>0</v>
      </c>
      <c r="AX109" s="16">
        <f t="shared" si="181"/>
        <v>0</v>
      </c>
      <c r="AY109" s="16">
        <f t="shared" si="181"/>
        <v>0</v>
      </c>
      <c r="AZ109" s="16">
        <f t="shared" si="181"/>
        <v>0</v>
      </c>
      <c r="BA109" s="16">
        <f t="shared" si="181"/>
        <v>0</v>
      </c>
      <c r="BB109" s="16">
        <f t="shared" si="181"/>
        <v>0</v>
      </c>
      <c r="BC109" s="16">
        <f t="shared" si="181"/>
        <v>0</v>
      </c>
      <c r="BD109" s="16">
        <f t="shared" si="181"/>
        <v>0</v>
      </c>
      <c r="BE109" s="16">
        <f t="shared" si="181"/>
        <v>0</v>
      </c>
      <c r="BF109" s="16">
        <f t="shared" si="181"/>
        <v>0</v>
      </c>
      <c r="BG109" s="16">
        <f t="shared" si="181"/>
        <v>0</v>
      </c>
      <c r="BH109" s="16">
        <f t="shared" si="181"/>
        <v>0</v>
      </c>
      <c r="BI109" s="16">
        <f t="shared" si="181"/>
        <v>0</v>
      </c>
      <c r="BJ109" s="16">
        <f t="shared" si="181"/>
        <v>0</v>
      </c>
      <c r="BK109" s="16">
        <f t="shared" si="181"/>
        <v>0</v>
      </c>
      <c r="BL109" s="16">
        <f t="shared" si="181"/>
        <v>0</v>
      </c>
      <c r="BM109" s="16">
        <f t="shared" si="181"/>
        <v>0</v>
      </c>
      <c r="BN109" s="16">
        <f t="shared" si="181"/>
        <v>0</v>
      </c>
      <c r="BO109" s="16">
        <f t="shared" si="181"/>
        <v>0</v>
      </c>
      <c r="BP109" s="16">
        <f t="shared" si="181"/>
        <v>0</v>
      </c>
      <c r="BQ109" s="16">
        <f t="shared" si="181"/>
        <v>0</v>
      </c>
      <c r="BR109" s="16">
        <f t="shared" si="181"/>
        <v>0</v>
      </c>
      <c r="BS109" s="16">
        <f t="shared" ref="BS109:CW109" si="182">SUM(BS110)</f>
        <v>0</v>
      </c>
      <c r="BT109" s="16">
        <f t="shared" si="182"/>
        <v>0</v>
      </c>
      <c r="BU109" s="16">
        <f t="shared" si="182"/>
        <v>0</v>
      </c>
      <c r="BV109" s="16">
        <f t="shared" si="182"/>
        <v>0</v>
      </c>
      <c r="BW109" s="16">
        <f t="shared" si="182"/>
        <v>0</v>
      </c>
      <c r="BX109" s="16">
        <f t="shared" si="182"/>
        <v>0</v>
      </c>
      <c r="BY109" s="16">
        <f t="shared" si="182"/>
        <v>43835</v>
      </c>
      <c r="BZ109" s="16">
        <f t="shared" si="182"/>
        <v>43835</v>
      </c>
      <c r="CA109" s="16">
        <f t="shared" si="182"/>
        <v>43835</v>
      </c>
      <c r="CB109" s="16">
        <f t="shared" si="182"/>
        <v>0</v>
      </c>
      <c r="CC109" s="16">
        <f t="shared" si="182"/>
        <v>43835</v>
      </c>
      <c r="CD109" s="16">
        <f t="shared" si="182"/>
        <v>0</v>
      </c>
      <c r="CE109" s="16">
        <f t="shared" si="182"/>
        <v>0</v>
      </c>
      <c r="CF109" s="16">
        <f t="shared" si="182"/>
        <v>0</v>
      </c>
      <c r="CG109" s="16">
        <f t="shared" si="182"/>
        <v>0</v>
      </c>
      <c r="CH109" s="16">
        <f t="shared" si="182"/>
        <v>0</v>
      </c>
      <c r="CI109" s="16">
        <f t="shared" si="182"/>
        <v>0</v>
      </c>
      <c r="CJ109" s="16">
        <f t="shared" si="182"/>
        <v>0</v>
      </c>
      <c r="CK109" s="16">
        <f t="shared" si="182"/>
        <v>0</v>
      </c>
      <c r="CL109" s="16">
        <f t="shared" si="182"/>
        <v>0</v>
      </c>
      <c r="CM109" s="16">
        <f t="shared" si="182"/>
        <v>0</v>
      </c>
      <c r="CN109" s="16">
        <f t="shared" si="182"/>
        <v>0</v>
      </c>
      <c r="CO109" s="16">
        <f t="shared" si="182"/>
        <v>0</v>
      </c>
      <c r="CP109" s="16">
        <f t="shared" si="182"/>
        <v>0</v>
      </c>
      <c r="CQ109" s="16">
        <f t="shared" si="182"/>
        <v>0</v>
      </c>
      <c r="CR109" s="16">
        <f t="shared" si="182"/>
        <v>0</v>
      </c>
      <c r="CS109" s="16">
        <f t="shared" si="182"/>
        <v>0</v>
      </c>
      <c r="CT109" s="16">
        <f t="shared" si="182"/>
        <v>0</v>
      </c>
      <c r="CU109" s="16">
        <f t="shared" si="182"/>
        <v>0</v>
      </c>
      <c r="CV109" s="16">
        <f t="shared" si="182"/>
        <v>0</v>
      </c>
      <c r="CW109" s="17">
        <f t="shared" si="182"/>
        <v>0</v>
      </c>
      <c r="CX109" s="40"/>
    </row>
    <row r="110" spans="1:102" ht="31.5" hidden="1" x14ac:dyDescent="0.25">
      <c r="A110" s="13" t="s">
        <v>1</v>
      </c>
      <c r="B110" s="14" t="s">
        <v>1</v>
      </c>
      <c r="C110" s="14" t="s">
        <v>29</v>
      </c>
      <c r="D110" s="30" t="s">
        <v>137</v>
      </c>
      <c r="E110" s="15">
        <f>SUM(F110+BY110+CT110)</f>
        <v>3830825</v>
      </c>
      <c r="F110" s="16">
        <f>SUM(G110+BA110)</f>
        <v>3786990</v>
      </c>
      <c r="G110" s="16">
        <f>SUM(H110+I110+J110+Q110+T110+U110+V110+AE110)</f>
        <v>3786990</v>
      </c>
      <c r="H110" s="16">
        <v>2971382</v>
      </c>
      <c r="I110" s="16">
        <v>680746</v>
      </c>
      <c r="J110" s="16">
        <f t="shared" si="103"/>
        <v>45417</v>
      </c>
      <c r="K110" s="16">
        <v>0</v>
      </c>
      <c r="L110" s="16">
        <v>0</v>
      </c>
      <c r="M110" s="16">
        <v>0</v>
      </c>
      <c r="N110" s="16">
        <v>2513</v>
      </c>
      <c r="O110" s="16">
        <v>42904</v>
      </c>
      <c r="P110" s="16">
        <v>0</v>
      </c>
      <c r="Q110" s="16">
        <f t="shared" si="104"/>
        <v>0</v>
      </c>
      <c r="R110" s="16">
        <v>0</v>
      </c>
      <c r="S110" s="16">
        <v>0</v>
      </c>
      <c r="T110" s="16">
        <v>0</v>
      </c>
      <c r="U110" s="16">
        <v>40815</v>
      </c>
      <c r="V110" s="16">
        <f>SUM(W110:AD110)</f>
        <v>20114</v>
      </c>
      <c r="W110" s="16">
        <v>0</v>
      </c>
      <c r="X110" s="16">
        <v>4431</v>
      </c>
      <c r="Y110" s="16">
        <v>15555</v>
      </c>
      <c r="Z110" s="16">
        <v>128</v>
      </c>
      <c r="AA110" s="16">
        <v>0</v>
      </c>
      <c r="AB110" s="16">
        <v>0</v>
      </c>
      <c r="AC110" s="16">
        <v>0</v>
      </c>
      <c r="AD110" s="16">
        <v>0</v>
      </c>
      <c r="AE110" s="16">
        <f>SUM(AF110:AZ110)</f>
        <v>28516</v>
      </c>
      <c r="AF110" s="16">
        <v>0</v>
      </c>
      <c r="AG110" s="16">
        <v>0</v>
      </c>
      <c r="AH110" s="16">
        <v>6598</v>
      </c>
      <c r="AI110" s="16">
        <v>0</v>
      </c>
      <c r="AJ110" s="16">
        <v>0</v>
      </c>
      <c r="AK110" s="16">
        <v>0</v>
      </c>
      <c r="AL110" s="16">
        <v>21918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f>SUM(BB110+BF110+BI110+BK110+BM110)</f>
        <v>0</v>
      </c>
      <c r="BB110" s="16">
        <f>SUM(BC110:BE110)</f>
        <v>0</v>
      </c>
      <c r="BC110" s="16">
        <v>0</v>
      </c>
      <c r="BD110" s="16">
        <v>0</v>
      </c>
      <c r="BE110" s="16">
        <v>0</v>
      </c>
      <c r="BF110" s="16">
        <f t="shared" si="105"/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f t="shared" si="106"/>
        <v>0</v>
      </c>
      <c r="BL110" s="16">
        <v>0</v>
      </c>
      <c r="BM110" s="16">
        <f t="shared" si="107"/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  <c r="BW110" s="16">
        <v>0</v>
      </c>
      <c r="BX110" s="16">
        <v>0</v>
      </c>
      <c r="BY110" s="16">
        <f>SUM(BZ110+CS110)</f>
        <v>43835</v>
      </c>
      <c r="BZ110" s="16">
        <f>SUM(CA110+CD110+CK110)</f>
        <v>43835</v>
      </c>
      <c r="CA110" s="16">
        <f t="shared" si="108"/>
        <v>43835</v>
      </c>
      <c r="CB110" s="16">
        <v>0</v>
      </c>
      <c r="CC110" s="16">
        <v>43835</v>
      </c>
      <c r="CD110" s="16">
        <f t="shared" si="109"/>
        <v>0</v>
      </c>
      <c r="CE110" s="16">
        <v>0</v>
      </c>
      <c r="CF110" s="16">
        <v>0</v>
      </c>
      <c r="CG110" s="16">
        <v>0</v>
      </c>
      <c r="CH110" s="16">
        <v>0</v>
      </c>
      <c r="CI110" s="16">
        <v>0</v>
      </c>
      <c r="CJ110" s="16">
        <v>0</v>
      </c>
      <c r="CK110" s="16">
        <f t="shared" si="110"/>
        <v>0</v>
      </c>
      <c r="CL110" s="16">
        <v>0</v>
      </c>
      <c r="CM110" s="16">
        <v>0</v>
      </c>
      <c r="CN110" s="16">
        <v>0</v>
      </c>
      <c r="CO110" s="16">
        <v>0</v>
      </c>
      <c r="CP110" s="16">
        <v>0</v>
      </c>
      <c r="CQ110" s="16">
        <v>0</v>
      </c>
      <c r="CR110" s="16">
        <v>0</v>
      </c>
      <c r="CS110" s="16">
        <v>0</v>
      </c>
      <c r="CT110" s="16">
        <f t="shared" si="111"/>
        <v>0</v>
      </c>
      <c r="CU110" s="16">
        <f t="shared" si="112"/>
        <v>0</v>
      </c>
      <c r="CV110" s="16">
        <v>0</v>
      </c>
      <c r="CW110" s="17">
        <v>0</v>
      </c>
      <c r="CX110" s="40"/>
    </row>
    <row r="111" spans="1:102" ht="31.5" hidden="1" x14ac:dyDescent="0.25">
      <c r="A111" s="18" t="s">
        <v>138</v>
      </c>
      <c r="B111" s="19" t="s">
        <v>1</v>
      </c>
      <c r="C111" s="19" t="s">
        <v>1</v>
      </c>
      <c r="D111" s="31" t="s">
        <v>139</v>
      </c>
      <c r="E111" s="20">
        <f>SUM(E112+E114+E116+E118)</f>
        <v>32159033</v>
      </c>
      <c r="F111" s="21">
        <f t="shared" ref="F111:BS111" si="183">SUM(F112+F114+F116+F118)</f>
        <v>32159033</v>
      </c>
      <c r="G111" s="21">
        <f t="shared" si="183"/>
        <v>4949220</v>
      </c>
      <c r="H111" s="21">
        <f t="shared" si="183"/>
        <v>0</v>
      </c>
      <c r="I111" s="21">
        <f t="shared" si="183"/>
        <v>0</v>
      </c>
      <c r="J111" s="21">
        <f t="shared" si="183"/>
        <v>0</v>
      </c>
      <c r="K111" s="21">
        <f t="shared" si="183"/>
        <v>0</v>
      </c>
      <c r="L111" s="21">
        <f t="shared" si="183"/>
        <v>0</v>
      </c>
      <c r="M111" s="21">
        <f t="shared" si="183"/>
        <v>0</v>
      </c>
      <c r="N111" s="21">
        <f t="shared" si="183"/>
        <v>0</v>
      </c>
      <c r="O111" s="21">
        <f t="shared" si="183"/>
        <v>0</v>
      </c>
      <c r="P111" s="21">
        <f t="shared" si="183"/>
        <v>0</v>
      </c>
      <c r="Q111" s="21">
        <f t="shared" si="183"/>
        <v>0</v>
      </c>
      <c r="R111" s="21">
        <f t="shared" si="183"/>
        <v>0</v>
      </c>
      <c r="S111" s="21">
        <f t="shared" si="183"/>
        <v>0</v>
      </c>
      <c r="T111" s="21">
        <f t="shared" si="183"/>
        <v>0</v>
      </c>
      <c r="U111" s="21">
        <f t="shared" si="183"/>
        <v>0</v>
      </c>
      <c r="V111" s="21">
        <f t="shared" si="183"/>
        <v>0</v>
      </c>
      <c r="W111" s="21">
        <f t="shared" si="183"/>
        <v>0</v>
      </c>
      <c r="X111" s="21">
        <f t="shared" si="183"/>
        <v>0</v>
      </c>
      <c r="Y111" s="21">
        <f t="shared" si="183"/>
        <v>0</v>
      </c>
      <c r="Z111" s="21">
        <f t="shared" si="183"/>
        <v>0</v>
      </c>
      <c r="AA111" s="21">
        <f t="shared" si="183"/>
        <v>0</v>
      </c>
      <c r="AB111" s="21">
        <f t="shared" si="183"/>
        <v>0</v>
      </c>
      <c r="AC111" s="21">
        <f t="shared" si="183"/>
        <v>0</v>
      </c>
      <c r="AD111" s="21">
        <f t="shared" ref="AD111" si="184">SUM(AD112+AD114+AD116+AD118)</f>
        <v>0</v>
      </c>
      <c r="AE111" s="21">
        <f t="shared" si="183"/>
        <v>4949220</v>
      </c>
      <c r="AF111" s="21">
        <f t="shared" si="183"/>
        <v>0</v>
      </c>
      <c r="AG111" s="21">
        <f t="shared" si="183"/>
        <v>0</v>
      </c>
      <c r="AH111" s="21">
        <f t="shared" si="183"/>
        <v>0</v>
      </c>
      <c r="AI111" s="21">
        <f t="shared" si="183"/>
        <v>0</v>
      </c>
      <c r="AJ111" s="21">
        <f t="shared" si="183"/>
        <v>0</v>
      </c>
      <c r="AK111" s="21">
        <f t="shared" si="183"/>
        <v>0</v>
      </c>
      <c r="AL111" s="21">
        <f t="shared" si="183"/>
        <v>0</v>
      </c>
      <c r="AM111" s="21">
        <f t="shared" si="183"/>
        <v>0</v>
      </c>
      <c r="AN111" s="21">
        <f t="shared" si="183"/>
        <v>0</v>
      </c>
      <c r="AO111" s="21">
        <f t="shared" si="183"/>
        <v>0</v>
      </c>
      <c r="AP111" s="21">
        <f>SUM(AP112+AP114+AP116+AP118)</f>
        <v>0</v>
      </c>
      <c r="AQ111" s="21">
        <f t="shared" si="183"/>
        <v>0</v>
      </c>
      <c r="AR111" s="21">
        <f t="shared" si="183"/>
        <v>0</v>
      </c>
      <c r="AS111" s="21">
        <f t="shared" si="183"/>
        <v>0</v>
      </c>
      <c r="AT111" s="21">
        <f t="shared" si="183"/>
        <v>0</v>
      </c>
      <c r="AU111" s="21">
        <f t="shared" si="183"/>
        <v>0</v>
      </c>
      <c r="AV111" s="21">
        <f t="shared" si="183"/>
        <v>0</v>
      </c>
      <c r="AW111" s="21">
        <f t="shared" si="183"/>
        <v>0</v>
      </c>
      <c r="AX111" s="21">
        <f t="shared" si="183"/>
        <v>0</v>
      </c>
      <c r="AY111" s="21">
        <f t="shared" si="183"/>
        <v>0</v>
      </c>
      <c r="AZ111" s="21">
        <f t="shared" si="183"/>
        <v>4949220</v>
      </c>
      <c r="BA111" s="21">
        <f t="shared" si="183"/>
        <v>27209813</v>
      </c>
      <c r="BB111" s="21">
        <f t="shared" si="183"/>
        <v>27209813</v>
      </c>
      <c r="BC111" s="21">
        <f t="shared" si="183"/>
        <v>0</v>
      </c>
      <c r="BD111" s="21">
        <f t="shared" si="183"/>
        <v>6980711</v>
      </c>
      <c r="BE111" s="21">
        <f t="shared" si="183"/>
        <v>20229102</v>
      </c>
      <c r="BF111" s="21">
        <f t="shared" si="183"/>
        <v>0</v>
      </c>
      <c r="BG111" s="21">
        <f t="shared" si="183"/>
        <v>0</v>
      </c>
      <c r="BH111" s="21">
        <f t="shared" si="183"/>
        <v>0</v>
      </c>
      <c r="BI111" s="21">
        <f t="shared" si="183"/>
        <v>0</v>
      </c>
      <c r="BJ111" s="21">
        <f t="shared" si="183"/>
        <v>0</v>
      </c>
      <c r="BK111" s="21">
        <f t="shared" si="183"/>
        <v>0</v>
      </c>
      <c r="BL111" s="21">
        <f t="shared" si="183"/>
        <v>0</v>
      </c>
      <c r="BM111" s="21">
        <f t="shared" si="183"/>
        <v>0</v>
      </c>
      <c r="BN111" s="21">
        <f t="shared" si="183"/>
        <v>0</v>
      </c>
      <c r="BO111" s="21">
        <f t="shared" si="183"/>
        <v>0</v>
      </c>
      <c r="BP111" s="21">
        <f t="shared" si="183"/>
        <v>0</v>
      </c>
      <c r="BQ111" s="21">
        <f t="shared" si="183"/>
        <v>0</v>
      </c>
      <c r="BR111" s="21">
        <f t="shared" si="183"/>
        <v>0</v>
      </c>
      <c r="BS111" s="21">
        <f t="shared" si="183"/>
        <v>0</v>
      </c>
      <c r="BT111" s="21">
        <f t="shared" ref="BT111:CW111" si="185">SUM(BT112+BT114+BT116+BT118)</f>
        <v>0</v>
      </c>
      <c r="BU111" s="21">
        <f t="shared" si="185"/>
        <v>0</v>
      </c>
      <c r="BV111" s="21">
        <f t="shared" si="185"/>
        <v>0</v>
      </c>
      <c r="BW111" s="21">
        <f t="shared" si="185"/>
        <v>0</v>
      </c>
      <c r="BX111" s="21">
        <f t="shared" si="185"/>
        <v>0</v>
      </c>
      <c r="BY111" s="21">
        <f t="shared" si="185"/>
        <v>0</v>
      </c>
      <c r="BZ111" s="21">
        <f t="shared" si="185"/>
        <v>0</v>
      </c>
      <c r="CA111" s="21">
        <f t="shared" si="185"/>
        <v>0</v>
      </c>
      <c r="CB111" s="21">
        <f t="shared" si="185"/>
        <v>0</v>
      </c>
      <c r="CC111" s="21">
        <f t="shared" si="185"/>
        <v>0</v>
      </c>
      <c r="CD111" s="21">
        <f t="shared" si="185"/>
        <v>0</v>
      </c>
      <c r="CE111" s="21">
        <f t="shared" si="185"/>
        <v>0</v>
      </c>
      <c r="CF111" s="21">
        <f>SUM(CF112+CF114+CF116+CF118)</f>
        <v>0</v>
      </c>
      <c r="CG111" s="21">
        <f t="shared" si="185"/>
        <v>0</v>
      </c>
      <c r="CH111" s="21">
        <f t="shared" si="185"/>
        <v>0</v>
      </c>
      <c r="CI111" s="21">
        <f t="shared" si="185"/>
        <v>0</v>
      </c>
      <c r="CJ111" s="21">
        <f t="shared" ref="CJ111" si="186">SUM(CJ112+CJ114+CJ116+CJ118)</f>
        <v>0</v>
      </c>
      <c r="CK111" s="21">
        <f t="shared" si="185"/>
        <v>0</v>
      </c>
      <c r="CL111" s="21">
        <f t="shared" si="185"/>
        <v>0</v>
      </c>
      <c r="CM111" s="21">
        <f>SUM(CM112+CM114+CM116+CM118)</f>
        <v>0</v>
      </c>
      <c r="CN111" s="21">
        <f t="shared" si="185"/>
        <v>0</v>
      </c>
      <c r="CO111" s="21">
        <f t="shared" si="185"/>
        <v>0</v>
      </c>
      <c r="CP111" s="21">
        <f t="shared" si="185"/>
        <v>0</v>
      </c>
      <c r="CQ111" s="21">
        <f t="shared" si="185"/>
        <v>0</v>
      </c>
      <c r="CR111" s="21">
        <f t="shared" si="185"/>
        <v>0</v>
      </c>
      <c r="CS111" s="21">
        <f t="shared" si="185"/>
        <v>0</v>
      </c>
      <c r="CT111" s="21">
        <f t="shared" si="185"/>
        <v>0</v>
      </c>
      <c r="CU111" s="21">
        <f t="shared" si="185"/>
        <v>0</v>
      </c>
      <c r="CV111" s="21">
        <f t="shared" si="185"/>
        <v>0</v>
      </c>
      <c r="CW111" s="22">
        <f t="shared" si="185"/>
        <v>0</v>
      </c>
      <c r="CX111" s="40"/>
    </row>
    <row r="112" spans="1:102" ht="15.75" hidden="1" x14ac:dyDescent="0.25">
      <c r="A112" s="13" t="s">
        <v>57</v>
      </c>
      <c r="B112" s="14" t="s">
        <v>3</v>
      </c>
      <c r="C112" s="14" t="s">
        <v>1</v>
      </c>
      <c r="D112" s="30" t="s">
        <v>140</v>
      </c>
      <c r="E112" s="15">
        <f t="shared" ref="E112:AJ112" si="187">SUM(E113)</f>
        <v>6980711</v>
      </c>
      <c r="F112" s="16">
        <f t="shared" si="187"/>
        <v>6980711</v>
      </c>
      <c r="G112" s="16">
        <f t="shared" si="187"/>
        <v>0</v>
      </c>
      <c r="H112" s="16">
        <f t="shared" si="187"/>
        <v>0</v>
      </c>
      <c r="I112" s="16">
        <f t="shared" si="187"/>
        <v>0</v>
      </c>
      <c r="J112" s="16">
        <f t="shared" si="187"/>
        <v>0</v>
      </c>
      <c r="K112" s="16">
        <f t="shared" si="187"/>
        <v>0</v>
      </c>
      <c r="L112" s="16">
        <f t="shared" si="187"/>
        <v>0</v>
      </c>
      <c r="M112" s="16">
        <f t="shared" si="187"/>
        <v>0</v>
      </c>
      <c r="N112" s="16">
        <f t="shared" si="187"/>
        <v>0</v>
      </c>
      <c r="O112" s="16">
        <f t="shared" si="187"/>
        <v>0</v>
      </c>
      <c r="P112" s="16">
        <f t="shared" si="187"/>
        <v>0</v>
      </c>
      <c r="Q112" s="16">
        <f t="shared" si="187"/>
        <v>0</v>
      </c>
      <c r="R112" s="16">
        <f t="shared" si="187"/>
        <v>0</v>
      </c>
      <c r="S112" s="16">
        <f t="shared" si="187"/>
        <v>0</v>
      </c>
      <c r="T112" s="16">
        <f t="shared" si="187"/>
        <v>0</v>
      </c>
      <c r="U112" s="16">
        <f t="shared" si="187"/>
        <v>0</v>
      </c>
      <c r="V112" s="16">
        <f t="shared" si="187"/>
        <v>0</v>
      </c>
      <c r="W112" s="16">
        <f t="shared" si="187"/>
        <v>0</v>
      </c>
      <c r="X112" s="16">
        <f t="shared" si="187"/>
        <v>0</v>
      </c>
      <c r="Y112" s="16">
        <f t="shared" si="187"/>
        <v>0</v>
      </c>
      <c r="Z112" s="16">
        <f t="shared" si="187"/>
        <v>0</v>
      </c>
      <c r="AA112" s="16">
        <f t="shared" si="187"/>
        <v>0</v>
      </c>
      <c r="AB112" s="16">
        <f t="shared" si="187"/>
        <v>0</v>
      </c>
      <c r="AC112" s="16">
        <f t="shared" si="187"/>
        <v>0</v>
      </c>
      <c r="AD112" s="16">
        <f t="shared" si="187"/>
        <v>0</v>
      </c>
      <c r="AE112" s="16">
        <f t="shared" si="187"/>
        <v>0</v>
      </c>
      <c r="AF112" s="16">
        <f t="shared" si="187"/>
        <v>0</v>
      </c>
      <c r="AG112" s="16">
        <f t="shared" si="187"/>
        <v>0</v>
      </c>
      <c r="AH112" s="16">
        <f t="shared" si="187"/>
        <v>0</v>
      </c>
      <c r="AI112" s="16">
        <f t="shared" si="187"/>
        <v>0</v>
      </c>
      <c r="AJ112" s="16">
        <f t="shared" si="187"/>
        <v>0</v>
      </c>
      <c r="AK112" s="16">
        <f t="shared" ref="AK112:BR112" si="188">SUM(AK113)</f>
        <v>0</v>
      </c>
      <c r="AL112" s="16">
        <f t="shared" si="188"/>
        <v>0</v>
      </c>
      <c r="AM112" s="16">
        <f t="shared" si="188"/>
        <v>0</v>
      </c>
      <c r="AN112" s="16">
        <f t="shared" si="188"/>
        <v>0</v>
      </c>
      <c r="AO112" s="16">
        <f t="shared" si="188"/>
        <v>0</v>
      </c>
      <c r="AP112" s="16">
        <f t="shared" si="188"/>
        <v>0</v>
      </c>
      <c r="AQ112" s="16">
        <f t="shared" si="188"/>
        <v>0</v>
      </c>
      <c r="AR112" s="16">
        <f t="shared" si="188"/>
        <v>0</v>
      </c>
      <c r="AS112" s="16">
        <f t="shared" si="188"/>
        <v>0</v>
      </c>
      <c r="AT112" s="16">
        <f t="shared" si="188"/>
        <v>0</v>
      </c>
      <c r="AU112" s="16">
        <f t="shared" si="188"/>
        <v>0</v>
      </c>
      <c r="AV112" s="16">
        <f t="shared" si="188"/>
        <v>0</v>
      </c>
      <c r="AW112" s="16">
        <f t="shared" si="188"/>
        <v>0</v>
      </c>
      <c r="AX112" s="16">
        <f t="shared" si="188"/>
        <v>0</v>
      </c>
      <c r="AY112" s="16">
        <f t="shared" si="188"/>
        <v>0</v>
      </c>
      <c r="AZ112" s="16">
        <f t="shared" si="188"/>
        <v>0</v>
      </c>
      <c r="BA112" s="16">
        <f t="shared" si="188"/>
        <v>6980711</v>
      </c>
      <c r="BB112" s="16">
        <f t="shared" si="188"/>
        <v>6980711</v>
      </c>
      <c r="BC112" s="16">
        <f t="shared" si="188"/>
        <v>0</v>
      </c>
      <c r="BD112" s="16">
        <f t="shared" si="188"/>
        <v>6980711</v>
      </c>
      <c r="BE112" s="16">
        <f t="shared" si="188"/>
        <v>0</v>
      </c>
      <c r="BF112" s="16">
        <f t="shared" si="188"/>
        <v>0</v>
      </c>
      <c r="BG112" s="16">
        <f t="shared" si="188"/>
        <v>0</v>
      </c>
      <c r="BH112" s="16">
        <f t="shared" si="188"/>
        <v>0</v>
      </c>
      <c r="BI112" s="16">
        <f t="shared" si="188"/>
        <v>0</v>
      </c>
      <c r="BJ112" s="16">
        <f t="shared" si="188"/>
        <v>0</v>
      </c>
      <c r="BK112" s="16">
        <f t="shared" si="188"/>
        <v>0</v>
      </c>
      <c r="BL112" s="16">
        <f t="shared" si="188"/>
        <v>0</v>
      </c>
      <c r="BM112" s="16">
        <f t="shared" si="188"/>
        <v>0</v>
      </c>
      <c r="BN112" s="16">
        <f t="shared" si="188"/>
        <v>0</v>
      </c>
      <c r="BO112" s="16">
        <f t="shared" si="188"/>
        <v>0</v>
      </c>
      <c r="BP112" s="16">
        <f t="shared" si="188"/>
        <v>0</v>
      </c>
      <c r="BQ112" s="16">
        <f t="shared" si="188"/>
        <v>0</v>
      </c>
      <c r="BR112" s="16">
        <f t="shared" si="188"/>
        <v>0</v>
      </c>
      <c r="BS112" s="16">
        <f t="shared" ref="BS112:CW112" si="189">SUM(BS113)</f>
        <v>0</v>
      </c>
      <c r="BT112" s="16">
        <f t="shared" si="189"/>
        <v>0</v>
      </c>
      <c r="BU112" s="16">
        <f t="shared" si="189"/>
        <v>0</v>
      </c>
      <c r="BV112" s="16">
        <f t="shared" si="189"/>
        <v>0</v>
      </c>
      <c r="BW112" s="16">
        <f t="shared" si="189"/>
        <v>0</v>
      </c>
      <c r="BX112" s="16">
        <f t="shared" si="189"/>
        <v>0</v>
      </c>
      <c r="BY112" s="16">
        <f t="shared" si="189"/>
        <v>0</v>
      </c>
      <c r="BZ112" s="16">
        <f t="shared" si="189"/>
        <v>0</v>
      </c>
      <c r="CA112" s="16">
        <f t="shared" si="189"/>
        <v>0</v>
      </c>
      <c r="CB112" s="16">
        <f t="shared" si="189"/>
        <v>0</v>
      </c>
      <c r="CC112" s="16">
        <f t="shared" si="189"/>
        <v>0</v>
      </c>
      <c r="CD112" s="16">
        <f t="shared" si="189"/>
        <v>0</v>
      </c>
      <c r="CE112" s="16">
        <f t="shared" si="189"/>
        <v>0</v>
      </c>
      <c r="CF112" s="16">
        <f t="shared" si="189"/>
        <v>0</v>
      </c>
      <c r="CG112" s="16">
        <f t="shared" si="189"/>
        <v>0</v>
      </c>
      <c r="CH112" s="16">
        <f t="shared" si="189"/>
        <v>0</v>
      </c>
      <c r="CI112" s="16">
        <f t="shared" si="189"/>
        <v>0</v>
      </c>
      <c r="CJ112" s="16">
        <f t="shared" si="189"/>
        <v>0</v>
      </c>
      <c r="CK112" s="16">
        <f t="shared" si="189"/>
        <v>0</v>
      </c>
      <c r="CL112" s="16">
        <f t="shared" si="189"/>
        <v>0</v>
      </c>
      <c r="CM112" s="16">
        <f t="shared" si="189"/>
        <v>0</v>
      </c>
      <c r="CN112" s="16">
        <f t="shared" si="189"/>
        <v>0</v>
      </c>
      <c r="CO112" s="16">
        <f t="shared" si="189"/>
        <v>0</v>
      </c>
      <c r="CP112" s="16">
        <f t="shared" si="189"/>
        <v>0</v>
      </c>
      <c r="CQ112" s="16">
        <f t="shared" si="189"/>
        <v>0</v>
      </c>
      <c r="CR112" s="16">
        <f t="shared" si="189"/>
        <v>0</v>
      </c>
      <c r="CS112" s="16">
        <f t="shared" si="189"/>
        <v>0</v>
      </c>
      <c r="CT112" s="16">
        <f t="shared" si="189"/>
        <v>0</v>
      </c>
      <c r="CU112" s="16">
        <f t="shared" si="189"/>
        <v>0</v>
      </c>
      <c r="CV112" s="16">
        <f t="shared" si="189"/>
        <v>0</v>
      </c>
      <c r="CW112" s="17">
        <f t="shared" si="189"/>
        <v>0</v>
      </c>
      <c r="CX112" s="40"/>
    </row>
    <row r="113" spans="1:102" ht="15.75" hidden="1" x14ac:dyDescent="0.25">
      <c r="A113" s="13" t="s">
        <v>1</v>
      </c>
      <c r="B113" s="14" t="s">
        <v>1</v>
      </c>
      <c r="C113" s="14" t="s">
        <v>17</v>
      </c>
      <c r="D113" s="30" t="s">
        <v>141</v>
      </c>
      <c r="E113" s="15">
        <f>SUM(F113+BY113+CT113)</f>
        <v>6980711</v>
      </c>
      <c r="F113" s="16">
        <f>SUM(G113+BA113)</f>
        <v>6980711</v>
      </c>
      <c r="G113" s="16">
        <f>SUM(H113+I113+J113+Q113+T113+U113+V113+AE113)</f>
        <v>0</v>
      </c>
      <c r="H113" s="16">
        <v>0</v>
      </c>
      <c r="I113" s="16">
        <v>0</v>
      </c>
      <c r="J113" s="16">
        <f t="shared" si="103"/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f t="shared" si="104"/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f>SUM(W113:AD113)</f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f>SUM(AF113:AZ113)</f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f>SUM(BB113+BF113+BI113+BK113+BM113)</f>
        <v>6980711</v>
      </c>
      <c r="BB113" s="16">
        <f>SUM(BC113:BE113)</f>
        <v>6980711</v>
      </c>
      <c r="BC113" s="16">
        <v>0</v>
      </c>
      <c r="BD113" s="16">
        <v>6980711</v>
      </c>
      <c r="BE113" s="16">
        <v>0</v>
      </c>
      <c r="BF113" s="16">
        <f t="shared" si="105"/>
        <v>0</v>
      </c>
      <c r="BG113" s="16">
        <v>0</v>
      </c>
      <c r="BH113" s="16">
        <v>0</v>
      </c>
      <c r="BI113" s="16">
        <v>0</v>
      </c>
      <c r="BJ113" s="16">
        <v>0</v>
      </c>
      <c r="BK113" s="16">
        <f t="shared" si="106"/>
        <v>0</v>
      </c>
      <c r="BL113" s="16">
        <v>0</v>
      </c>
      <c r="BM113" s="16">
        <f t="shared" si="107"/>
        <v>0</v>
      </c>
      <c r="BN113" s="16">
        <v>0</v>
      </c>
      <c r="BO113" s="16">
        <v>0</v>
      </c>
      <c r="BP113" s="16">
        <v>0</v>
      </c>
      <c r="BQ113" s="16">
        <v>0</v>
      </c>
      <c r="BR113" s="16">
        <v>0</v>
      </c>
      <c r="BS113" s="16">
        <v>0</v>
      </c>
      <c r="BT113" s="16">
        <v>0</v>
      </c>
      <c r="BU113" s="16">
        <v>0</v>
      </c>
      <c r="BV113" s="16">
        <v>0</v>
      </c>
      <c r="BW113" s="16">
        <v>0</v>
      </c>
      <c r="BX113" s="16">
        <v>0</v>
      </c>
      <c r="BY113" s="16">
        <f>SUM(BZ113+CS113)</f>
        <v>0</v>
      </c>
      <c r="BZ113" s="16">
        <f>SUM(CA113+CD113+CK113)</f>
        <v>0</v>
      </c>
      <c r="CA113" s="16">
        <f t="shared" si="108"/>
        <v>0</v>
      </c>
      <c r="CB113" s="16">
        <v>0</v>
      </c>
      <c r="CC113" s="16">
        <v>0</v>
      </c>
      <c r="CD113" s="16">
        <f t="shared" si="109"/>
        <v>0</v>
      </c>
      <c r="CE113" s="16">
        <v>0</v>
      </c>
      <c r="CF113" s="16">
        <v>0</v>
      </c>
      <c r="CG113" s="16">
        <v>0</v>
      </c>
      <c r="CH113" s="16">
        <v>0</v>
      </c>
      <c r="CI113" s="16">
        <v>0</v>
      </c>
      <c r="CJ113" s="16">
        <v>0</v>
      </c>
      <c r="CK113" s="16">
        <f t="shared" si="110"/>
        <v>0</v>
      </c>
      <c r="CL113" s="16">
        <v>0</v>
      </c>
      <c r="CM113" s="16">
        <v>0</v>
      </c>
      <c r="CN113" s="16">
        <v>0</v>
      </c>
      <c r="CO113" s="16">
        <v>0</v>
      </c>
      <c r="CP113" s="16">
        <v>0</v>
      </c>
      <c r="CQ113" s="16">
        <v>0</v>
      </c>
      <c r="CR113" s="16">
        <v>0</v>
      </c>
      <c r="CS113" s="16">
        <v>0</v>
      </c>
      <c r="CT113" s="16">
        <f t="shared" si="111"/>
        <v>0</v>
      </c>
      <c r="CU113" s="16">
        <f t="shared" si="112"/>
        <v>0</v>
      </c>
      <c r="CV113" s="16">
        <v>0</v>
      </c>
      <c r="CW113" s="17">
        <v>0</v>
      </c>
      <c r="CX113" s="40"/>
    </row>
    <row r="114" spans="1:102" ht="15.75" hidden="1" x14ac:dyDescent="0.25">
      <c r="A114" s="13" t="s">
        <v>57</v>
      </c>
      <c r="B114" s="14" t="s">
        <v>100</v>
      </c>
      <c r="C114" s="14" t="s">
        <v>1</v>
      </c>
      <c r="D114" s="30" t="s">
        <v>142</v>
      </c>
      <c r="E114" s="15">
        <f t="shared" ref="E114:AJ114" si="190">SUM(E115)</f>
        <v>20229102</v>
      </c>
      <c r="F114" s="16">
        <f t="shared" si="190"/>
        <v>20229102</v>
      </c>
      <c r="G114" s="16">
        <f t="shared" si="190"/>
        <v>0</v>
      </c>
      <c r="H114" s="16">
        <f t="shared" si="190"/>
        <v>0</v>
      </c>
      <c r="I114" s="16">
        <f t="shared" si="190"/>
        <v>0</v>
      </c>
      <c r="J114" s="16">
        <f t="shared" si="190"/>
        <v>0</v>
      </c>
      <c r="K114" s="16">
        <f t="shared" si="190"/>
        <v>0</v>
      </c>
      <c r="L114" s="16">
        <f t="shared" si="190"/>
        <v>0</v>
      </c>
      <c r="M114" s="16">
        <f t="shared" si="190"/>
        <v>0</v>
      </c>
      <c r="N114" s="16">
        <f t="shared" si="190"/>
        <v>0</v>
      </c>
      <c r="O114" s="16">
        <f t="shared" si="190"/>
        <v>0</v>
      </c>
      <c r="P114" s="16">
        <f t="shared" si="190"/>
        <v>0</v>
      </c>
      <c r="Q114" s="16">
        <f t="shared" si="190"/>
        <v>0</v>
      </c>
      <c r="R114" s="16">
        <f t="shared" si="190"/>
        <v>0</v>
      </c>
      <c r="S114" s="16">
        <f t="shared" si="190"/>
        <v>0</v>
      </c>
      <c r="T114" s="16">
        <f t="shared" si="190"/>
        <v>0</v>
      </c>
      <c r="U114" s="16">
        <f t="shared" si="190"/>
        <v>0</v>
      </c>
      <c r="V114" s="16">
        <f t="shared" si="190"/>
        <v>0</v>
      </c>
      <c r="W114" s="16">
        <f t="shared" si="190"/>
        <v>0</v>
      </c>
      <c r="X114" s="16">
        <f t="shared" si="190"/>
        <v>0</v>
      </c>
      <c r="Y114" s="16">
        <f t="shared" si="190"/>
        <v>0</v>
      </c>
      <c r="Z114" s="16">
        <f t="shared" si="190"/>
        <v>0</v>
      </c>
      <c r="AA114" s="16">
        <f t="shared" si="190"/>
        <v>0</v>
      </c>
      <c r="AB114" s="16">
        <f t="shared" si="190"/>
        <v>0</v>
      </c>
      <c r="AC114" s="16">
        <f t="shared" si="190"/>
        <v>0</v>
      </c>
      <c r="AD114" s="16">
        <f t="shared" si="190"/>
        <v>0</v>
      </c>
      <c r="AE114" s="16">
        <f t="shared" si="190"/>
        <v>0</v>
      </c>
      <c r="AF114" s="16">
        <f t="shared" si="190"/>
        <v>0</v>
      </c>
      <c r="AG114" s="16">
        <f t="shared" si="190"/>
        <v>0</v>
      </c>
      <c r="AH114" s="16">
        <f t="shared" si="190"/>
        <v>0</v>
      </c>
      <c r="AI114" s="16">
        <f t="shared" si="190"/>
        <v>0</v>
      </c>
      <c r="AJ114" s="16">
        <f t="shared" si="190"/>
        <v>0</v>
      </c>
      <c r="AK114" s="16">
        <f t="shared" ref="AK114:BR114" si="191">SUM(AK115)</f>
        <v>0</v>
      </c>
      <c r="AL114" s="16">
        <f t="shared" si="191"/>
        <v>0</v>
      </c>
      <c r="AM114" s="16">
        <f t="shared" si="191"/>
        <v>0</v>
      </c>
      <c r="AN114" s="16">
        <f t="shared" si="191"/>
        <v>0</v>
      </c>
      <c r="AO114" s="16">
        <f t="shared" si="191"/>
        <v>0</v>
      </c>
      <c r="AP114" s="16">
        <f t="shared" si="191"/>
        <v>0</v>
      </c>
      <c r="AQ114" s="16">
        <f t="shared" si="191"/>
        <v>0</v>
      </c>
      <c r="AR114" s="16">
        <f t="shared" si="191"/>
        <v>0</v>
      </c>
      <c r="AS114" s="16">
        <f t="shared" si="191"/>
        <v>0</v>
      </c>
      <c r="AT114" s="16">
        <f t="shared" si="191"/>
        <v>0</v>
      </c>
      <c r="AU114" s="16">
        <f t="shared" si="191"/>
        <v>0</v>
      </c>
      <c r="AV114" s="16">
        <f t="shared" si="191"/>
        <v>0</v>
      </c>
      <c r="AW114" s="16">
        <f t="shared" si="191"/>
        <v>0</v>
      </c>
      <c r="AX114" s="16">
        <f t="shared" si="191"/>
        <v>0</v>
      </c>
      <c r="AY114" s="16">
        <f t="shared" si="191"/>
        <v>0</v>
      </c>
      <c r="AZ114" s="16">
        <f t="shared" si="191"/>
        <v>0</v>
      </c>
      <c r="BA114" s="16">
        <f t="shared" si="191"/>
        <v>20229102</v>
      </c>
      <c r="BB114" s="16">
        <f t="shared" si="191"/>
        <v>20229102</v>
      </c>
      <c r="BC114" s="16">
        <f t="shared" si="191"/>
        <v>0</v>
      </c>
      <c r="BD114" s="16">
        <f t="shared" si="191"/>
        <v>0</v>
      </c>
      <c r="BE114" s="16">
        <f t="shared" si="191"/>
        <v>20229102</v>
      </c>
      <c r="BF114" s="16">
        <f t="shared" si="191"/>
        <v>0</v>
      </c>
      <c r="BG114" s="16">
        <f t="shared" si="191"/>
        <v>0</v>
      </c>
      <c r="BH114" s="16">
        <f t="shared" si="191"/>
        <v>0</v>
      </c>
      <c r="BI114" s="16">
        <f t="shared" si="191"/>
        <v>0</v>
      </c>
      <c r="BJ114" s="16">
        <f t="shared" si="191"/>
        <v>0</v>
      </c>
      <c r="BK114" s="16">
        <f t="shared" si="191"/>
        <v>0</v>
      </c>
      <c r="BL114" s="16">
        <f t="shared" si="191"/>
        <v>0</v>
      </c>
      <c r="BM114" s="16">
        <f t="shared" si="191"/>
        <v>0</v>
      </c>
      <c r="BN114" s="16">
        <f t="shared" si="191"/>
        <v>0</v>
      </c>
      <c r="BO114" s="16">
        <f t="shared" si="191"/>
        <v>0</v>
      </c>
      <c r="BP114" s="16">
        <f t="shared" si="191"/>
        <v>0</v>
      </c>
      <c r="BQ114" s="16">
        <f t="shared" si="191"/>
        <v>0</v>
      </c>
      <c r="BR114" s="16">
        <f t="shared" si="191"/>
        <v>0</v>
      </c>
      <c r="BS114" s="16">
        <f t="shared" ref="BS114:CW114" si="192">SUM(BS115)</f>
        <v>0</v>
      </c>
      <c r="BT114" s="16">
        <f t="shared" si="192"/>
        <v>0</v>
      </c>
      <c r="BU114" s="16">
        <f t="shared" si="192"/>
        <v>0</v>
      </c>
      <c r="BV114" s="16">
        <f t="shared" si="192"/>
        <v>0</v>
      </c>
      <c r="BW114" s="16">
        <f t="shared" si="192"/>
        <v>0</v>
      </c>
      <c r="BX114" s="16">
        <f t="shared" si="192"/>
        <v>0</v>
      </c>
      <c r="BY114" s="16">
        <f t="shared" si="192"/>
        <v>0</v>
      </c>
      <c r="BZ114" s="16">
        <f t="shared" si="192"/>
        <v>0</v>
      </c>
      <c r="CA114" s="16">
        <f t="shared" si="192"/>
        <v>0</v>
      </c>
      <c r="CB114" s="16">
        <f t="shared" si="192"/>
        <v>0</v>
      </c>
      <c r="CC114" s="16">
        <f t="shared" si="192"/>
        <v>0</v>
      </c>
      <c r="CD114" s="16">
        <f t="shared" si="192"/>
        <v>0</v>
      </c>
      <c r="CE114" s="16">
        <f t="shared" si="192"/>
        <v>0</v>
      </c>
      <c r="CF114" s="16">
        <f t="shared" si="192"/>
        <v>0</v>
      </c>
      <c r="CG114" s="16">
        <f t="shared" si="192"/>
        <v>0</v>
      </c>
      <c r="CH114" s="16">
        <f t="shared" si="192"/>
        <v>0</v>
      </c>
      <c r="CI114" s="16">
        <f t="shared" si="192"/>
        <v>0</v>
      </c>
      <c r="CJ114" s="16">
        <f t="shared" si="192"/>
        <v>0</v>
      </c>
      <c r="CK114" s="16">
        <f t="shared" si="192"/>
        <v>0</v>
      </c>
      <c r="CL114" s="16">
        <f t="shared" si="192"/>
        <v>0</v>
      </c>
      <c r="CM114" s="16">
        <f t="shared" si="192"/>
        <v>0</v>
      </c>
      <c r="CN114" s="16">
        <f t="shared" si="192"/>
        <v>0</v>
      </c>
      <c r="CO114" s="16">
        <f t="shared" si="192"/>
        <v>0</v>
      </c>
      <c r="CP114" s="16">
        <f t="shared" si="192"/>
        <v>0</v>
      </c>
      <c r="CQ114" s="16">
        <f t="shared" si="192"/>
        <v>0</v>
      </c>
      <c r="CR114" s="16">
        <f t="shared" si="192"/>
        <v>0</v>
      </c>
      <c r="CS114" s="16">
        <f t="shared" si="192"/>
        <v>0</v>
      </c>
      <c r="CT114" s="16">
        <f t="shared" si="192"/>
        <v>0</v>
      </c>
      <c r="CU114" s="16">
        <f t="shared" si="192"/>
        <v>0</v>
      </c>
      <c r="CV114" s="16">
        <f t="shared" si="192"/>
        <v>0</v>
      </c>
      <c r="CW114" s="17">
        <f t="shared" si="192"/>
        <v>0</v>
      </c>
      <c r="CX114" s="40"/>
    </row>
    <row r="115" spans="1:102" ht="15.75" hidden="1" x14ac:dyDescent="0.25">
      <c r="A115" s="13" t="s">
        <v>1</v>
      </c>
      <c r="B115" s="14" t="s">
        <v>1</v>
      </c>
      <c r="C115" s="14" t="s">
        <v>36</v>
      </c>
      <c r="D115" s="30" t="s">
        <v>143</v>
      </c>
      <c r="E115" s="15">
        <f>SUM(F115+BY115+CT115)</f>
        <v>20229102</v>
      </c>
      <c r="F115" s="16">
        <f>SUM(G115+BA115)</f>
        <v>20229102</v>
      </c>
      <c r="G115" s="16">
        <f>SUM(H115+I115+J115+Q115+T115+U115+V115+AE115)</f>
        <v>0</v>
      </c>
      <c r="H115" s="16">
        <v>0</v>
      </c>
      <c r="I115" s="16">
        <v>0</v>
      </c>
      <c r="J115" s="16">
        <f t="shared" si="103"/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f t="shared" si="104"/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f>SUM(W115:AD115)</f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f>SUM(AF115:AZ115)</f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  <c r="AZ115" s="16">
        <v>0</v>
      </c>
      <c r="BA115" s="16">
        <f>SUM(BB115+BF115+BI115+BK115+BM115)</f>
        <v>20229102</v>
      </c>
      <c r="BB115" s="16">
        <f>SUM(BC115:BE115)</f>
        <v>20229102</v>
      </c>
      <c r="BC115" s="16">
        <v>0</v>
      </c>
      <c r="BD115" s="16">
        <v>0</v>
      </c>
      <c r="BE115" s="16">
        <v>20229102</v>
      </c>
      <c r="BF115" s="16">
        <f t="shared" si="105"/>
        <v>0</v>
      </c>
      <c r="BG115" s="16">
        <v>0</v>
      </c>
      <c r="BH115" s="16">
        <v>0</v>
      </c>
      <c r="BI115" s="16">
        <v>0</v>
      </c>
      <c r="BJ115" s="16">
        <v>0</v>
      </c>
      <c r="BK115" s="16">
        <f t="shared" si="106"/>
        <v>0</v>
      </c>
      <c r="BL115" s="16">
        <v>0</v>
      </c>
      <c r="BM115" s="16">
        <f t="shared" si="107"/>
        <v>0</v>
      </c>
      <c r="BN115" s="16">
        <v>0</v>
      </c>
      <c r="BO115" s="16">
        <v>0</v>
      </c>
      <c r="BP115" s="16">
        <v>0</v>
      </c>
      <c r="BQ115" s="16">
        <v>0</v>
      </c>
      <c r="BR115" s="16">
        <v>0</v>
      </c>
      <c r="BS115" s="16">
        <v>0</v>
      </c>
      <c r="BT115" s="16">
        <v>0</v>
      </c>
      <c r="BU115" s="16">
        <v>0</v>
      </c>
      <c r="BV115" s="16">
        <v>0</v>
      </c>
      <c r="BW115" s="16">
        <v>0</v>
      </c>
      <c r="BX115" s="16">
        <v>0</v>
      </c>
      <c r="BY115" s="16">
        <f>SUM(BZ115+CS115)</f>
        <v>0</v>
      </c>
      <c r="BZ115" s="16">
        <f>SUM(CA115+CD115+CK115)</f>
        <v>0</v>
      </c>
      <c r="CA115" s="16">
        <f t="shared" si="108"/>
        <v>0</v>
      </c>
      <c r="CB115" s="16">
        <v>0</v>
      </c>
      <c r="CC115" s="16">
        <v>0</v>
      </c>
      <c r="CD115" s="16">
        <f t="shared" si="109"/>
        <v>0</v>
      </c>
      <c r="CE115" s="16">
        <v>0</v>
      </c>
      <c r="CF115" s="16">
        <v>0</v>
      </c>
      <c r="CG115" s="16">
        <v>0</v>
      </c>
      <c r="CH115" s="16">
        <v>0</v>
      </c>
      <c r="CI115" s="16">
        <v>0</v>
      </c>
      <c r="CJ115" s="16">
        <v>0</v>
      </c>
      <c r="CK115" s="16">
        <f t="shared" si="110"/>
        <v>0</v>
      </c>
      <c r="CL115" s="16">
        <v>0</v>
      </c>
      <c r="CM115" s="16">
        <v>0</v>
      </c>
      <c r="CN115" s="16">
        <v>0</v>
      </c>
      <c r="CO115" s="16">
        <v>0</v>
      </c>
      <c r="CP115" s="16">
        <v>0</v>
      </c>
      <c r="CQ115" s="16">
        <v>0</v>
      </c>
      <c r="CR115" s="16">
        <v>0</v>
      </c>
      <c r="CS115" s="16">
        <v>0</v>
      </c>
      <c r="CT115" s="16">
        <f t="shared" si="111"/>
        <v>0</v>
      </c>
      <c r="CU115" s="16">
        <f t="shared" si="112"/>
        <v>0</v>
      </c>
      <c r="CV115" s="16">
        <v>0</v>
      </c>
      <c r="CW115" s="17">
        <v>0</v>
      </c>
      <c r="CX115" s="40"/>
    </row>
    <row r="116" spans="1:102" ht="15.75" hidden="1" x14ac:dyDescent="0.25">
      <c r="A116" s="13" t="s">
        <v>57</v>
      </c>
      <c r="B116" s="14" t="s">
        <v>54</v>
      </c>
      <c r="C116" s="14" t="s">
        <v>1</v>
      </c>
      <c r="D116" s="30" t="s">
        <v>144</v>
      </c>
      <c r="E116" s="15">
        <f t="shared" ref="E116:AJ116" si="193">SUM(E117)</f>
        <v>3493944</v>
      </c>
      <c r="F116" s="16">
        <f t="shared" si="193"/>
        <v>3493944</v>
      </c>
      <c r="G116" s="16">
        <f t="shared" si="193"/>
        <v>3493944</v>
      </c>
      <c r="H116" s="16">
        <f t="shared" si="193"/>
        <v>0</v>
      </c>
      <c r="I116" s="16">
        <f t="shared" si="193"/>
        <v>0</v>
      </c>
      <c r="J116" s="16">
        <f t="shared" si="193"/>
        <v>0</v>
      </c>
      <c r="K116" s="16">
        <f t="shared" si="193"/>
        <v>0</v>
      </c>
      <c r="L116" s="16">
        <f t="shared" si="193"/>
        <v>0</v>
      </c>
      <c r="M116" s="16">
        <f t="shared" si="193"/>
        <v>0</v>
      </c>
      <c r="N116" s="16">
        <f t="shared" si="193"/>
        <v>0</v>
      </c>
      <c r="O116" s="16">
        <f t="shared" si="193"/>
        <v>0</v>
      </c>
      <c r="P116" s="16">
        <f t="shared" si="193"/>
        <v>0</v>
      </c>
      <c r="Q116" s="16">
        <f t="shared" si="193"/>
        <v>0</v>
      </c>
      <c r="R116" s="16">
        <f t="shared" si="193"/>
        <v>0</v>
      </c>
      <c r="S116" s="16">
        <f t="shared" si="193"/>
        <v>0</v>
      </c>
      <c r="T116" s="16">
        <f t="shared" si="193"/>
        <v>0</v>
      </c>
      <c r="U116" s="16">
        <f t="shared" si="193"/>
        <v>0</v>
      </c>
      <c r="V116" s="16">
        <f t="shared" si="193"/>
        <v>0</v>
      </c>
      <c r="W116" s="16">
        <f t="shared" si="193"/>
        <v>0</v>
      </c>
      <c r="X116" s="16">
        <f t="shared" si="193"/>
        <v>0</v>
      </c>
      <c r="Y116" s="16">
        <f t="shared" si="193"/>
        <v>0</v>
      </c>
      <c r="Z116" s="16">
        <f t="shared" si="193"/>
        <v>0</v>
      </c>
      <c r="AA116" s="16">
        <f t="shared" si="193"/>
        <v>0</v>
      </c>
      <c r="AB116" s="16">
        <f t="shared" si="193"/>
        <v>0</v>
      </c>
      <c r="AC116" s="16">
        <f t="shared" si="193"/>
        <v>0</v>
      </c>
      <c r="AD116" s="16">
        <f t="shared" si="193"/>
        <v>0</v>
      </c>
      <c r="AE116" s="16">
        <f t="shared" si="193"/>
        <v>3493944</v>
      </c>
      <c r="AF116" s="16">
        <f t="shared" si="193"/>
        <v>0</v>
      </c>
      <c r="AG116" s="16">
        <f t="shared" si="193"/>
        <v>0</v>
      </c>
      <c r="AH116" s="16">
        <f t="shared" si="193"/>
        <v>0</v>
      </c>
      <c r="AI116" s="16">
        <f t="shared" si="193"/>
        <v>0</v>
      </c>
      <c r="AJ116" s="16">
        <f t="shared" si="193"/>
        <v>0</v>
      </c>
      <c r="AK116" s="16">
        <f t="shared" ref="AK116:BR116" si="194">SUM(AK117)</f>
        <v>0</v>
      </c>
      <c r="AL116" s="16">
        <f t="shared" si="194"/>
        <v>0</v>
      </c>
      <c r="AM116" s="16">
        <f t="shared" si="194"/>
        <v>0</v>
      </c>
      <c r="AN116" s="16">
        <f t="shared" si="194"/>
        <v>0</v>
      </c>
      <c r="AO116" s="16">
        <f t="shared" si="194"/>
        <v>0</v>
      </c>
      <c r="AP116" s="16">
        <f t="shared" si="194"/>
        <v>0</v>
      </c>
      <c r="AQ116" s="16">
        <f t="shared" si="194"/>
        <v>0</v>
      </c>
      <c r="AR116" s="16">
        <f t="shared" si="194"/>
        <v>0</v>
      </c>
      <c r="AS116" s="16">
        <f t="shared" si="194"/>
        <v>0</v>
      </c>
      <c r="AT116" s="16">
        <f t="shared" si="194"/>
        <v>0</v>
      </c>
      <c r="AU116" s="16">
        <f t="shared" si="194"/>
        <v>0</v>
      </c>
      <c r="AV116" s="16">
        <f t="shared" si="194"/>
        <v>0</v>
      </c>
      <c r="AW116" s="16">
        <f t="shared" si="194"/>
        <v>0</v>
      </c>
      <c r="AX116" s="16">
        <f t="shared" si="194"/>
        <v>0</v>
      </c>
      <c r="AY116" s="16">
        <f t="shared" si="194"/>
        <v>0</v>
      </c>
      <c r="AZ116" s="16">
        <f t="shared" si="194"/>
        <v>3493944</v>
      </c>
      <c r="BA116" s="16">
        <f t="shared" si="194"/>
        <v>0</v>
      </c>
      <c r="BB116" s="16">
        <f t="shared" si="194"/>
        <v>0</v>
      </c>
      <c r="BC116" s="16">
        <f t="shared" si="194"/>
        <v>0</v>
      </c>
      <c r="BD116" s="16">
        <f t="shared" si="194"/>
        <v>0</v>
      </c>
      <c r="BE116" s="16">
        <f t="shared" si="194"/>
        <v>0</v>
      </c>
      <c r="BF116" s="16">
        <f t="shared" si="194"/>
        <v>0</v>
      </c>
      <c r="BG116" s="16">
        <f t="shared" si="194"/>
        <v>0</v>
      </c>
      <c r="BH116" s="16">
        <f t="shared" si="194"/>
        <v>0</v>
      </c>
      <c r="BI116" s="16">
        <f t="shared" si="194"/>
        <v>0</v>
      </c>
      <c r="BJ116" s="16">
        <f t="shared" si="194"/>
        <v>0</v>
      </c>
      <c r="BK116" s="16">
        <f t="shared" si="194"/>
        <v>0</v>
      </c>
      <c r="BL116" s="16">
        <f t="shared" si="194"/>
        <v>0</v>
      </c>
      <c r="BM116" s="16">
        <f t="shared" si="194"/>
        <v>0</v>
      </c>
      <c r="BN116" s="16">
        <f t="shared" si="194"/>
        <v>0</v>
      </c>
      <c r="BO116" s="16">
        <f t="shared" si="194"/>
        <v>0</v>
      </c>
      <c r="BP116" s="16">
        <f t="shared" si="194"/>
        <v>0</v>
      </c>
      <c r="BQ116" s="16">
        <f t="shared" si="194"/>
        <v>0</v>
      </c>
      <c r="BR116" s="16">
        <f t="shared" si="194"/>
        <v>0</v>
      </c>
      <c r="BS116" s="16">
        <f t="shared" ref="BS116:CW116" si="195">SUM(BS117)</f>
        <v>0</v>
      </c>
      <c r="BT116" s="16">
        <f t="shared" si="195"/>
        <v>0</v>
      </c>
      <c r="BU116" s="16">
        <f t="shared" si="195"/>
        <v>0</v>
      </c>
      <c r="BV116" s="16">
        <f t="shared" si="195"/>
        <v>0</v>
      </c>
      <c r="BW116" s="16">
        <f t="shared" si="195"/>
        <v>0</v>
      </c>
      <c r="BX116" s="16">
        <f t="shared" si="195"/>
        <v>0</v>
      </c>
      <c r="BY116" s="16">
        <f t="shared" si="195"/>
        <v>0</v>
      </c>
      <c r="BZ116" s="16">
        <f t="shared" si="195"/>
        <v>0</v>
      </c>
      <c r="CA116" s="16">
        <f t="shared" si="195"/>
        <v>0</v>
      </c>
      <c r="CB116" s="16">
        <f t="shared" si="195"/>
        <v>0</v>
      </c>
      <c r="CC116" s="16">
        <f t="shared" si="195"/>
        <v>0</v>
      </c>
      <c r="CD116" s="16">
        <f t="shared" si="195"/>
        <v>0</v>
      </c>
      <c r="CE116" s="16">
        <f t="shared" si="195"/>
        <v>0</v>
      </c>
      <c r="CF116" s="16">
        <f t="shared" si="195"/>
        <v>0</v>
      </c>
      <c r="CG116" s="16">
        <f t="shared" si="195"/>
        <v>0</v>
      </c>
      <c r="CH116" s="16">
        <f t="shared" si="195"/>
        <v>0</v>
      </c>
      <c r="CI116" s="16">
        <f t="shared" si="195"/>
        <v>0</v>
      </c>
      <c r="CJ116" s="16">
        <f t="shared" si="195"/>
        <v>0</v>
      </c>
      <c r="CK116" s="16">
        <f t="shared" si="195"/>
        <v>0</v>
      </c>
      <c r="CL116" s="16">
        <f t="shared" si="195"/>
        <v>0</v>
      </c>
      <c r="CM116" s="16">
        <f t="shared" si="195"/>
        <v>0</v>
      </c>
      <c r="CN116" s="16">
        <f t="shared" si="195"/>
        <v>0</v>
      </c>
      <c r="CO116" s="16">
        <f t="shared" si="195"/>
        <v>0</v>
      </c>
      <c r="CP116" s="16">
        <f t="shared" si="195"/>
        <v>0</v>
      </c>
      <c r="CQ116" s="16">
        <f t="shared" si="195"/>
        <v>0</v>
      </c>
      <c r="CR116" s="16">
        <f t="shared" si="195"/>
        <v>0</v>
      </c>
      <c r="CS116" s="16">
        <f t="shared" si="195"/>
        <v>0</v>
      </c>
      <c r="CT116" s="16">
        <f t="shared" si="195"/>
        <v>0</v>
      </c>
      <c r="CU116" s="16">
        <f t="shared" si="195"/>
        <v>0</v>
      </c>
      <c r="CV116" s="16">
        <f t="shared" si="195"/>
        <v>0</v>
      </c>
      <c r="CW116" s="17">
        <f t="shared" si="195"/>
        <v>0</v>
      </c>
      <c r="CX116" s="40"/>
    </row>
    <row r="117" spans="1:102" ht="15.75" hidden="1" x14ac:dyDescent="0.25">
      <c r="A117" s="13" t="s">
        <v>1</v>
      </c>
      <c r="B117" s="14" t="s">
        <v>1</v>
      </c>
      <c r="C117" s="14" t="s">
        <v>36</v>
      </c>
      <c r="D117" s="30" t="s">
        <v>145</v>
      </c>
      <c r="E117" s="15">
        <f>SUM(F117+BY117+CT117)</f>
        <v>3493944</v>
      </c>
      <c r="F117" s="16">
        <f>SUM(G117+BA117)</f>
        <v>3493944</v>
      </c>
      <c r="G117" s="16">
        <f>SUM(H117+I117+J117+Q117+T117+U117+V117+AE117)</f>
        <v>3493944</v>
      </c>
      <c r="H117" s="16">
        <v>0</v>
      </c>
      <c r="I117" s="16">
        <v>0</v>
      </c>
      <c r="J117" s="16">
        <f t="shared" si="103"/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f t="shared" si="104"/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f>SUM(W117:AD117)</f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f>SUM(AF117:AZ117)</f>
        <v>3493944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  <c r="AZ117" s="16">
        <f>2948800+545144</f>
        <v>3493944</v>
      </c>
      <c r="BA117" s="16">
        <f>SUM(BB117+BF117+BI117+BK117+BM117)</f>
        <v>0</v>
      </c>
      <c r="BB117" s="16">
        <f>SUM(BC117:BE117)</f>
        <v>0</v>
      </c>
      <c r="BC117" s="16">
        <v>0</v>
      </c>
      <c r="BD117" s="16">
        <v>0</v>
      </c>
      <c r="BE117" s="16">
        <v>0</v>
      </c>
      <c r="BF117" s="16">
        <f t="shared" si="105"/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f t="shared" si="106"/>
        <v>0</v>
      </c>
      <c r="BL117" s="16">
        <v>0</v>
      </c>
      <c r="BM117" s="16">
        <f t="shared" si="107"/>
        <v>0</v>
      </c>
      <c r="BN117" s="16">
        <v>0</v>
      </c>
      <c r="BO117" s="16">
        <v>0</v>
      </c>
      <c r="BP117" s="16">
        <v>0</v>
      </c>
      <c r="BQ117" s="16">
        <v>0</v>
      </c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  <c r="BW117" s="16">
        <v>0</v>
      </c>
      <c r="BX117" s="16">
        <v>0</v>
      </c>
      <c r="BY117" s="16">
        <f>SUM(BZ117+CS117)</f>
        <v>0</v>
      </c>
      <c r="BZ117" s="16">
        <f>SUM(CA117+CD117+CK117)</f>
        <v>0</v>
      </c>
      <c r="CA117" s="16">
        <f t="shared" si="108"/>
        <v>0</v>
      </c>
      <c r="CB117" s="16">
        <v>0</v>
      </c>
      <c r="CC117" s="16">
        <v>0</v>
      </c>
      <c r="CD117" s="16">
        <f t="shared" si="109"/>
        <v>0</v>
      </c>
      <c r="CE117" s="16">
        <v>0</v>
      </c>
      <c r="CF117" s="16">
        <v>0</v>
      </c>
      <c r="CG117" s="16">
        <v>0</v>
      </c>
      <c r="CH117" s="16">
        <v>0</v>
      </c>
      <c r="CI117" s="16">
        <v>0</v>
      </c>
      <c r="CJ117" s="16">
        <v>0</v>
      </c>
      <c r="CK117" s="16">
        <f t="shared" si="110"/>
        <v>0</v>
      </c>
      <c r="CL117" s="16">
        <v>0</v>
      </c>
      <c r="CM117" s="16">
        <v>0</v>
      </c>
      <c r="CN117" s="16">
        <v>0</v>
      </c>
      <c r="CO117" s="16">
        <v>0</v>
      </c>
      <c r="CP117" s="16">
        <v>0</v>
      </c>
      <c r="CQ117" s="16">
        <v>0</v>
      </c>
      <c r="CR117" s="16">
        <v>0</v>
      </c>
      <c r="CS117" s="16">
        <v>0</v>
      </c>
      <c r="CT117" s="16">
        <f t="shared" si="111"/>
        <v>0</v>
      </c>
      <c r="CU117" s="16">
        <f t="shared" si="112"/>
        <v>0</v>
      </c>
      <c r="CV117" s="16">
        <v>0</v>
      </c>
      <c r="CW117" s="17">
        <v>0</v>
      </c>
      <c r="CX117" s="40"/>
    </row>
    <row r="118" spans="1:102" ht="31.5" hidden="1" x14ac:dyDescent="0.25">
      <c r="A118" s="13" t="s">
        <v>57</v>
      </c>
      <c r="B118" s="14" t="s">
        <v>57</v>
      </c>
      <c r="C118" s="14" t="s">
        <v>1</v>
      </c>
      <c r="D118" s="30" t="s">
        <v>146</v>
      </c>
      <c r="E118" s="15">
        <f t="shared" ref="E118:AJ118" si="196">SUM(E119)</f>
        <v>1455276</v>
      </c>
      <c r="F118" s="16">
        <f t="shared" si="196"/>
        <v>1455276</v>
      </c>
      <c r="G118" s="16">
        <f t="shared" si="196"/>
        <v>1455276</v>
      </c>
      <c r="H118" s="16">
        <f t="shared" si="196"/>
        <v>0</v>
      </c>
      <c r="I118" s="16">
        <f t="shared" si="196"/>
        <v>0</v>
      </c>
      <c r="J118" s="16">
        <f t="shared" si="196"/>
        <v>0</v>
      </c>
      <c r="K118" s="16">
        <f t="shared" si="196"/>
        <v>0</v>
      </c>
      <c r="L118" s="16">
        <f t="shared" si="196"/>
        <v>0</v>
      </c>
      <c r="M118" s="16">
        <f t="shared" si="196"/>
        <v>0</v>
      </c>
      <c r="N118" s="16">
        <f t="shared" si="196"/>
        <v>0</v>
      </c>
      <c r="O118" s="16">
        <f t="shared" si="196"/>
        <v>0</v>
      </c>
      <c r="P118" s="16">
        <f t="shared" si="196"/>
        <v>0</v>
      </c>
      <c r="Q118" s="16">
        <f t="shared" si="196"/>
        <v>0</v>
      </c>
      <c r="R118" s="16">
        <f t="shared" si="196"/>
        <v>0</v>
      </c>
      <c r="S118" s="16">
        <f t="shared" si="196"/>
        <v>0</v>
      </c>
      <c r="T118" s="16">
        <f t="shared" si="196"/>
        <v>0</v>
      </c>
      <c r="U118" s="16">
        <f t="shared" si="196"/>
        <v>0</v>
      </c>
      <c r="V118" s="16">
        <f t="shared" si="196"/>
        <v>0</v>
      </c>
      <c r="W118" s="16">
        <f t="shared" si="196"/>
        <v>0</v>
      </c>
      <c r="X118" s="16">
        <f t="shared" si="196"/>
        <v>0</v>
      </c>
      <c r="Y118" s="16">
        <f t="shared" si="196"/>
        <v>0</v>
      </c>
      <c r="Z118" s="16">
        <f t="shared" si="196"/>
        <v>0</v>
      </c>
      <c r="AA118" s="16">
        <f t="shared" si="196"/>
        <v>0</v>
      </c>
      <c r="AB118" s="16">
        <f t="shared" si="196"/>
        <v>0</v>
      </c>
      <c r="AC118" s="16">
        <f t="shared" si="196"/>
        <v>0</v>
      </c>
      <c r="AD118" s="16">
        <f t="shared" si="196"/>
        <v>0</v>
      </c>
      <c r="AE118" s="16">
        <f t="shared" si="196"/>
        <v>1455276</v>
      </c>
      <c r="AF118" s="16">
        <f t="shared" si="196"/>
        <v>0</v>
      </c>
      <c r="AG118" s="16">
        <f t="shared" si="196"/>
        <v>0</v>
      </c>
      <c r="AH118" s="16">
        <f t="shared" si="196"/>
        <v>0</v>
      </c>
      <c r="AI118" s="16">
        <f t="shared" si="196"/>
        <v>0</v>
      </c>
      <c r="AJ118" s="16">
        <f t="shared" si="196"/>
        <v>0</v>
      </c>
      <c r="AK118" s="16">
        <f t="shared" ref="AK118:BR118" si="197">SUM(AK119)</f>
        <v>0</v>
      </c>
      <c r="AL118" s="16">
        <f t="shared" si="197"/>
        <v>0</v>
      </c>
      <c r="AM118" s="16">
        <f t="shared" si="197"/>
        <v>0</v>
      </c>
      <c r="AN118" s="16">
        <f t="shared" si="197"/>
        <v>0</v>
      </c>
      <c r="AO118" s="16">
        <f t="shared" si="197"/>
        <v>0</v>
      </c>
      <c r="AP118" s="16">
        <f t="shared" si="197"/>
        <v>0</v>
      </c>
      <c r="AQ118" s="16">
        <f t="shared" si="197"/>
        <v>0</v>
      </c>
      <c r="AR118" s="16">
        <f t="shared" si="197"/>
        <v>0</v>
      </c>
      <c r="AS118" s="16">
        <f t="shared" si="197"/>
        <v>0</v>
      </c>
      <c r="AT118" s="16">
        <f t="shared" si="197"/>
        <v>0</v>
      </c>
      <c r="AU118" s="16">
        <f t="shared" si="197"/>
        <v>0</v>
      </c>
      <c r="AV118" s="16">
        <f t="shared" si="197"/>
        <v>0</v>
      </c>
      <c r="AW118" s="16">
        <f t="shared" si="197"/>
        <v>0</v>
      </c>
      <c r="AX118" s="16">
        <f t="shared" si="197"/>
        <v>0</v>
      </c>
      <c r="AY118" s="16">
        <f t="shared" si="197"/>
        <v>0</v>
      </c>
      <c r="AZ118" s="16">
        <f t="shared" si="197"/>
        <v>1455276</v>
      </c>
      <c r="BA118" s="16">
        <f t="shared" si="197"/>
        <v>0</v>
      </c>
      <c r="BB118" s="16">
        <f t="shared" si="197"/>
        <v>0</v>
      </c>
      <c r="BC118" s="16">
        <f t="shared" si="197"/>
        <v>0</v>
      </c>
      <c r="BD118" s="16">
        <f t="shared" si="197"/>
        <v>0</v>
      </c>
      <c r="BE118" s="16">
        <f t="shared" si="197"/>
        <v>0</v>
      </c>
      <c r="BF118" s="16">
        <f t="shared" si="197"/>
        <v>0</v>
      </c>
      <c r="BG118" s="16">
        <f t="shared" si="197"/>
        <v>0</v>
      </c>
      <c r="BH118" s="16">
        <f t="shared" si="197"/>
        <v>0</v>
      </c>
      <c r="BI118" s="16">
        <f t="shared" si="197"/>
        <v>0</v>
      </c>
      <c r="BJ118" s="16">
        <f t="shared" si="197"/>
        <v>0</v>
      </c>
      <c r="BK118" s="16">
        <f t="shared" si="197"/>
        <v>0</v>
      </c>
      <c r="BL118" s="16">
        <f t="shared" si="197"/>
        <v>0</v>
      </c>
      <c r="BM118" s="16">
        <f t="shared" si="197"/>
        <v>0</v>
      </c>
      <c r="BN118" s="16">
        <f t="shared" si="197"/>
        <v>0</v>
      </c>
      <c r="BO118" s="16">
        <f t="shared" si="197"/>
        <v>0</v>
      </c>
      <c r="BP118" s="16">
        <f t="shared" si="197"/>
        <v>0</v>
      </c>
      <c r="BQ118" s="16">
        <f t="shared" si="197"/>
        <v>0</v>
      </c>
      <c r="BR118" s="16">
        <f t="shared" si="197"/>
        <v>0</v>
      </c>
      <c r="BS118" s="16">
        <f t="shared" ref="BS118:CW118" si="198">SUM(BS119)</f>
        <v>0</v>
      </c>
      <c r="BT118" s="16">
        <f t="shared" si="198"/>
        <v>0</v>
      </c>
      <c r="BU118" s="16">
        <f t="shared" si="198"/>
        <v>0</v>
      </c>
      <c r="BV118" s="16">
        <f t="shared" si="198"/>
        <v>0</v>
      </c>
      <c r="BW118" s="16">
        <f t="shared" si="198"/>
        <v>0</v>
      </c>
      <c r="BX118" s="16">
        <f t="shared" si="198"/>
        <v>0</v>
      </c>
      <c r="BY118" s="16">
        <f t="shared" si="198"/>
        <v>0</v>
      </c>
      <c r="BZ118" s="16">
        <f t="shared" si="198"/>
        <v>0</v>
      </c>
      <c r="CA118" s="16">
        <f t="shared" si="198"/>
        <v>0</v>
      </c>
      <c r="CB118" s="16">
        <f t="shared" si="198"/>
        <v>0</v>
      </c>
      <c r="CC118" s="16">
        <f t="shared" si="198"/>
        <v>0</v>
      </c>
      <c r="CD118" s="16">
        <f t="shared" si="198"/>
        <v>0</v>
      </c>
      <c r="CE118" s="16">
        <f t="shared" si="198"/>
        <v>0</v>
      </c>
      <c r="CF118" s="16">
        <f t="shared" si="198"/>
        <v>0</v>
      </c>
      <c r="CG118" s="16">
        <f t="shared" si="198"/>
        <v>0</v>
      </c>
      <c r="CH118" s="16">
        <f t="shared" si="198"/>
        <v>0</v>
      </c>
      <c r="CI118" s="16">
        <f t="shared" si="198"/>
        <v>0</v>
      </c>
      <c r="CJ118" s="16">
        <f t="shared" si="198"/>
        <v>0</v>
      </c>
      <c r="CK118" s="16">
        <f t="shared" si="198"/>
        <v>0</v>
      </c>
      <c r="CL118" s="16">
        <f t="shared" si="198"/>
        <v>0</v>
      </c>
      <c r="CM118" s="16">
        <f t="shared" si="198"/>
        <v>0</v>
      </c>
      <c r="CN118" s="16">
        <f t="shared" si="198"/>
        <v>0</v>
      </c>
      <c r="CO118" s="16">
        <f t="shared" si="198"/>
        <v>0</v>
      </c>
      <c r="CP118" s="16">
        <f t="shared" si="198"/>
        <v>0</v>
      </c>
      <c r="CQ118" s="16">
        <f t="shared" si="198"/>
        <v>0</v>
      </c>
      <c r="CR118" s="16">
        <f t="shared" si="198"/>
        <v>0</v>
      </c>
      <c r="CS118" s="16">
        <f t="shared" si="198"/>
        <v>0</v>
      </c>
      <c r="CT118" s="16">
        <f t="shared" si="198"/>
        <v>0</v>
      </c>
      <c r="CU118" s="16">
        <f t="shared" si="198"/>
        <v>0</v>
      </c>
      <c r="CV118" s="16">
        <f t="shared" si="198"/>
        <v>0</v>
      </c>
      <c r="CW118" s="17">
        <f t="shared" si="198"/>
        <v>0</v>
      </c>
      <c r="CX118" s="40"/>
    </row>
    <row r="119" spans="1:102" ht="15.75" hidden="1" x14ac:dyDescent="0.25">
      <c r="A119" s="13" t="s">
        <v>1</v>
      </c>
      <c r="B119" s="14" t="s">
        <v>1</v>
      </c>
      <c r="C119" s="14" t="s">
        <v>36</v>
      </c>
      <c r="D119" s="30" t="s">
        <v>147</v>
      </c>
      <c r="E119" s="15">
        <f>SUM(F119+BY119+CT119)</f>
        <v>1455276</v>
      </c>
      <c r="F119" s="16">
        <f>SUM(G119+BA119)</f>
        <v>1455276</v>
      </c>
      <c r="G119" s="16">
        <f>SUM(H119+I119+J119+Q119+T119+U119+V119+AE119)</f>
        <v>1455276</v>
      </c>
      <c r="H119" s="16">
        <v>0</v>
      </c>
      <c r="I119" s="16">
        <v>0</v>
      </c>
      <c r="J119" s="16">
        <f t="shared" si="103"/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f t="shared" si="104"/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f>SUM(W119:AD119)</f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f>SUM(AF119:AZ119)</f>
        <v>1455276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1455276</v>
      </c>
      <c r="BA119" s="16">
        <f>SUM(BB119+BF119+BI119+BK119+BM119)</f>
        <v>0</v>
      </c>
      <c r="BB119" s="16">
        <f>SUM(BC119:BE119)</f>
        <v>0</v>
      </c>
      <c r="BC119" s="16">
        <v>0</v>
      </c>
      <c r="BD119" s="16">
        <v>0</v>
      </c>
      <c r="BE119" s="16">
        <v>0</v>
      </c>
      <c r="BF119" s="16">
        <f t="shared" si="105"/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f t="shared" si="106"/>
        <v>0</v>
      </c>
      <c r="BL119" s="16">
        <v>0</v>
      </c>
      <c r="BM119" s="16">
        <f t="shared" si="107"/>
        <v>0</v>
      </c>
      <c r="BN119" s="16">
        <v>0</v>
      </c>
      <c r="BO119" s="16">
        <v>0</v>
      </c>
      <c r="BP119" s="16">
        <v>0</v>
      </c>
      <c r="BQ119" s="16">
        <v>0</v>
      </c>
      <c r="BR119" s="16">
        <v>0</v>
      </c>
      <c r="BS119" s="16">
        <v>0</v>
      </c>
      <c r="BT119" s="16">
        <v>0</v>
      </c>
      <c r="BU119" s="16">
        <v>0</v>
      </c>
      <c r="BV119" s="16">
        <v>0</v>
      </c>
      <c r="BW119" s="16">
        <v>0</v>
      </c>
      <c r="BX119" s="16">
        <v>0</v>
      </c>
      <c r="BY119" s="16">
        <f>SUM(BZ119+CS119)</f>
        <v>0</v>
      </c>
      <c r="BZ119" s="16">
        <f>SUM(CA119+CD119+CK119)</f>
        <v>0</v>
      </c>
      <c r="CA119" s="16">
        <f t="shared" si="108"/>
        <v>0</v>
      </c>
      <c r="CB119" s="16">
        <v>0</v>
      </c>
      <c r="CC119" s="16">
        <v>0</v>
      </c>
      <c r="CD119" s="16">
        <f t="shared" si="109"/>
        <v>0</v>
      </c>
      <c r="CE119" s="16">
        <v>0</v>
      </c>
      <c r="CF119" s="16">
        <v>0</v>
      </c>
      <c r="CG119" s="16">
        <v>0</v>
      </c>
      <c r="CH119" s="16">
        <v>0</v>
      </c>
      <c r="CI119" s="16">
        <v>0</v>
      </c>
      <c r="CJ119" s="16">
        <v>0</v>
      </c>
      <c r="CK119" s="16">
        <f t="shared" si="110"/>
        <v>0</v>
      </c>
      <c r="CL119" s="16">
        <v>0</v>
      </c>
      <c r="CM119" s="16">
        <v>0</v>
      </c>
      <c r="CN119" s="16">
        <v>0</v>
      </c>
      <c r="CO119" s="16">
        <v>0</v>
      </c>
      <c r="CP119" s="16">
        <v>0</v>
      </c>
      <c r="CQ119" s="16">
        <v>0</v>
      </c>
      <c r="CR119" s="16">
        <v>0</v>
      </c>
      <c r="CS119" s="16">
        <v>0</v>
      </c>
      <c r="CT119" s="16">
        <f t="shared" si="111"/>
        <v>0</v>
      </c>
      <c r="CU119" s="16">
        <f t="shared" si="112"/>
        <v>0</v>
      </c>
      <c r="CV119" s="16">
        <v>0</v>
      </c>
      <c r="CW119" s="17">
        <v>0</v>
      </c>
      <c r="CX119" s="40"/>
    </row>
    <row r="120" spans="1:102" ht="15.75" hidden="1" x14ac:dyDescent="0.25">
      <c r="A120" s="18" t="s">
        <v>148</v>
      </c>
      <c r="B120" s="19" t="s">
        <v>1</v>
      </c>
      <c r="C120" s="19" t="s">
        <v>1</v>
      </c>
      <c r="D120" s="31" t="s">
        <v>149</v>
      </c>
      <c r="E120" s="20">
        <f>SUM(E121+E125+E129+E133+E135+E137)</f>
        <v>309858296</v>
      </c>
      <c r="F120" s="21">
        <f t="shared" ref="F120:BS120" si="199">SUM(F121+F125+F129+F133+F135+F137)</f>
        <v>301459769</v>
      </c>
      <c r="G120" s="21">
        <f t="shared" si="199"/>
        <v>257900999</v>
      </c>
      <c r="H120" s="21">
        <f t="shared" si="199"/>
        <v>179752977</v>
      </c>
      <c r="I120" s="21">
        <f t="shared" si="199"/>
        <v>41953862</v>
      </c>
      <c r="J120" s="21">
        <f t="shared" si="199"/>
        <v>20631052</v>
      </c>
      <c r="K120" s="21">
        <f t="shared" si="199"/>
        <v>235445</v>
      </c>
      <c r="L120" s="21">
        <f t="shared" si="199"/>
        <v>2405094</v>
      </c>
      <c r="M120" s="21">
        <f t="shared" si="199"/>
        <v>14670942</v>
      </c>
      <c r="N120" s="21">
        <f t="shared" si="199"/>
        <v>617832</v>
      </c>
      <c r="O120" s="21">
        <f t="shared" si="199"/>
        <v>2171300</v>
      </c>
      <c r="P120" s="21">
        <f t="shared" si="199"/>
        <v>530439</v>
      </c>
      <c r="Q120" s="21">
        <f t="shared" si="199"/>
        <v>142198</v>
      </c>
      <c r="R120" s="21">
        <f t="shared" si="199"/>
        <v>142198</v>
      </c>
      <c r="S120" s="21">
        <f t="shared" si="199"/>
        <v>0</v>
      </c>
      <c r="T120" s="21">
        <f t="shared" si="199"/>
        <v>0</v>
      </c>
      <c r="U120" s="21">
        <f t="shared" si="199"/>
        <v>978026</v>
      </c>
      <c r="V120" s="21">
        <f t="shared" si="199"/>
        <v>5779228</v>
      </c>
      <c r="W120" s="21">
        <f t="shared" si="199"/>
        <v>1314640</v>
      </c>
      <c r="X120" s="21">
        <f t="shared" si="199"/>
        <v>2783473</v>
      </c>
      <c r="Y120" s="21">
        <f t="shared" si="199"/>
        <v>825699</v>
      </c>
      <c r="Z120" s="21">
        <f t="shared" si="199"/>
        <v>444435</v>
      </c>
      <c r="AA120" s="21">
        <f t="shared" si="199"/>
        <v>300488</v>
      </c>
      <c r="AB120" s="21">
        <f t="shared" si="199"/>
        <v>74697</v>
      </c>
      <c r="AC120" s="21">
        <f t="shared" si="199"/>
        <v>0</v>
      </c>
      <c r="AD120" s="21">
        <f t="shared" ref="AD120" si="200">SUM(AD121+AD125+AD129+AD133+AD135+AD137)</f>
        <v>35796</v>
      </c>
      <c r="AE120" s="21">
        <f t="shared" si="199"/>
        <v>8663656</v>
      </c>
      <c r="AF120" s="21">
        <f t="shared" si="199"/>
        <v>0</v>
      </c>
      <c r="AG120" s="21">
        <f t="shared" si="199"/>
        <v>64132</v>
      </c>
      <c r="AH120" s="21">
        <f t="shared" si="199"/>
        <v>1493714</v>
      </c>
      <c r="AI120" s="21">
        <f t="shared" si="199"/>
        <v>1131115</v>
      </c>
      <c r="AJ120" s="21">
        <f t="shared" si="199"/>
        <v>1151124</v>
      </c>
      <c r="AK120" s="21">
        <f t="shared" si="199"/>
        <v>0</v>
      </c>
      <c r="AL120" s="21">
        <f t="shared" si="199"/>
        <v>1887802</v>
      </c>
      <c r="AM120" s="21">
        <f t="shared" si="199"/>
        <v>608892</v>
      </c>
      <c r="AN120" s="21">
        <f t="shared" si="199"/>
        <v>0</v>
      </c>
      <c r="AO120" s="21">
        <f t="shared" si="199"/>
        <v>76110</v>
      </c>
      <c r="AP120" s="21">
        <f>SUM(AP121+AP125+AP129+AP133+AP135+AP137)</f>
        <v>0</v>
      </c>
      <c r="AQ120" s="21">
        <f t="shared" si="199"/>
        <v>0</v>
      </c>
      <c r="AR120" s="21">
        <f t="shared" si="199"/>
        <v>15367</v>
      </c>
      <c r="AS120" s="21">
        <f t="shared" si="199"/>
        <v>123652</v>
      </c>
      <c r="AT120" s="21">
        <f t="shared" si="199"/>
        <v>0</v>
      </c>
      <c r="AU120" s="21">
        <f t="shared" si="199"/>
        <v>0</v>
      </c>
      <c r="AV120" s="21">
        <f t="shared" si="199"/>
        <v>0</v>
      </c>
      <c r="AW120" s="21">
        <f t="shared" si="199"/>
        <v>0</v>
      </c>
      <c r="AX120" s="21">
        <f t="shared" si="199"/>
        <v>0</v>
      </c>
      <c r="AY120" s="21">
        <f t="shared" si="199"/>
        <v>0</v>
      </c>
      <c r="AZ120" s="21">
        <f t="shared" si="199"/>
        <v>2111748</v>
      </c>
      <c r="BA120" s="21">
        <f t="shared" si="199"/>
        <v>43558770</v>
      </c>
      <c r="BB120" s="21">
        <f t="shared" si="199"/>
        <v>0</v>
      </c>
      <c r="BC120" s="21">
        <f t="shared" si="199"/>
        <v>0</v>
      </c>
      <c r="BD120" s="21">
        <f t="shared" si="199"/>
        <v>0</v>
      </c>
      <c r="BE120" s="21">
        <f t="shared" si="199"/>
        <v>0</v>
      </c>
      <c r="BF120" s="21">
        <f t="shared" si="199"/>
        <v>0</v>
      </c>
      <c r="BG120" s="21">
        <f t="shared" si="199"/>
        <v>0</v>
      </c>
      <c r="BH120" s="21">
        <f t="shared" si="199"/>
        <v>0</v>
      </c>
      <c r="BI120" s="21">
        <f t="shared" si="199"/>
        <v>0</v>
      </c>
      <c r="BJ120" s="21">
        <f t="shared" si="199"/>
        <v>0</v>
      </c>
      <c r="BK120" s="21">
        <f t="shared" si="199"/>
        <v>0</v>
      </c>
      <c r="BL120" s="21">
        <f t="shared" si="199"/>
        <v>0</v>
      </c>
      <c r="BM120" s="21">
        <f t="shared" si="199"/>
        <v>43558770</v>
      </c>
      <c r="BN120" s="21">
        <f t="shared" si="199"/>
        <v>0</v>
      </c>
      <c r="BO120" s="21">
        <f t="shared" si="199"/>
        <v>0</v>
      </c>
      <c r="BP120" s="21">
        <f t="shared" si="199"/>
        <v>16019068</v>
      </c>
      <c r="BQ120" s="21">
        <f t="shared" si="199"/>
        <v>0</v>
      </c>
      <c r="BR120" s="21">
        <f t="shared" si="199"/>
        <v>0</v>
      </c>
      <c r="BS120" s="21">
        <f t="shared" si="199"/>
        <v>407888</v>
      </c>
      <c r="BT120" s="21">
        <f t="shared" ref="BT120:CW120" si="201">SUM(BT121+BT125+BT129+BT133+BT135+BT137)</f>
        <v>0</v>
      </c>
      <c r="BU120" s="21">
        <f t="shared" si="201"/>
        <v>0</v>
      </c>
      <c r="BV120" s="21">
        <f t="shared" si="201"/>
        <v>0</v>
      </c>
      <c r="BW120" s="21">
        <f t="shared" si="201"/>
        <v>15883817</v>
      </c>
      <c r="BX120" s="21">
        <f t="shared" si="201"/>
        <v>11247997</v>
      </c>
      <c r="BY120" s="21">
        <f t="shared" si="201"/>
        <v>8398527</v>
      </c>
      <c r="BZ120" s="21">
        <f t="shared" si="201"/>
        <v>8398527</v>
      </c>
      <c r="CA120" s="21">
        <f t="shared" si="201"/>
        <v>8398527</v>
      </c>
      <c r="CB120" s="21">
        <f t="shared" si="201"/>
        <v>0</v>
      </c>
      <c r="CC120" s="21">
        <f t="shared" si="201"/>
        <v>8398527</v>
      </c>
      <c r="CD120" s="21">
        <f t="shared" si="201"/>
        <v>0</v>
      </c>
      <c r="CE120" s="21">
        <f t="shared" si="201"/>
        <v>0</v>
      </c>
      <c r="CF120" s="21">
        <f>SUM(CF121+CF125+CF129+CF133+CF135+CF137)</f>
        <v>0</v>
      </c>
      <c r="CG120" s="21">
        <f t="shared" si="201"/>
        <v>0</v>
      </c>
      <c r="CH120" s="21">
        <f t="shared" si="201"/>
        <v>0</v>
      </c>
      <c r="CI120" s="21">
        <f t="shared" si="201"/>
        <v>0</v>
      </c>
      <c r="CJ120" s="21">
        <f t="shared" ref="CJ120" si="202">SUM(CJ121+CJ125+CJ129+CJ133+CJ135+CJ137)</f>
        <v>0</v>
      </c>
      <c r="CK120" s="21">
        <f t="shared" si="201"/>
        <v>0</v>
      </c>
      <c r="CL120" s="21">
        <f t="shared" si="201"/>
        <v>0</v>
      </c>
      <c r="CM120" s="21">
        <f>SUM(CM121+CM125+CM129+CM133+CM135+CM137)</f>
        <v>0</v>
      </c>
      <c r="CN120" s="21">
        <f t="shared" si="201"/>
        <v>0</v>
      </c>
      <c r="CO120" s="21">
        <f t="shared" si="201"/>
        <v>0</v>
      </c>
      <c r="CP120" s="21">
        <f t="shared" si="201"/>
        <v>0</v>
      </c>
      <c r="CQ120" s="21">
        <f t="shared" si="201"/>
        <v>0</v>
      </c>
      <c r="CR120" s="21">
        <f t="shared" si="201"/>
        <v>0</v>
      </c>
      <c r="CS120" s="21">
        <f t="shared" si="201"/>
        <v>0</v>
      </c>
      <c r="CT120" s="21">
        <f t="shared" si="201"/>
        <v>0</v>
      </c>
      <c r="CU120" s="21">
        <f t="shared" si="201"/>
        <v>0</v>
      </c>
      <c r="CV120" s="21">
        <f t="shared" si="201"/>
        <v>0</v>
      </c>
      <c r="CW120" s="22">
        <f t="shared" si="201"/>
        <v>0</v>
      </c>
      <c r="CX120" s="40"/>
    </row>
    <row r="121" spans="1:102" ht="15.75" hidden="1" x14ac:dyDescent="0.25">
      <c r="A121" s="13" t="s">
        <v>111</v>
      </c>
      <c r="B121" s="14" t="s">
        <v>15</v>
      </c>
      <c r="C121" s="14" t="s">
        <v>1</v>
      </c>
      <c r="D121" s="30" t="s">
        <v>150</v>
      </c>
      <c r="E121" s="15">
        <f>SUM(E122:E124)</f>
        <v>59715487</v>
      </c>
      <c r="F121" s="16">
        <f t="shared" ref="F121:BS121" si="203">SUM(F122:F124)</f>
        <v>59147227</v>
      </c>
      <c r="G121" s="16">
        <f t="shared" si="203"/>
        <v>50858058</v>
      </c>
      <c r="H121" s="16">
        <f t="shared" si="203"/>
        <v>29601720</v>
      </c>
      <c r="I121" s="16">
        <f t="shared" si="203"/>
        <v>6871989</v>
      </c>
      <c r="J121" s="16">
        <f t="shared" si="203"/>
        <v>11263409</v>
      </c>
      <c r="K121" s="16">
        <f t="shared" si="203"/>
        <v>130229</v>
      </c>
      <c r="L121" s="16">
        <f t="shared" si="203"/>
        <v>2093821</v>
      </c>
      <c r="M121" s="16">
        <f t="shared" si="203"/>
        <v>8163570</v>
      </c>
      <c r="N121" s="16">
        <f t="shared" si="203"/>
        <v>300995</v>
      </c>
      <c r="O121" s="16">
        <f t="shared" si="203"/>
        <v>512456</v>
      </c>
      <c r="P121" s="16">
        <f t="shared" si="203"/>
        <v>62338</v>
      </c>
      <c r="Q121" s="16">
        <f t="shared" si="203"/>
        <v>0</v>
      </c>
      <c r="R121" s="16">
        <f t="shared" si="203"/>
        <v>0</v>
      </c>
      <c r="S121" s="16">
        <f t="shared" si="203"/>
        <v>0</v>
      </c>
      <c r="T121" s="16">
        <f t="shared" si="203"/>
        <v>0</v>
      </c>
      <c r="U121" s="16">
        <f t="shared" si="203"/>
        <v>97120</v>
      </c>
      <c r="V121" s="16">
        <f t="shared" si="203"/>
        <v>1233926</v>
      </c>
      <c r="W121" s="16">
        <f t="shared" si="203"/>
        <v>94554</v>
      </c>
      <c r="X121" s="16">
        <f t="shared" si="203"/>
        <v>582986</v>
      </c>
      <c r="Y121" s="16">
        <f t="shared" si="203"/>
        <v>269548</v>
      </c>
      <c r="Z121" s="16">
        <f t="shared" si="203"/>
        <v>198947</v>
      </c>
      <c r="AA121" s="16">
        <f t="shared" si="203"/>
        <v>54324</v>
      </c>
      <c r="AB121" s="16">
        <f t="shared" si="203"/>
        <v>0</v>
      </c>
      <c r="AC121" s="16">
        <f t="shared" si="203"/>
        <v>0</v>
      </c>
      <c r="AD121" s="16">
        <f t="shared" ref="AD121" si="204">SUM(AD122:AD124)</f>
        <v>33567</v>
      </c>
      <c r="AE121" s="16">
        <f t="shared" si="203"/>
        <v>1789894</v>
      </c>
      <c r="AF121" s="16">
        <f t="shared" si="203"/>
        <v>0</v>
      </c>
      <c r="AG121" s="16">
        <f t="shared" si="203"/>
        <v>730</v>
      </c>
      <c r="AH121" s="16">
        <f t="shared" si="203"/>
        <v>370290</v>
      </c>
      <c r="AI121" s="16">
        <f t="shared" si="203"/>
        <v>126250</v>
      </c>
      <c r="AJ121" s="16">
        <f t="shared" si="203"/>
        <v>874077</v>
      </c>
      <c r="AK121" s="16">
        <f t="shared" si="203"/>
        <v>0</v>
      </c>
      <c r="AL121" s="16">
        <f t="shared" si="203"/>
        <v>324639</v>
      </c>
      <c r="AM121" s="16">
        <f t="shared" si="203"/>
        <v>10061</v>
      </c>
      <c r="AN121" s="16">
        <f t="shared" si="203"/>
        <v>0</v>
      </c>
      <c r="AO121" s="16">
        <f t="shared" si="203"/>
        <v>43868</v>
      </c>
      <c r="AP121" s="16">
        <f>SUM(AP122:AP124)</f>
        <v>0</v>
      </c>
      <c r="AQ121" s="16">
        <f t="shared" si="203"/>
        <v>0</v>
      </c>
      <c r="AR121" s="16">
        <f t="shared" si="203"/>
        <v>0</v>
      </c>
      <c r="AS121" s="16">
        <f t="shared" si="203"/>
        <v>0</v>
      </c>
      <c r="AT121" s="16">
        <f t="shared" si="203"/>
        <v>0</v>
      </c>
      <c r="AU121" s="16">
        <f t="shared" si="203"/>
        <v>0</v>
      </c>
      <c r="AV121" s="16">
        <f t="shared" si="203"/>
        <v>0</v>
      </c>
      <c r="AW121" s="16">
        <f t="shared" si="203"/>
        <v>0</v>
      </c>
      <c r="AX121" s="16">
        <f t="shared" si="203"/>
        <v>0</v>
      </c>
      <c r="AY121" s="16">
        <f t="shared" si="203"/>
        <v>0</v>
      </c>
      <c r="AZ121" s="16">
        <f t="shared" si="203"/>
        <v>39979</v>
      </c>
      <c r="BA121" s="16">
        <f t="shared" si="203"/>
        <v>8289169</v>
      </c>
      <c r="BB121" s="16">
        <f t="shared" si="203"/>
        <v>0</v>
      </c>
      <c r="BC121" s="16">
        <f t="shared" si="203"/>
        <v>0</v>
      </c>
      <c r="BD121" s="16">
        <f t="shared" si="203"/>
        <v>0</v>
      </c>
      <c r="BE121" s="16">
        <f t="shared" si="203"/>
        <v>0</v>
      </c>
      <c r="BF121" s="16">
        <f t="shared" si="203"/>
        <v>0</v>
      </c>
      <c r="BG121" s="16">
        <f t="shared" si="203"/>
        <v>0</v>
      </c>
      <c r="BH121" s="16">
        <f t="shared" si="203"/>
        <v>0</v>
      </c>
      <c r="BI121" s="16">
        <f t="shared" si="203"/>
        <v>0</v>
      </c>
      <c r="BJ121" s="16">
        <f t="shared" si="203"/>
        <v>0</v>
      </c>
      <c r="BK121" s="16">
        <f t="shared" si="203"/>
        <v>0</v>
      </c>
      <c r="BL121" s="16">
        <f t="shared" si="203"/>
        <v>0</v>
      </c>
      <c r="BM121" s="16">
        <f t="shared" si="203"/>
        <v>8289169</v>
      </c>
      <c r="BN121" s="16">
        <f t="shared" si="203"/>
        <v>0</v>
      </c>
      <c r="BO121" s="16">
        <f t="shared" si="203"/>
        <v>0</v>
      </c>
      <c r="BP121" s="16">
        <f t="shared" si="203"/>
        <v>0</v>
      </c>
      <c r="BQ121" s="16">
        <f t="shared" si="203"/>
        <v>0</v>
      </c>
      <c r="BR121" s="16">
        <f t="shared" si="203"/>
        <v>0</v>
      </c>
      <c r="BS121" s="16">
        <f t="shared" si="203"/>
        <v>374363</v>
      </c>
      <c r="BT121" s="16">
        <f t="shared" ref="BT121:CW121" si="205">SUM(BT122:BT124)</f>
        <v>0</v>
      </c>
      <c r="BU121" s="16">
        <f t="shared" si="205"/>
        <v>0</v>
      </c>
      <c r="BV121" s="16">
        <f t="shared" si="205"/>
        <v>0</v>
      </c>
      <c r="BW121" s="16">
        <f t="shared" si="205"/>
        <v>0</v>
      </c>
      <c r="BX121" s="16">
        <f t="shared" si="205"/>
        <v>7914806</v>
      </c>
      <c r="BY121" s="16">
        <f t="shared" si="205"/>
        <v>568260</v>
      </c>
      <c r="BZ121" s="16">
        <f t="shared" si="205"/>
        <v>568260</v>
      </c>
      <c r="CA121" s="16">
        <f t="shared" si="205"/>
        <v>568260</v>
      </c>
      <c r="CB121" s="16">
        <f t="shared" si="205"/>
        <v>0</v>
      </c>
      <c r="CC121" s="16">
        <f t="shared" si="205"/>
        <v>568260</v>
      </c>
      <c r="CD121" s="16">
        <f t="shared" si="205"/>
        <v>0</v>
      </c>
      <c r="CE121" s="16">
        <f t="shared" si="205"/>
        <v>0</v>
      </c>
      <c r="CF121" s="16">
        <f>SUM(CF122:CF124)</f>
        <v>0</v>
      </c>
      <c r="CG121" s="16">
        <f t="shared" si="205"/>
        <v>0</v>
      </c>
      <c r="CH121" s="16">
        <f t="shared" si="205"/>
        <v>0</v>
      </c>
      <c r="CI121" s="16">
        <f t="shared" si="205"/>
        <v>0</v>
      </c>
      <c r="CJ121" s="16">
        <f t="shared" ref="CJ121" si="206">SUM(CJ122:CJ124)</f>
        <v>0</v>
      </c>
      <c r="CK121" s="16">
        <f t="shared" si="205"/>
        <v>0</v>
      </c>
      <c r="CL121" s="16">
        <f t="shared" si="205"/>
        <v>0</v>
      </c>
      <c r="CM121" s="16">
        <f>SUM(CM122:CM124)</f>
        <v>0</v>
      </c>
      <c r="CN121" s="16">
        <f t="shared" si="205"/>
        <v>0</v>
      </c>
      <c r="CO121" s="16">
        <f t="shared" si="205"/>
        <v>0</v>
      </c>
      <c r="CP121" s="16">
        <f t="shared" si="205"/>
        <v>0</v>
      </c>
      <c r="CQ121" s="16">
        <f t="shared" si="205"/>
        <v>0</v>
      </c>
      <c r="CR121" s="16">
        <f t="shared" si="205"/>
        <v>0</v>
      </c>
      <c r="CS121" s="16">
        <f t="shared" si="205"/>
        <v>0</v>
      </c>
      <c r="CT121" s="16">
        <f t="shared" si="205"/>
        <v>0</v>
      </c>
      <c r="CU121" s="16">
        <f t="shared" si="205"/>
        <v>0</v>
      </c>
      <c r="CV121" s="16">
        <f t="shared" si="205"/>
        <v>0</v>
      </c>
      <c r="CW121" s="17">
        <f t="shared" si="205"/>
        <v>0</v>
      </c>
      <c r="CX121" s="40"/>
    </row>
    <row r="122" spans="1:102" ht="15.75" hidden="1" x14ac:dyDescent="0.25">
      <c r="A122" s="13" t="s">
        <v>1</v>
      </c>
      <c r="B122" s="14" t="s">
        <v>1</v>
      </c>
      <c r="C122" s="14" t="s">
        <v>19</v>
      </c>
      <c r="D122" s="30" t="s">
        <v>151</v>
      </c>
      <c r="E122" s="15">
        <f>SUM(F122+BY122+CT122)</f>
        <v>19117790</v>
      </c>
      <c r="F122" s="16">
        <f>SUM(G122+BA122)</f>
        <v>18989845</v>
      </c>
      <c r="G122" s="16">
        <f>SUM(H122+I122+J122+Q122+T122+U122+V122+AE122)</f>
        <v>14732069</v>
      </c>
      <c r="H122" s="16">
        <v>7559762</v>
      </c>
      <c r="I122" s="16">
        <v>1771936</v>
      </c>
      <c r="J122" s="16">
        <f t="shared" si="103"/>
        <v>4716629</v>
      </c>
      <c r="K122" s="16">
        <v>18876</v>
      </c>
      <c r="L122" s="16">
        <v>695564</v>
      </c>
      <c r="M122" s="16">
        <v>3371956</v>
      </c>
      <c r="N122" s="16">
        <v>300995</v>
      </c>
      <c r="O122" s="16">
        <v>317378</v>
      </c>
      <c r="P122" s="16">
        <v>11860</v>
      </c>
      <c r="Q122" s="16">
        <f t="shared" si="104"/>
        <v>0</v>
      </c>
      <c r="R122" s="16">
        <v>0</v>
      </c>
      <c r="S122" s="16">
        <v>0</v>
      </c>
      <c r="T122" s="16">
        <v>0</v>
      </c>
      <c r="U122" s="16">
        <v>29258</v>
      </c>
      <c r="V122" s="16">
        <f>SUM(W122:AD122)</f>
        <v>406811</v>
      </c>
      <c r="W122" s="16">
        <v>6214</v>
      </c>
      <c r="X122" s="16">
        <v>240826</v>
      </c>
      <c r="Y122" s="16">
        <v>119400</v>
      </c>
      <c r="Z122" s="16">
        <v>11103</v>
      </c>
      <c r="AA122" s="16">
        <v>14160</v>
      </c>
      <c r="AB122" s="16">
        <v>0</v>
      </c>
      <c r="AC122" s="16">
        <v>0</v>
      </c>
      <c r="AD122" s="16">
        <v>15108</v>
      </c>
      <c r="AE122" s="16">
        <f>SUM(AF122:AZ122)</f>
        <v>247673</v>
      </c>
      <c r="AF122" s="16">
        <v>0</v>
      </c>
      <c r="AG122" s="16">
        <v>0</v>
      </c>
      <c r="AH122" s="16">
        <v>141460</v>
      </c>
      <c r="AI122" s="16">
        <v>5776</v>
      </c>
      <c r="AJ122" s="16">
        <v>11856</v>
      </c>
      <c r="AK122" s="16">
        <v>0</v>
      </c>
      <c r="AL122" s="16">
        <v>75598</v>
      </c>
      <c r="AM122" s="16">
        <v>5071</v>
      </c>
      <c r="AN122" s="16">
        <v>0</v>
      </c>
      <c r="AO122" s="16">
        <v>1976</v>
      </c>
      <c r="AP122" s="16"/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/>
      <c r="AZ122" s="16">
        <v>5936</v>
      </c>
      <c r="BA122" s="16">
        <f>SUM(BB122+BF122+BI122+BK122+BM122)</f>
        <v>4257776</v>
      </c>
      <c r="BB122" s="16">
        <f>SUM(BC122:BE122)</f>
        <v>0</v>
      </c>
      <c r="BC122" s="16">
        <v>0</v>
      </c>
      <c r="BD122" s="16">
        <v>0</v>
      </c>
      <c r="BE122" s="16">
        <v>0</v>
      </c>
      <c r="BF122" s="16">
        <f t="shared" si="105"/>
        <v>0</v>
      </c>
      <c r="BG122" s="16">
        <v>0</v>
      </c>
      <c r="BH122" s="16">
        <v>0</v>
      </c>
      <c r="BI122" s="16">
        <v>0</v>
      </c>
      <c r="BJ122" s="16">
        <v>0</v>
      </c>
      <c r="BK122" s="16">
        <f t="shared" si="106"/>
        <v>0</v>
      </c>
      <c r="BL122" s="16">
        <v>0</v>
      </c>
      <c r="BM122" s="16">
        <f t="shared" si="107"/>
        <v>4257776</v>
      </c>
      <c r="BN122" s="16">
        <v>0</v>
      </c>
      <c r="BO122" s="16">
        <v>0</v>
      </c>
      <c r="BP122" s="16">
        <v>0</v>
      </c>
      <c r="BQ122" s="16">
        <v>0</v>
      </c>
      <c r="BR122" s="16">
        <v>0</v>
      </c>
      <c r="BS122" s="16">
        <v>206738</v>
      </c>
      <c r="BT122" s="16">
        <v>0</v>
      </c>
      <c r="BU122" s="16">
        <v>0</v>
      </c>
      <c r="BV122" s="16">
        <v>0</v>
      </c>
      <c r="BW122" s="16">
        <v>0</v>
      </c>
      <c r="BX122" s="16">
        <v>4051038</v>
      </c>
      <c r="BY122" s="16">
        <f>SUM(BZ122+CS122)</f>
        <v>127945</v>
      </c>
      <c r="BZ122" s="16">
        <f>SUM(CA122+CD122+CK122)</f>
        <v>127945</v>
      </c>
      <c r="CA122" s="16">
        <f t="shared" si="108"/>
        <v>127945</v>
      </c>
      <c r="CB122" s="16">
        <v>0</v>
      </c>
      <c r="CC122" s="16">
        <v>127945</v>
      </c>
      <c r="CD122" s="16">
        <f t="shared" si="109"/>
        <v>0</v>
      </c>
      <c r="CE122" s="16">
        <v>0</v>
      </c>
      <c r="CF122" s="16">
        <v>0</v>
      </c>
      <c r="CG122" s="16">
        <v>0</v>
      </c>
      <c r="CH122" s="16">
        <v>0</v>
      </c>
      <c r="CI122" s="16">
        <v>0</v>
      </c>
      <c r="CJ122" s="16">
        <v>0</v>
      </c>
      <c r="CK122" s="16">
        <f t="shared" si="110"/>
        <v>0</v>
      </c>
      <c r="CL122" s="16">
        <v>0</v>
      </c>
      <c r="CM122" s="16">
        <v>0</v>
      </c>
      <c r="CN122" s="16">
        <v>0</v>
      </c>
      <c r="CO122" s="16">
        <v>0</v>
      </c>
      <c r="CP122" s="16">
        <v>0</v>
      </c>
      <c r="CQ122" s="16"/>
      <c r="CR122" s="16"/>
      <c r="CS122" s="16">
        <v>0</v>
      </c>
      <c r="CT122" s="16">
        <f t="shared" si="111"/>
        <v>0</v>
      </c>
      <c r="CU122" s="16">
        <f t="shared" si="112"/>
        <v>0</v>
      </c>
      <c r="CV122" s="16">
        <v>0</v>
      </c>
      <c r="CW122" s="17">
        <v>0</v>
      </c>
      <c r="CX122" s="40"/>
    </row>
    <row r="123" spans="1:102" ht="15.75" hidden="1" x14ac:dyDescent="0.25">
      <c r="A123" s="13" t="s">
        <v>1</v>
      </c>
      <c r="B123" s="14" t="s">
        <v>1</v>
      </c>
      <c r="C123" s="14" t="s">
        <v>19</v>
      </c>
      <c r="D123" s="30" t="s">
        <v>152</v>
      </c>
      <c r="E123" s="15">
        <f>SUM(F123+BY123+CT123)</f>
        <v>32127697</v>
      </c>
      <c r="F123" s="16">
        <f>SUM(G123+BA123)</f>
        <v>31809800</v>
      </c>
      <c r="G123" s="16">
        <f>SUM(H123+I123+J123+Q123+T123+U123+V123+AE123)</f>
        <v>27778407</v>
      </c>
      <c r="H123" s="16">
        <v>16025635</v>
      </c>
      <c r="I123" s="16">
        <v>3704351</v>
      </c>
      <c r="J123" s="16">
        <f t="shared" si="103"/>
        <v>6052716</v>
      </c>
      <c r="K123" s="16">
        <v>97293</v>
      </c>
      <c r="L123" s="16">
        <v>1384307</v>
      </c>
      <c r="M123" s="16">
        <v>4327109</v>
      </c>
      <c r="N123" s="16">
        <v>0</v>
      </c>
      <c r="O123" s="16">
        <v>195078</v>
      </c>
      <c r="P123" s="16">
        <v>48929</v>
      </c>
      <c r="Q123" s="16">
        <f t="shared" si="104"/>
        <v>0</v>
      </c>
      <c r="R123" s="16">
        <v>0</v>
      </c>
      <c r="S123" s="16">
        <v>0</v>
      </c>
      <c r="T123" s="16">
        <v>0</v>
      </c>
      <c r="U123" s="16">
        <v>33884</v>
      </c>
      <c r="V123" s="16">
        <f>SUM(W123:AD123)</f>
        <v>545891</v>
      </c>
      <c r="W123" s="16">
        <v>67769</v>
      </c>
      <c r="X123" s="16">
        <v>186939</v>
      </c>
      <c r="Y123" s="16">
        <v>89764</v>
      </c>
      <c r="Z123" s="16">
        <v>159098</v>
      </c>
      <c r="AA123" s="16">
        <v>23862</v>
      </c>
      <c r="AB123" s="16">
        <v>0</v>
      </c>
      <c r="AC123" s="16">
        <v>0</v>
      </c>
      <c r="AD123" s="16">
        <v>18459</v>
      </c>
      <c r="AE123" s="16">
        <f>SUM(AF123:AZ123)</f>
        <v>1415930</v>
      </c>
      <c r="AF123" s="16">
        <v>0</v>
      </c>
      <c r="AG123" s="16">
        <v>172</v>
      </c>
      <c r="AH123" s="16">
        <v>193351</v>
      </c>
      <c r="AI123" s="16">
        <v>102425</v>
      </c>
      <c r="AJ123" s="16">
        <v>851225</v>
      </c>
      <c r="AK123" s="16">
        <v>0</v>
      </c>
      <c r="AL123" s="16">
        <v>187832</v>
      </c>
      <c r="AM123" s="16">
        <v>4990</v>
      </c>
      <c r="AN123" s="16">
        <v>0</v>
      </c>
      <c r="AO123" s="16">
        <v>41892</v>
      </c>
      <c r="AP123" s="16"/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/>
      <c r="AZ123" s="16">
        <v>34043</v>
      </c>
      <c r="BA123" s="16">
        <f>SUM(BB123+BF123+BI123+BK123+BM123)</f>
        <v>4031393</v>
      </c>
      <c r="BB123" s="16">
        <f>SUM(BC123:BE123)</f>
        <v>0</v>
      </c>
      <c r="BC123" s="16">
        <v>0</v>
      </c>
      <c r="BD123" s="16">
        <v>0</v>
      </c>
      <c r="BE123" s="16">
        <v>0</v>
      </c>
      <c r="BF123" s="16">
        <f t="shared" si="105"/>
        <v>0</v>
      </c>
      <c r="BG123" s="16">
        <v>0</v>
      </c>
      <c r="BH123" s="16">
        <v>0</v>
      </c>
      <c r="BI123" s="16">
        <v>0</v>
      </c>
      <c r="BJ123" s="16">
        <v>0</v>
      </c>
      <c r="BK123" s="16">
        <f t="shared" si="106"/>
        <v>0</v>
      </c>
      <c r="BL123" s="16">
        <v>0</v>
      </c>
      <c r="BM123" s="16">
        <f t="shared" si="107"/>
        <v>4031393</v>
      </c>
      <c r="BN123" s="16">
        <v>0</v>
      </c>
      <c r="BO123" s="16">
        <v>0</v>
      </c>
      <c r="BP123" s="16">
        <v>0</v>
      </c>
      <c r="BQ123" s="16">
        <v>0</v>
      </c>
      <c r="BR123" s="16">
        <v>0</v>
      </c>
      <c r="BS123" s="16">
        <v>167625</v>
      </c>
      <c r="BT123" s="16">
        <v>0</v>
      </c>
      <c r="BU123" s="16">
        <v>0</v>
      </c>
      <c r="BV123" s="16">
        <v>0</v>
      </c>
      <c r="BW123" s="16">
        <v>0</v>
      </c>
      <c r="BX123" s="16">
        <v>3863768</v>
      </c>
      <c r="BY123" s="16">
        <f>SUM(BZ123+CS123)</f>
        <v>317897</v>
      </c>
      <c r="BZ123" s="16">
        <f>SUM(CA123+CD123+CK123)</f>
        <v>317897</v>
      </c>
      <c r="CA123" s="16">
        <f t="shared" si="108"/>
        <v>317897</v>
      </c>
      <c r="CB123" s="16">
        <v>0</v>
      </c>
      <c r="CC123" s="16">
        <v>317897</v>
      </c>
      <c r="CD123" s="16">
        <f t="shared" si="109"/>
        <v>0</v>
      </c>
      <c r="CE123" s="16">
        <v>0</v>
      </c>
      <c r="CF123" s="16">
        <v>0</v>
      </c>
      <c r="CG123" s="16">
        <v>0</v>
      </c>
      <c r="CH123" s="16">
        <v>0</v>
      </c>
      <c r="CI123" s="16">
        <v>0</v>
      </c>
      <c r="CJ123" s="16">
        <v>0</v>
      </c>
      <c r="CK123" s="16">
        <f t="shared" si="110"/>
        <v>0</v>
      </c>
      <c r="CL123" s="16">
        <v>0</v>
      </c>
      <c r="CM123" s="16">
        <v>0</v>
      </c>
      <c r="CN123" s="16">
        <v>0</v>
      </c>
      <c r="CO123" s="16">
        <v>0</v>
      </c>
      <c r="CP123" s="16">
        <v>0</v>
      </c>
      <c r="CQ123" s="16"/>
      <c r="CR123" s="16"/>
      <c r="CS123" s="16">
        <v>0</v>
      </c>
      <c r="CT123" s="16">
        <f t="shared" si="111"/>
        <v>0</v>
      </c>
      <c r="CU123" s="16">
        <f t="shared" si="112"/>
        <v>0</v>
      </c>
      <c r="CV123" s="16">
        <v>0</v>
      </c>
      <c r="CW123" s="17">
        <v>0</v>
      </c>
      <c r="CX123" s="40"/>
    </row>
    <row r="124" spans="1:102" ht="15.75" hidden="1" x14ac:dyDescent="0.25">
      <c r="A124" s="13" t="s">
        <v>1</v>
      </c>
      <c r="B124" s="14" t="s">
        <v>1</v>
      </c>
      <c r="C124" s="14" t="s">
        <v>23</v>
      </c>
      <c r="D124" s="30" t="s">
        <v>153</v>
      </c>
      <c r="E124" s="15">
        <f>SUM(F124+BY124+CT124)</f>
        <v>8470000</v>
      </c>
      <c r="F124" s="16">
        <f>SUM(G124+BA124)</f>
        <v>8347582</v>
      </c>
      <c r="G124" s="16">
        <f>SUM(H124+I124+J124+Q124+T124+U124+V124+AE124)</f>
        <v>8347582</v>
      </c>
      <c r="H124" s="16">
        <v>6016323</v>
      </c>
      <c r="I124" s="16">
        <v>1395702</v>
      </c>
      <c r="J124" s="16">
        <f t="shared" si="103"/>
        <v>494064</v>
      </c>
      <c r="K124" s="16">
        <v>14060</v>
      </c>
      <c r="L124" s="16">
        <v>13950</v>
      </c>
      <c r="M124" s="16">
        <v>464505</v>
      </c>
      <c r="N124" s="16">
        <v>0</v>
      </c>
      <c r="O124" s="16">
        <v>0</v>
      </c>
      <c r="P124" s="16">
        <v>1549</v>
      </c>
      <c r="Q124" s="16">
        <f t="shared" si="104"/>
        <v>0</v>
      </c>
      <c r="R124" s="16">
        <v>0</v>
      </c>
      <c r="S124" s="16">
        <v>0</v>
      </c>
      <c r="T124" s="16">
        <v>0</v>
      </c>
      <c r="U124" s="16">
        <v>33978</v>
      </c>
      <c r="V124" s="16">
        <f>SUM(W124:AD124)</f>
        <v>281224</v>
      </c>
      <c r="W124" s="16">
        <v>20571</v>
      </c>
      <c r="X124" s="16">
        <v>155221</v>
      </c>
      <c r="Y124" s="16">
        <v>60384</v>
      </c>
      <c r="Z124" s="16">
        <v>28746</v>
      </c>
      <c r="AA124" s="16">
        <v>16302</v>
      </c>
      <c r="AB124" s="16">
        <v>0</v>
      </c>
      <c r="AC124" s="16">
        <v>0</v>
      </c>
      <c r="AD124" s="16">
        <v>0</v>
      </c>
      <c r="AE124" s="16">
        <f>SUM(AF124:AZ124)</f>
        <v>126291</v>
      </c>
      <c r="AF124" s="16">
        <v>0</v>
      </c>
      <c r="AG124" s="16">
        <v>558</v>
      </c>
      <c r="AH124" s="16">
        <v>35479</v>
      </c>
      <c r="AI124" s="16">
        <v>18049</v>
      </c>
      <c r="AJ124" s="16">
        <v>10996</v>
      </c>
      <c r="AK124" s="16">
        <v>0</v>
      </c>
      <c r="AL124" s="16">
        <v>61209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  <c r="AZ124" s="16">
        <v>0</v>
      </c>
      <c r="BA124" s="16">
        <f>SUM(BB124+BF124+BI124+BK124+BM124)</f>
        <v>0</v>
      </c>
      <c r="BB124" s="16">
        <f>SUM(BC124:BE124)</f>
        <v>0</v>
      </c>
      <c r="BC124" s="16">
        <v>0</v>
      </c>
      <c r="BD124" s="16">
        <v>0</v>
      </c>
      <c r="BE124" s="16">
        <v>0</v>
      </c>
      <c r="BF124" s="16">
        <f t="shared" si="105"/>
        <v>0</v>
      </c>
      <c r="BG124" s="16">
        <v>0</v>
      </c>
      <c r="BH124" s="16">
        <v>0</v>
      </c>
      <c r="BI124" s="16">
        <v>0</v>
      </c>
      <c r="BJ124" s="16">
        <v>0</v>
      </c>
      <c r="BK124" s="16">
        <f t="shared" si="106"/>
        <v>0</v>
      </c>
      <c r="BL124" s="16">
        <v>0</v>
      </c>
      <c r="BM124" s="16">
        <f t="shared" si="107"/>
        <v>0</v>
      </c>
      <c r="BN124" s="16">
        <v>0</v>
      </c>
      <c r="BO124" s="16">
        <v>0</v>
      </c>
      <c r="BP124" s="16">
        <v>0</v>
      </c>
      <c r="BQ124" s="16">
        <v>0</v>
      </c>
      <c r="BR124" s="16">
        <v>0</v>
      </c>
      <c r="BS124" s="16">
        <v>0</v>
      </c>
      <c r="BT124" s="16">
        <v>0</v>
      </c>
      <c r="BU124" s="16">
        <v>0</v>
      </c>
      <c r="BV124" s="16">
        <v>0</v>
      </c>
      <c r="BW124" s="16">
        <v>0</v>
      </c>
      <c r="BX124" s="16">
        <v>0</v>
      </c>
      <c r="BY124" s="16">
        <f>SUM(BZ124+CS124)</f>
        <v>122418</v>
      </c>
      <c r="BZ124" s="16">
        <f>SUM(CA124+CD124+CK124)</f>
        <v>122418</v>
      </c>
      <c r="CA124" s="16">
        <f t="shared" si="108"/>
        <v>122418</v>
      </c>
      <c r="CB124" s="16">
        <v>0</v>
      </c>
      <c r="CC124" s="16">
        <v>122418</v>
      </c>
      <c r="CD124" s="16">
        <f t="shared" si="109"/>
        <v>0</v>
      </c>
      <c r="CE124" s="16">
        <v>0</v>
      </c>
      <c r="CF124" s="16">
        <v>0</v>
      </c>
      <c r="CG124" s="16">
        <v>0</v>
      </c>
      <c r="CH124" s="16">
        <v>0</v>
      </c>
      <c r="CI124" s="16">
        <v>0</v>
      </c>
      <c r="CJ124" s="16">
        <v>0</v>
      </c>
      <c r="CK124" s="16">
        <f t="shared" si="110"/>
        <v>0</v>
      </c>
      <c r="CL124" s="16">
        <v>0</v>
      </c>
      <c r="CM124" s="16">
        <v>0</v>
      </c>
      <c r="CN124" s="16">
        <v>0</v>
      </c>
      <c r="CO124" s="16">
        <v>0</v>
      </c>
      <c r="CP124" s="16">
        <v>0</v>
      </c>
      <c r="CQ124" s="16">
        <v>0</v>
      </c>
      <c r="CR124" s="16">
        <v>0</v>
      </c>
      <c r="CS124" s="16">
        <v>0</v>
      </c>
      <c r="CT124" s="16">
        <f t="shared" si="111"/>
        <v>0</v>
      </c>
      <c r="CU124" s="16">
        <f t="shared" si="112"/>
        <v>0</v>
      </c>
      <c r="CV124" s="16">
        <v>0</v>
      </c>
      <c r="CW124" s="17">
        <v>0</v>
      </c>
      <c r="CX124" s="40"/>
    </row>
    <row r="125" spans="1:102" ht="15.75" hidden="1" x14ac:dyDescent="0.25">
      <c r="A125" s="13" t="s">
        <v>111</v>
      </c>
      <c r="B125" s="14" t="s">
        <v>47</v>
      </c>
      <c r="C125" s="14" t="s">
        <v>1</v>
      </c>
      <c r="D125" s="30" t="s">
        <v>154</v>
      </c>
      <c r="E125" s="15">
        <f>SUM(E126:E128)</f>
        <v>119244578</v>
      </c>
      <c r="F125" s="16">
        <f t="shared" ref="F125:BS125" si="207">SUM(F126:F128)</f>
        <v>112172921</v>
      </c>
      <c r="G125" s="16">
        <f t="shared" si="207"/>
        <v>92642598</v>
      </c>
      <c r="H125" s="16">
        <f t="shared" si="207"/>
        <v>64629753</v>
      </c>
      <c r="I125" s="16">
        <f t="shared" si="207"/>
        <v>15063606</v>
      </c>
      <c r="J125" s="16">
        <f t="shared" si="207"/>
        <v>6420298</v>
      </c>
      <c r="K125" s="16">
        <f t="shared" si="207"/>
        <v>96314</v>
      </c>
      <c r="L125" s="16">
        <f t="shared" si="207"/>
        <v>50185</v>
      </c>
      <c r="M125" s="16">
        <f t="shared" si="207"/>
        <v>4825248</v>
      </c>
      <c r="N125" s="16">
        <f t="shared" si="207"/>
        <v>0</v>
      </c>
      <c r="O125" s="16">
        <f t="shared" si="207"/>
        <v>1088191</v>
      </c>
      <c r="P125" s="16">
        <f t="shared" si="207"/>
        <v>360360</v>
      </c>
      <c r="Q125" s="16">
        <f t="shared" si="207"/>
        <v>119846</v>
      </c>
      <c r="R125" s="16">
        <f t="shared" si="207"/>
        <v>119846</v>
      </c>
      <c r="S125" s="16">
        <f t="shared" si="207"/>
        <v>0</v>
      </c>
      <c r="T125" s="16">
        <f t="shared" si="207"/>
        <v>0</v>
      </c>
      <c r="U125" s="16">
        <f t="shared" si="207"/>
        <v>491948</v>
      </c>
      <c r="V125" s="16">
        <f t="shared" si="207"/>
        <v>2023297</v>
      </c>
      <c r="W125" s="16">
        <f t="shared" si="207"/>
        <v>43471</v>
      </c>
      <c r="X125" s="16">
        <f t="shared" si="207"/>
        <v>1476180</v>
      </c>
      <c r="Y125" s="16">
        <f t="shared" si="207"/>
        <v>289459</v>
      </c>
      <c r="Z125" s="16">
        <f t="shared" si="207"/>
        <v>110061</v>
      </c>
      <c r="AA125" s="16">
        <f t="shared" si="207"/>
        <v>104126</v>
      </c>
      <c r="AB125" s="16">
        <f t="shared" si="207"/>
        <v>0</v>
      </c>
      <c r="AC125" s="16">
        <f t="shared" si="207"/>
        <v>0</v>
      </c>
      <c r="AD125" s="16">
        <f t="shared" ref="AD125" si="208">SUM(AD126:AD128)</f>
        <v>0</v>
      </c>
      <c r="AE125" s="16">
        <f t="shared" si="207"/>
        <v>3893850</v>
      </c>
      <c r="AF125" s="16">
        <f t="shared" si="207"/>
        <v>0</v>
      </c>
      <c r="AG125" s="16">
        <f t="shared" si="207"/>
        <v>46374</v>
      </c>
      <c r="AH125" s="16">
        <f t="shared" si="207"/>
        <v>810392</v>
      </c>
      <c r="AI125" s="16">
        <f t="shared" si="207"/>
        <v>401563</v>
      </c>
      <c r="AJ125" s="16">
        <f t="shared" si="207"/>
        <v>144382</v>
      </c>
      <c r="AK125" s="16">
        <f t="shared" si="207"/>
        <v>0</v>
      </c>
      <c r="AL125" s="16">
        <f t="shared" si="207"/>
        <v>653029</v>
      </c>
      <c r="AM125" s="16">
        <f t="shared" si="207"/>
        <v>16716</v>
      </c>
      <c r="AN125" s="16">
        <f t="shared" si="207"/>
        <v>0</v>
      </c>
      <c r="AO125" s="16">
        <f t="shared" si="207"/>
        <v>14841</v>
      </c>
      <c r="AP125" s="16">
        <f>SUM(AP126:AP128)</f>
        <v>0</v>
      </c>
      <c r="AQ125" s="16">
        <f t="shared" si="207"/>
        <v>0</v>
      </c>
      <c r="AR125" s="16">
        <f t="shared" si="207"/>
        <v>15367</v>
      </c>
      <c r="AS125" s="16">
        <f t="shared" si="207"/>
        <v>83800</v>
      </c>
      <c r="AT125" s="16">
        <f t="shared" si="207"/>
        <v>0</v>
      </c>
      <c r="AU125" s="16">
        <f t="shared" si="207"/>
        <v>0</v>
      </c>
      <c r="AV125" s="16">
        <f t="shared" si="207"/>
        <v>0</v>
      </c>
      <c r="AW125" s="16">
        <f t="shared" si="207"/>
        <v>0</v>
      </c>
      <c r="AX125" s="16">
        <f t="shared" si="207"/>
        <v>0</v>
      </c>
      <c r="AY125" s="16">
        <f t="shared" si="207"/>
        <v>0</v>
      </c>
      <c r="AZ125" s="16">
        <f t="shared" si="207"/>
        <v>1707386</v>
      </c>
      <c r="BA125" s="16">
        <f t="shared" si="207"/>
        <v>19530323</v>
      </c>
      <c r="BB125" s="16">
        <f t="shared" si="207"/>
        <v>0</v>
      </c>
      <c r="BC125" s="16">
        <f t="shared" si="207"/>
        <v>0</v>
      </c>
      <c r="BD125" s="16">
        <f t="shared" si="207"/>
        <v>0</v>
      </c>
      <c r="BE125" s="16">
        <f t="shared" si="207"/>
        <v>0</v>
      </c>
      <c r="BF125" s="16">
        <f t="shared" si="207"/>
        <v>0</v>
      </c>
      <c r="BG125" s="16">
        <f t="shared" si="207"/>
        <v>0</v>
      </c>
      <c r="BH125" s="16">
        <f t="shared" si="207"/>
        <v>0</v>
      </c>
      <c r="BI125" s="16">
        <f t="shared" si="207"/>
        <v>0</v>
      </c>
      <c r="BJ125" s="16">
        <f t="shared" si="207"/>
        <v>0</v>
      </c>
      <c r="BK125" s="16">
        <f t="shared" si="207"/>
        <v>0</v>
      </c>
      <c r="BL125" s="16">
        <f t="shared" si="207"/>
        <v>0</v>
      </c>
      <c r="BM125" s="16">
        <f t="shared" si="207"/>
        <v>19530323</v>
      </c>
      <c r="BN125" s="16">
        <f t="shared" si="207"/>
        <v>0</v>
      </c>
      <c r="BO125" s="16">
        <f t="shared" si="207"/>
        <v>0</v>
      </c>
      <c r="BP125" s="16">
        <f t="shared" si="207"/>
        <v>7815125</v>
      </c>
      <c r="BQ125" s="16">
        <f t="shared" si="207"/>
        <v>0</v>
      </c>
      <c r="BR125" s="16">
        <f t="shared" si="207"/>
        <v>0</v>
      </c>
      <c r="BS125" s="16">
        <f t="shared" si="207"/>
        <v>0</v>
      </c>
      <c r="BT125" s="16">
        <f t="shared" ref="BT125:CW125" si="209">SUM(BT126:BT128)</f>
        <v>0</v>
      </c>
      <c r="BU125" s="16">
        <f t="shared" si="209"/>
        <v>0</v>
      </c>
      <c r="BV125" s="16">
        <f t="shared" si="209"/>
        <v>0</v>
      </c>
      <c r="BW125" s="16">
        <f t="shared" si="209"/>
        <v>11430670</v>
      </c>
      <c r="BX125" s="16">
        <f t="shared" si="209"/>
        <v>284528</v>
      </c>
      <c r="BY125" s="16">
        <f t="shared" si="209"/>
        <v>7071657</v>
      </c>
      <c r="BZ125" s="16">
        <f t="shared" si="209"/>
        <v>7071657</v>
      </c>
      <c r="CA125" s="16">
        <f t="shared" si="209"/>
        <v>7071657</v>
      </c>
      <c r="CB125" s="16">
        <f t="shared" si="209"/>
        <v>0</v>
      </c>
      <c r="CC125" s="16">
        <f t="shared" si="209"/>
        <v>7071657</v>
      </c>
      <c r="CD125" s="16">
        <f t="shared" si="209"/>
        <v>0</v>
      </c>
      <c r="CE125" s="16">
        <f t="shared" si="209"/>
        <v>0</v>
      </c>
      <c r="CF125" s="16">
        <f>SUM(CF126:CF128)</f>
        <v>0</v>
      </c>
      <c r="CG125" s="16">
        <f t="shared" si="209"/>
        <v>0</v>
      </c>
      <c r="CH125" s="16">
        <f t="shared" si="209"/>
        <v>0</v>
      </c>
      <c r="CI125" s="16">
        <f t="shared" si="209"/>
        <v>0</v>
      </c>
      <c r="CJ125" s="16">
        <f t="shared" ref="CJ125" si="210">SUM(CJ126:CJ128)</f>
        <v>0</v>
      </c>
      <c r="CK125" s="16">
        <f t="shared" si="209"/>
        <v>0</v>
      </c>
      <c r="CL125" s="16">
        <f t="shared" si="209"/>
        <v>0</v>
      </c>
      <c r="CM125" s="16">
        <f>SUM(CM126:CM128)</f>
        <v>0</v>
      </c>
      <c r="CN125" s="16">
        <f t="shared" si="209"/>
        <v>0</v>
      </c>
      <c r="CO125" s="16">
        <f t="shared" si="209"/>
        <v>0</v>
      </c>
      <c r="CP125" s="16">
        <f t="shared" si="209"/>
        <v>0</v>
      </c>
      <c r="CQ125" s="16">
        <f t="shared" si="209"/>
        <v>0</v>
      </c>
      <c r="CR125" s="16">
        <f t="shared" si="209"/>
        <v>0</v>
      </c>
      <c r="CS125" s="16">
        <f t="shared" si="209"/>
        <v>0</v>
      </c>
      <c r="CT125" s="16">
        <f t="shared" si="209"/>
        <v>0</v>
      </c>
      <c r="CU125" s="16">
        <f t="shared" si="209"/>
        <v>0</v>
      </c>
      <c r="CV125" s="16">
        <f t="shared" si="209"/>
        <v>0</v>
      </c>
      <c r="CW125" s="17">
        <f t="shared" si="209"/>
        <v>0</v>
      </c>
      <c r="CX125" s="40"/>
    </row>
    <row r="126" spans="1:102" ht="31.5" hidden="1" x14ac:dyDescent="0.25">
      <c r="A126" s="13" t="s">
        <v>1</v>
      </c>
      <c r="B126" s="14" t="s">
        <v>1</v>
      </c>
      <c r="C126" s="14" t="s">
        <v>21</v>
      </c>
      <c r="D126" s="30" t="s">
        <v>155</v>
      </c>
      <c r="E126" s="15">
        <f>SUM(F126+BY126+CT126)</f>
        <v>14525355</v>
      </c>
      <c r="F126" s="16">
        <f>SUM(G126+BA126)</f>
        <v>14350201</v>
      </c>
      <c r="G126" s="16">
        <f>SUM(H126+I126+J126+Q126+T126+U126+V126+AE126)</f>
        <v>11687394</v>
      </c>
      <c r="H126" s="16">
        <v>8757688</v>
      </c>
      <c r="I126" s="16">
        <v>2026528</v>
      </c>
      <c r="J126" s="16">
        <f t="shared" si="103"/>
        <v>532552</v>
      </c>
      <c r="K126" s="16">
        <v>0</v>
      </c>
      <c r="L126" s="16">
        <v>13517</v>
      </c>
      <c r="M126" s="16">
        <v>445498</v>
      </c>
      <c r="N126" s="16">
        <v>0</v>
      </c>
      <c r="O126" s="16">
        <v>53042</v>
      </c>
      <c r="P126" s="16">
        <v>20495</v>
      </c>
      <c r="Q126" s="16">
        <f t="shared" si="104"/>
        <v>0</v>
      </c>
      <c r="R126" s="16">
        <v>0</v>
      </c>
      <c r="S126" s="16">
        <v>0</v>
      </c>
      <c r="T126" s="16">
        <v>0</v>
      </c>
      <c r="U126" s="16">
        <v>59256</v>
      </c>
      <c r="V126" s="16">
        <f>SUM(W126:AD126)</f>
        <v>77535</v>
      </c>
      <c r="W126" s="16">
        <v>0</v>
      </c>
      <c r="X126" s="16">
        <v>63488</v>
      </c>
      <c r="Y126" s="16">
        <v>4538</v>
      </c>
      <c r="Z126" s="16">
        <v>9509</v>
      </c>
      <c r="AA126" s="16">
        <v>0</v>
      </c>
      <c r="AB126" s="16">
        <v>0</v>
      </c>
      <c r="AC126" s="16">
        <v>0</v>
      </c>
      <c r="AD126" s="16">
        <v>0</v>
      </c>
      <c r="AE126" s="16">
        <f>SUM(AF126:AZ126)</f>
        <v>233835</v>
      </c>
      <c r="AF126" s="16">
        <v>0</v>
      </c>
      <c r="AG126" s="16">
        <v>0</v>
      </c>
      <c r="AH126" s="16">
        <v>68356</v>
      </c>
      <c r="AI126" s="16">
        <v>53629</v>
      </c>
      <c r="AJ126" s="16">
        <v>16162</v>
      </c>
      <c r="AK126" s="16">
        <v>0</v>
      </c>
      <c r="AL126" s="16">
        <v>87577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0</v>
      </c>
      <c r="AS126" s="16">
        <v>0</v>
      </c>
      <c r="AT126" s="16">
        <v>0</v>
      </c>
      <c r="AU126" s="16">
        <v>0</v>
      </c>
      <c r="AV126" s="16">
        <v>0</v>
      </c>
      <c r="AW126" s="16">
        <v>0</v>
      </c>
      <c r="AX126" s="16">
        <v>0</v>
      </c>
      <c r="AY126" s="16">
        <v>0</v>
      </c>
      <c r="AZ126" s="16">
        <v>8111</v>
      </c>
      <c r="BA126" s="16">
        <f>SUM(BB126+BF126+BI126+BK126+BM126)</f>
        <v>2662807</v>
      </c>
      <c r="BB126" s="16">
        <f>SUM(BC126:BE126)</f>
        <v>0</v>
      </c>
      <c r="BC126" s="16">
        <v>0</v>
      </c>
      <c r="BD126" s="16">
        <v>0</v>
      </c>
      <c r="BE126" s="16">
        <v>0</v>
      </c>
      <c r="BF126" s="16">
        <f t="shared" si="105"/>
        <v>0</v>
      </c>
      <c r="BG126" s="16">
        <v>0</v>
      </c>
      <c r="BH126" s="16">
        <v>0</v>
      </c>
      <c r="BI126" s="16">
        <v>0</v>
      </c>
      <c r="BJ126" s="16">
        <v>0</v>
      </c>
      <c r="BK126" s="16">
        <f t="shared" si="106"/>
        <v>0</v>
      </c>
      <c r="BL126" s="16">
        <v>0</v>
      </c>
      <c r="BM126" s="16">
        <f t="shared" si="107"/>
        <v>2662807</v>
      </c>
      <c r="BN126" s="16">
        <v>0</v>
      </c>
      <c r="BO126" s="16">
        <v>0</v>
      </c>
      <c r="BP126" s="16">
        <v>1067941</v>
      </c>
      <c r="BQ126" s="16">
        <v>0</v>
      </c>
      <c r="BR126" s="16">
        <v>0</v>
      </c>
      <c r="BS126" s="16">
        <v>0</v>
      </c>
      <c r="BT126" s="16">
        <v>0</v>
      </c>
      <c r="BU126" s="16">
        <v>0</v>
      </c>
      <c r="BV126" s="16">
        <v>0</v>
      </c>
      <c r="BW126" s="16">
        <v>1348678</v>
      </c>
      <c r="BX126" s="16">
        <v>246188</v>
      </c>
      <c r="BY126" s="16">
        <f>SUM(BZ126+CS126)</f>
        <v>175154</v>
      </c>
      <c r="BZ126" s="16">
        <f>SUM(CA126+CD126+CK126)</f>
        <v>175154</v>
      </c>
      <c r="CA126" s="16">
        <f t="shared" si="108"/>
        <v>175154</v>
      </c>
      <c r="CB126" s="16">
        <v>0</v>
      </c>
      <c r="CC126" s="16">
        <v>175154</v>
      </c>
      <c r="CD126" s="16">
        <f t="shared" si="109"/>
        <v>0</v>
      </c>
      <c r="CE126" s="16">
        <v>0</v>
      </c>
      <c r="CF126" s="16">
        <v>0</v>
      </c>
      <c r="CG126" s="16">
        <v>0</v>
      </c>
      <c r="CH126" s="16">
        <v>0</v>
      </c>
      <c r="CI126" s="16">
        <v>0</v>
      </c>
      <c r="CJ126" s="16">
        <v>0</v>
      </c>
      <c r="CK126" s="16">
        <f t="shared" si="110"/>
        <v>0</v>
      </c>
      <c r="CL126" s="16">
        <v>0</v>
      </c>
      <c r="CM126" s="16">
        <v>0</v>
      </c>
      <c r="CN126" s="16">
        <v>0</v>
      </c>
      <c r="CO126" s="16">
        <v>0</v>
      </c>
      <c r="CP126" s="16">
        <v>0</v>
      </c>
      <c r="CQ126" s="16">
        <v>0</v>
      </c>
      <c r="CR126" s="16">
        <v>0</v>
      </c>
      <c r="CS126" s="16">
        <v>0</v>
      </c>
      <c r="CT126" s="16">
        <f t="shared" si="111"/>
        <v>0</v>
      </c>
      <c r="CU126" s="16">
        <f t="shared" si="112"/>
        <v>0</v>
      </c>
      <c r="CV126" s="16">
        <v>0</v>
      </c>
      <c r="CW126" s="17">
        <v>0</v>
      </c>
      <c r="CX126" s="40"/>
    </row>
    <row r="127" spans="1:102" ht="31.5" hidden="1" x14ac:dyDescent="0.25">
      <c r="A127" s="13" t="s">
        <v>1</v>
      </c>
      <c r="B127" s="14" t="s">
        <v>1</v>
      </c>
      <c r="C127" s="14" t="s">
        <v>23</v>
      </c>
      <c r="D127" s="30" t="s">
        <v>156</v>
      </c>
      <c r="E127" s="15">
        <f>SUM(F127+BY127+CT127)</f>
        <v>91792438</v>
      </c>
      <c r="F127" s="16">
        <f>SUM(G127+BA127)</f>
        <v>86395682</v>
      </c>
      <c r="G127" s="16">
        <f>SUM(H127+I127+J127+Q127+T127+U127+V127+AE127)</f>
        <v>69528166</v>
      </c>
      <c r="H127" s="16">
        <f>51734559-349824</f>
        <v>51384735</v>
      </c>
      <c r="I127" s="16">
        <f>12074628-82971</f>
        <v>11991657</v>
      </c>
      <c r="J127" s="16">
        <f t="shared" si="103"/>
        <v>2005928</v>
      </c>
      <c r="K127" s="16">
        <v>0</v>
      </c>
      <c r="L127" s="16">
        <v>33748</v>
      </c>
      <c r="M127" s="16">
        <v>861679</v>
      </c>
      <c r="N127" s="16">
        <v>0</v>
      </c>
      <c r="O127" s="16">
        <v>952894</v>
      </c>
      <c r="P127" s="16">
        <f>145607+12000</f>
        <v>157607</v>
      </c>
      <c r="Q127" s="16">
        <f t="shared" si="104"/>
        <v>83394</v>
      </c>
      <c r="R127" s="16">
        <v>83394</v>
      </c>
      <c r="S127" s="16">
        <v>0</v>
      </c>
      <c r="T127" s="16">
        <v>0</v>
      </c>
      <c r="U127" s="16">
        <v>409263</v>
      </c>
      <c r="V127" s="16">
        <f>SUM(W127:AD127)</f>
        <v>1810166</v>
      </c>
      <c r="W127" s="16">
        <v>7019</v>
      </c>
      <c r="X127" s="16">
        <v>1343604</v>
      </c>
      <c r="Y127" s="16">
        <v>279667</v>
      </c>
      <c r="Z127" s="16">
        <v>94530</v>
      </c>
      <c r="AA127" s="16">
        <v>85346</v>
      </c>
      <c r="AB127" s="16">
        <v>0</v>
      </c>
      <c r="AC127" s="16">
        <v>0</v>
      </c>
      <c r="AD127" s="16">
        <v>0</v>
      </c>
      <c r="AE127" s="16">
        <f>SUM(AF127:AZ127)</f>
        <v>1843023</v>
      </c>
      <c r="AF127" s="16">
        <v>0</v>
      </c>
      <c r="AG127" s="16">
        <v>9922</v>
      </c>
      <c r="AH127" s="16">
        <v>704562</v>
      </c>
      <c r="AI127" s="16">
        <f>311509+30000</f>
        <v>341509</v>
      </c>
      <c r="AJ127" s="16">
        <v>121080</v>
      </c>
      <c r="AK127" s="16">
        <v>0</v>
      </c>
      <c r="AL127" s="16">
        <v>520579</v>
      </c>
      <c r="AM127" s="16">
        <v>13491</v>
      </c>
      <c r="AN127" s="16">
        <v>0</v>
      </c>
      <c r="AO127" s="16">
        <v>14841</v>
      </c>
      <c r="AP127" s="16"/>
      <c r="AQ127" s="16">
        <v>0</v>
      </c>
      <c r="AR127" s="16">
        <v>0</v>
      </c>
      <c r="AS127" s="16">
        <v>0</v>
      </c>
      <c r="AT127" s="16">
        <v>0</v>
      </c>
      <c r="AU127" s="16">
        <v>0</v>
      </c>
      <c r="AV127" s="16">
        <v>0</v>
      </c>
      <c r="AW127" s="16">
        <v>0</v>
      </c>
      <c r="AX127" s="16">
        <v>0</v>
      </c>
      <c r="AY127" s="16"/>
      <c r="AZ127" s="16">
        <v>117039</v>
      </c>
      <c r="BA127" s="16">
        <f>SUM(BB127+BF127+BI127+BK127+BM127)</f>
        <v>16867516</v>
      </c>
      <c r="BB127" s="16">
        <f>SUM(BC127:BE127)</f>
        <v>0</v>
      </c>
      <c r="BC127" s="16">
        <v>0</v>
      </c>
      <c r="BD127" s="16">
        <v>0</v>
      </c>
      <c r="BE127" s="16">
        <v>0</v>
      </c>
      <c r="BF127" s="16">
        <f t="shared" si="105"/>
        <v>0</v>
      </c>
      <c r="BG127" s="16">
        <v>0</v>
      </c>
      <c r="BH127" s="16">
        <v>0</v>
      </c>
      <c r="BI127" s="16">
        <v>0</v>
      </c>
      <c r="BJ127" s="16">
        <v>0</v>
      </c>
      <c r="BK127" s="16">
        <f t="shared" si="106"/>
        <v>0</v>
      </c>
      <c r="BL127" s="16">
        <v>0</v>
      </c>
      <c r="BM127" s="16">
        <f t="shared" si="107"/>
        <v>16867516</v>
      </c>
      <c r="BN127" s="16">
        <v>0</v>
      </c>
      <c r="BO127" s="16">
        <v>0</v>
      </c>
      <c r="BP127" s="16">
        <v>6747184</v>
      </c>
      <c r="BQ127" s="16">
        <v>0</v>
      </c>
      <c r="BR127" s="16">
        <v>0</v>
      </c>
      <c r="BS127" s="16">
        <v>0</v>
      </c>
      <c r="BT127" s="16">
        <v>0</v>
      </c>
      <c r="BU127" s="16">
        <v>0</v>
      </c>
      <c r="BV127" s="16">
        <v>0</v>
      </c>
      <c r="BW127" s="16">
        <v>10081992</v>
      </c>
      <c r="BX127" s="16">
        <v>38340</v>
      </c>
      <c r="BY127" s="16">
        <f>SUM(BZ127+CS127)</f>
        <v>5396756</v>
      </c>
      <c r="BZ127" s="16">
        <f>SUM(CA127+CD127+CK127)</f>
        <v>5396756</v>
      </c>
      <c r="CA127" s="16">
        <f t="shared" si="108"/>
        <v>5396756</v>
      </c>
      <c r="CB127" s="16">
        <v>0</v>
      </c>
      <c r="CC127" s="16">
        <f>1041159+4355597</f>
        <v>5396756</v>
      </c>
      <c r="CD127" s="16">
        <f t="shared" si="109"/>
        <v>0</v>
      </c>
      <c r="CE127" s="16">
        <v>0</v>
      </c>
      <c r="CF127" s="16">
        <v>0</v>
      </c>
      <c r="CG127" s="16">
        <v>0</v>
      </c>
      <c r="CH127" s="16">
        <v>0</v>
      </c>
      <c r="CI127" s="16">
        <v>0</v>
      </c>
      <c r="CJ127" s="16">
        <v>0</v>
      </c>
      <c r="CK127" s="16">
        <f t="shared" si="110"/>
        <v>0</v>
      </c>
      <c r="CL127" s="16">
        <v>0</v>
      </c>
      <c r="CM127" s="16">
        <v>0</v>
      </c>
      <c r="CN127" s="16">
        <v>0</v>
      </c>
      <c r="CO127" s="16">
        <v>0</v>
      </c>
      <c r="CP127" s="16">
        <v>0</v>
      </c>
      <c r="CQ127" s="16"/>
      <c r="CR127" s="16"/>
      <c r="CS127" s="16">
        <v>0</v>
      </c>
      <c r="CT127" s="16">
        <f t="shared" si="111"/>
        <v>0</v>
      </c>
      <c r="CU127" s="16">
        <f t="shared" si="112"/>
        <v>0</v>
      </c>
      <c r="CV127" s="16">
        <v>0</v>
      </c>
      <c r="CW127" s="17">
        <v>0</v>
      </c>
      <c r="CX127" s="40"/>
    </row>
    <row r="128" spans="1:102" ht="15.75" hidden="1" x14ac:dyDescent="0.25">
      <c r="A128" s="13" t="s">
        <v>1</v>
      </c>
      <c r="B128" s="14" t="s">
        <v>1</v>
      </c>
      <c r="C128" s="14" t="s">
        <v>31</v>
      </c>
      <c r="D128" s="30" t="s">
        <v>502</v>
      </c>
      <c r="E128" s="15">
        <f>SUM(F128+BY128+CT128)</f>
        <v>12926785</v>
      </c>
      <c r="F128" s="16">
        <f>SUM(G128+BA128)</f>
        <v>11427038</v>
      </c>
      <c r="G128" s="16">
        <f>SUM(H128+I128+J128+Q128+T128+U128+V128+AE128)</f>
        <v>11427038</v>
      </c>
      <c r="H128" s="16">
        <v>4487330</v>
      </c>
      <c r="I128" s="16">
        <v>1045421</v>
      </c>
      <c r="J128" s="16">
        <f t="shared" si="103"/>
        <v>3881818</v>
      </c>
      <c r="K128" s="16">
        <v>96314</v>
      </c>
      <c r="L128" s="16">
        <v>2920</v>
      </c>
      <c r="M128" s="16">
        <f>4928071-1410000</f>
        <v>3518071</v>
      </c>
      <c r="N128" s="16">
        <v>0</v>
      </c>
      <c r="O128" s="16">
        <v>82255</v>
      </c>
      <c r="P128" s="16">
        <v>182258</v>
      </c>
      <c r="Q128" s="16">
        <f t="shared" si="104"/>
        <v>36452</v>
      </c>
      <c r="R128" s="16">
        <v>36452</v>
      </c>
      <c r="S128" s="16">
        <v>0</v>
      </c>
      <c r="T128" s="16">
        <v>0</v>
      </c>
      <c r="U128" s="16">
        <v>23429</v>
      </c>
      <c r="V128" s="16">
        <f>SUM(W128:AD128)</f>
        <v>135596</v>
      </c>
      <c r="W128" s="16">
        <v>36452</v>
      </c>
      <c r="X128" s="16">
        <v>69088</v>
      </c>
      <c r="Y128" s="16">
        <v>5254</v>
      </c>
      <c r="Z128" s="16">
        <v>6022</v>
      </c>
      <c r="AA128" s="16">
        <v>18780</v>
      </c>
      <c r="AB128" s="16">
        <v>0</v>
      </c>
      <c r="AC128" s="16">
        <v>0</v>
      </c>
      <c r="AD128" s="16">
        <v>0</v>
      </c>
      <c r="AE128" s="16">
        <f>SUM(AF128:AZ128)</f>
        <v>1816992</v>
      </c>
      <c r="AF128" s="16">
        <v>0</v>
      </c>
      <c r="AG128" s="16">
        <v>36452</v>
      </c>
      <c r="AH128" s="16">
        <v>37474</v>
      </c>
      <c r="AI128" s="16">
        <v>6425</v>
      </c>
      <c r="AJ128" s="16">
        <v>7140</v>
      </c>
      <c r="AK128" s="16">
        <v>0</v>
      </c>
      <c r="AL128" s="16">
        <v>44873</v>
      </c>
      <c r="AM128" s="16">
        <v>3225</v>
      </c>
      <c r="AN128" s="16">
        <v>0</v>
      </c>
      <c r="AO128" s="16">
        <v>0</v>
      </c>
      <c r="AP128" s="16">
        <v>0</v>
      </c>
      <c r="AQ128" s="16">
        <v>0</v>
      </c>
      <c r="AR128" s="16">
        <v>15367</v>
      </c>
      <c r="AS128" s="16">
        <v>83800</v>
      </c>
      <c r="AT128" s="16">
        <v>0</v>
      </c>
      <c r="AU128" s="16">
        <v>0</v>
      </c>
      <c r="AV128" s="16">
        <v>0</v>
      </c>
      <c r="AW128" s="16">
        <v>0</v>
      </c>
      <c r="AX128" s="16">
        <v>0</v>
      </c>
      <c r="AY128" s="16">
        <v>0</v>
      </c>
      <c r="AZ128" s="16">
        <v>1582236</v>
      </c>
      <c r="BA128" s="16">
        <f>SUM(BB128+BF128+BI128+BK128+BM128)</f>
        <v>0</v>
      </c>
      <c r="BB128" s="16">
        <f>SUM(BC128:BE128)</f>
        <v>0</v>
      </c>
      <c r="BC128" s="16">
        <v>0</v>
      </c>
      <c r="BD128" s="16">
        <v>0</v>
      </c>
      <c r="BE128" s="16">
        <v>0</v>
      </c>
      <c r="BF128" s="16">
        <f t="shared" si="105"/>
        <v>0</v>
      </c>
      <c r="BG128" s="16">
        <v>0</v>
      </c>
      <c r="BH128" s="16">
        <v>0</v>
      </c>
      <c r="BI128" s="16">
        <v>0</v>
      </c>
      <c r="BJ128" s="16">
        <v>0</v>
      </c>
      <c r="BK128" s="16">
        <f t="shared" si="106"/>
        <v>0</v>
      </c>
      <c r="BL128" s="16">
        <v>0</v>
      </c>
      <c r="BM128" s="16">
        <f t="shared" si="107"/>
        <v>0</v>
      </c>
      <c r="BN128" s="16">
        <v>0</v>
      </c>
      <c r="BO128" s="16">
        <v>0</v>
      </c>
      <c r="BP128" s="16">
        <v>0</v>
      </c>
      <c r="BQ128" s="16">
        <v>0</v>
      </c>
      <c r="BR128" s="16">
        <v>0</v>
      </c>
      <c r="BS128" s="16">
        <v>0</v>
      </c>
      <c r="BT128" s="16">
        <v>0</v>
      </c>
      <c r="BU128" s="16">
        <v>0</v>
      </c>
      <c r="BV128" s="16">
        <v>0</v>
      </c>
      <c r="BW128" s="16">
        <v>0</v>
      </c>
      <c r="BX128" s="16">
        <v>0</v>
      </c>
      <c r="BY128" s="16">
        <f>SUM(BZ128+CS128)</f>
        <v>1499747</v>
      </c>
      <c r="BZ128" s="16">
        <f>SUM(CA128+CD128+CK128)</f>
        <v>1499747</v>
      </c>
      <c r="CA128" s="16">
        <f t="shared" si="108"/>
        <v>1499747</v>
      </c>
      <c r="CB128" s="16">
        <v>0</v>
      </c>
      <c r="CC128" s="16">
        <f>89747+1410000</f>
        <v>1499747</v>
      </c>
      <c r="CD128" s="16">
        <f t="shared" si="109"/>
        <v>0</v>
      </c>
      <c r="CE128" s="16">
        <v>0</v>
      </c>
      <c r="CF128" s="16">
        <v>0</v>
      </c>
      <c r="CG128" s="16">
        <v>0</v>
      </c>
      <c r="CH128" s="16">
        <v>0</v>
      </c>
      <c r="CI128" s="16">
        <v>0</v>
      </c>
      <c r="CJ128" s="16">
        <v>0</v>
      </c>
      <c r="CK128" s="16">
        <f t="shared" si="110"/>
        <v>0</v>
      </c>
      <c r="CL128" s="16">
        <v>0</v>
      </c>
      <c r="CM128" s="16">
        <v>0</v>
      </c>
      <c r="CN128" s="16">
        <v>0</v>
      </c>
      <c r="CO128" s="16">
        <v>0</v>
      </c>
      <c r="CP128" s="16">
        <v>0</v>
      </c>
      <c r="CQ128" s="16">
        <v>0</v>
      </c>
      <c r="CR128" s="16">
        <v>0</v>
      </c>
      <c r="CS128" s="16">
        <v>0</v>
      </c>
      <c r="CT128" s="16">
        <f t="shared" si="111"/>
        <v>0</v>
      </c>
      <c r="CU128" s="16">
        <f t="shared" si="112"/>
        <v>0</v>
      </c>
      <c r="CV128" s="16">
        <v>0</v>
      </c>
      <c r="CW128" s="17">
        <v>0</v>
      </c>
      <c r="CX128" s="40"/>
    </row>
    <row r="129" spans="1:102" ht="15.75" hidden="1" x14ac:dyDescent="0.25">
      <c r="A129" s="13" t="s">
        <v>111</v>
      </c>
      <c r="B129" s="14" t="s">
        <v>50</v>
      </c>
      <c r="C129" s="14" t="s">
        <v>1</v>
      </c>
      <c r="D129" s="30" t="s">
        <v>157</v>
      </c>
      <c r="E129" s="15">
        <f t="shared" ref="E129:AJ129" si="211">SUM(E130:E132)</f>
        <v>116726446</v>
      </c>
      <c r="F129" s="16">
        <f t="shared" si="211"/>
        <v>116096301</v>
      </c>
      <c r="G129" s="16">
        <f t="shared" si="211"/>
        <v>102736702</v>
      </c>
      <c r="H129" s="16">
        <f t="shared" si="211"/>
        <v>78527280</v>
      </c>
      <c r="I129" s="16">
        <f t="shared" si="211"/>
        <v>18412631</v>
      </c>
      <c r="J129" s="16">
        <f t="shared" si="211"/>
        <v>743978</v>
      </c>
      <c r="K129" s="16">
        <f t="shared" si="211"/>
        <v>0</v>
      </c>
      <c r="L129" s="16">
        <f t="shared" si="211"/>
        <v>25323</v>
      </c>
      <c r="M129" s="16">
        <f t="shared" si="211"/>
        <v>292880</v>
      </c>
      <c r="N129" s="16">
        <f t="shared" si="211"/>
        <v>0</v>
      </c>
      <c r="O129" s="16">
        <f t="shared" si="211"/>
        <v>376974</v>
      </c>
      <c r="P129" s="16">
        <f t="shared" si="211"/>
        <v>48801</v>
      </c>
      <c r="Q129" s="16">
        <f t="shared" si="211"/>
        <v>18453</v>
      </c>
      <c r="R129" s="16">
        <f t="shared" si="211"/>
        <v>18453</v>
      </c>
      <c r="S129" s="16">
        <f t="shared" si="211"/>
        <v>0</v>
      </c>
      <c r="T129" s="16">
        <f t="shared" si="211"/>
        <v>0</v>
      </c>
      <c r="U129" s="16">
        <f t="shared" si="211"/>
        <v>324739</v>
      </c>
      <c r="V129" s="16">
        <f t="shared" si="211"/>
        <v>2315093</v>
      </c>
      <c r="W129" s="16">
        <f t="shared" si="211"/>
        <v>1142511</v>
      </c>
      <c r="X129" s="16">
        <f t="shared" si="211"/>
        <v>640056</v>
      </c>
      <c r="Y129" s="16">
        <f t="shared" si="211"/>
        <v>220347</v>
      </c>
      <c r="Z129" s="16">
        <f t="shared" si="211"/>
        <v>100413</v>
      </c>
      <c r="AA129" s="16">
        <f t="shared" si="211"/>
        <v>136920</v>
      </c>
      <c r="AB129" s="16">
        <f t="shared" si="211"/>
        <v>74697</v>
      </c>
      <c r="AC129" s="16">
        <f t="shared" si="211"/>
        <v>0</v>
      </c>
      <c r="AD129" s="16">
        <f t="shared" ref="AD129" si="212">SUM(AD130:AD132)</f>
        <v>149</v>
      </c>
      <c r="AE129" s="16">
        <f t="shared" si="211"/>
        <v>2394528</v>
      </c>
      <c r="AF129" s="16">
        <f t="shared" si="211"/>
        <v>0</v>
      </c>
      <c r="AG129" s="16">
        <f t="shared" si="211"/>
        <v>14500</v>
      </c>
      <c r="AH129" s="16">
        <f t="shared" si="211"/>
        <v>259042</v>
      </c>
      <c r="AI129" s="16">
        <f t="shared" si="211"/>
        <v>601157</v>
      </c>
      <c r="AJ129" s="16">
        <f t="shared" si="211"/>
        <v>125728</v>
      </c>
      <c r="AK129" s="16">
        <f t="shared" ref="AK129:BR129" si="213">SUM(AK130:AK132)</f>
        <v>0</v>
      </c>
      <c r="AL129" s="16">
        <f t="shared" si="213"/>
        <v>840192</v>
      </c>
      <c r="AM129" s="16">
        <f t="shared" si="213"/>
        <v>473177</v>
      </c>
      <c r="AN129" s="16">
        <f t="shared" si="213"/>
        <v>0</v>
      </c>
      <c r="AO129" s="16">
        <f t="shared" si="213"/>
        <v>17292</v>
      </c>
      <c r="AP129" s="16">
        <f>SUM(AP130:AP132)</f>
        <v>0</v>
      </c>
      <c r="AQ129" s="16">
        <f t="shared" si="213"/>
        <v>0</v>
      </c>
      <c r="AR129" s="16">
        <f t="shared" si="213"/>
        <v>0</v>
      </c>
      <c r="AS129" s="16">
        <f t="shared" si="213"/>
        <v>39852</v>
      </c>
      <c r="AT129" s="16">
        <f t="shared" si="213"/>
        <v>0</v>
      </c>
      <c r="AU129" s="16">
        <f t="shared" si="213"/>
        <v>0</v>
      </c>
      <c r="AV129" s="16">
        <f t="shared" si="213"/>
        <v>0</v>
      </c>
      <c r="AW129" s="16">
        <f t="shared" si="213"/>
        <v>0</v>
      </c>
      <c r="AX129" s="16">
        <f t="shared" si="213"/>
        <v>0</v>
      </c>
      <c r="AY129" s="16">
        <f t="shared" si="213"/>
        <v>0</v>
      </c>
      <c r="AZ129" s="16">
        <f t="shared" si="213"/>
        <v>23588</v>
      </c>
      <c r="BA129" s="16">
        <f t="shared" si="213"/>
        <v>13359599</v>
      </c>
      <c r="BB129" s="16">
        <f t="shared" si="213"/>
        <v>0</v>
      </c>
      <c r="BC129" s="16">
        <f t="shared" si="213"/>
        <v>0</v>
      </c>
      <c r="BD129" s="16">
        <f t="shared" si="213"/>
        <v>0</v>
      </c>
      <c r="BE129" s="16">
        <f t="shared" si="213"/>
        <v>0</v>
      </c>
      <c r="BF129" s="16">
        <f t="shared" si="213"/>
        <v>0</v>
      </c>
      <c r="BG129" s="16">
        <f t="shared" si="213"/>
        <v>0</v>
      </c>
      <c r="BH129" s="16">
        <f t="shared" si="213"/>
        <v>0</v>
      </c>
      <c r="BI129" s="16">
        <f t="shared" si="213"/>
        <v>0</v>
      </c>
      <c r="BJ129" s="16">
        <f t="shared" si="213"/>
        <v>0</v>
      </c>
      <c r="BK129" s="16">
        <f t="shared" si="213"/>
        <v>0</v>
      </c>
      <c r="BL129" s="16">
        <f t="shared" si="213"/>
        <v>0</v>
      </c>
      <c r="BM129" s="16">
        <f t="shared" si="213"/>
        <v>13359599</v>
      </c>
      <c r="BN129" s="16">
        <f t="shared" si="213"/>
        <v>0</v>
      </c>
      <c r="BO129" s="16">
        <f t="shared" si="213"/>
        <v>0</v>
      </c>
      <c r="BP129" s="16">
        <f t="shared" si="213"/>
        <v>8153503</v>
      </c>
      <c r="BQ129" s="16">
        <f t="shared" si="213"/>
        <v>0</v>
      </c>
      <c r="BR129" s="16">
        <f t="shared" si="213"/>
        <v>0</v>
      </c>
      <c r="BS129" s="16">
        <f t="shared" ref="BS129:CW129" si="214">SUM(BS130:BS132)</f>
        <v>0</v>
      </c>
      <c r="BT129" s="16">
        <f t="shared" si="214"/>
        <v>0</v>
      </c>
      <c r="BU129" s="16">
        <f t="shared" si="214"/>
        <v>0</v>
      </c>
      <c r="BV129" s="16">
        <f t="shared" si="214"/>
        <v>0</v>
      </c>
      <c r="BW129" s="16">
        <f t="shared" si="214"/>
        <v>4453147</v>
      </c>
      <c r="BX129" s="16">
        <f t="shared" si="214"/>
        <v>752949</v>
      </c>
      <c r="BY129" s="16">
        <f t="shared" si="214"/>
        <v>630145</v>
      </c>
      <c r="BZ129" s="16">
        <f t="shared" si="214"/>
        <v>630145</v>
      </c>
      <c r="CA129" s="16">
        <f t="shared" si="214"/>
        <v>630145</v>
      </c>
      <c r="CB129" s="16">
        <f t="shared" si="214"/>
        <v>0</v>
      </c>
      <c r="CC129" s="16">
        <f t="shared" si="214"/>
        <v>630145</v>
      </c>
      <c r="CD129" s="16">
        <f t="shared" si="214"/>
        <v>0</v>
      </c>
      <c r="CE129" s="16">
        <f t="shared" si="214"/>
        <v>0</v>
      </c>
      <c r="CF129" s="16">
        <f t="shared" si="214"/>
        <v>0</v>
      </c>
      <c r="CG129" s="16">
        <f t="shared" si="214"/>
        <v>0</v>
      </c>
      <c r="CH129" s="16">
        <f t="shared" si="214"/>
        <v>0</v>
      </c>
      <c r="CI129" s="16">
        <f t="shared" si="214"/>
        <v>0</v>
      </c>
      <c r="CJ129" s="16">
        <f t="shared" ref="CJ129" si="215">SUM(CJ130:CJ132)</f>
        <v>0</v>
      </c>
      <c r="CK129" s="16">
        <f t="shared" si="214"/>
        <v>0</v>
      </c>
      <c r="CL129" s="16">
        <f t="shared" si="214"/>
        <v>0</v>
      </c>
      <c r="CM129" s="16">
        <f t="shared" si="214"/>
        <v>0</v>
      </c>
      <c r="CN129" s="16">
        <f t="shared" si="214"/>
        <v>0</v>
      </c>
      <c r="CO129" s="16">
        <f t="shared" si="214"/>
        <v>0</v>
      </c>
      <c r="CP129" s="16">
        <f t="shared" si="214"/>
        <v>0</v>
      </c>
      <c r="CQ129" s="16">
        <f t="shared" si="214"/>
        <v>0</v>
      </c>
      <c r="CR129" s="16">
        <f t="shared" si="214"/>
        <v>0</v>
      </c>
      <c r="CS129" s="16">
        <f t="shared" si="214"/>
        <v>0</v>
      </c>
      <c r="CT129" s="16">
        <f t="shared" si="214"/>
        <v>0</v>
      </c>
      <c r="CU129" s="16">
        <f t="shared" si="214"/>
        <v>0</v>
      </c>
      <c r="CV129" s="16">
        <f t="shared" si="214"/>
        <v>0</v>
      </c>
      <c r="CW129" s="17">
        <f t="shared" si="214"/>
        <v>0</v>
      </c>
      <c r="CX129" s="40"/>
    </row>
    <row r="130" spans="1:102" ht="15.75" hidden="1" x14ac:dyDescent="0.25">
      <c r="A130" s="13" t="s">
        <v>1</v>
      </c>
      <c r="B130" s="14" t="s">
        <v>1</v>
      </c>
      <c r="C130" s="14" t="s">
        <v>23</v>
      </c>
      <c r="D130" s="30" t="s">
        <v>158</v>
      </c>
      <c r="E130" s="15">
        <f>SUM(F130+BY130+CT130)</f>
        <v>187986</v>
      </c>
      <c r="F130" s="16">
        <f>SUM(G130+BA130)</f>
        <v>187986</v>
      </c>
      <c r="G130" s="16">
        <f>SUM(H130+I130+J130+Q130+T130+U130+V130+AE130)</f>
        <v>0</v>
      </c>
      <c r="H130" s="16">
        <v>0</v>
      </c>
      <c r="I130" s="16">
        <v>0</v>
      </c>
      <c r="J130" s="16">
        <f t="shared" si="103"/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f t="shared" si="104"/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f>SUM(W130:AD130)</f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f>SUM(AF130:AZ130)</f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0</v>
      </c>
      <c r="AV130" s="16">
        <v>0</v>
      </c>
      <c r="AW130" s="16">
        <v>0</v>
      </c>
      <c r="AX130" s="16">
        <v>0</v>
      </c>
      <c r="AY130" s="16">
        <v>0</v>
      </c>
      <c r="AZ130" s="16">
        <v>0</v>
      </c>
      <c r="BA130" s="16">
        <f>SUM(BB130+BF130+BI130+BK130+BM130)</f>
        <v>187986</v>
      </c>
      <c r="BB130" s="16">
        <f>SUM(BC130:BE130)</f>
        <v>0</v>
      </c>
      <c r="BC130" s="16">
        <v>0</v>
      </c>
      <c r="BD130" s="16">
        <v>0</v>
      </c>
      <c r="BE130" s="16">
        <v>0</v>
      </c>
      <c r="BF130" s="16">
        <f t="shared" si="105"/>
        <v>0</v>
      </c>
      <c r="BG130" s="16">
        <v>0</v>
      </c>
      <c r="BH130" s="16">
        <v>0</v>
      </c>
      <c r="BI130" s="16">
        <v>0</v>
      </c>
      <c r="BJ130" s="16">
        <v>0</v>
      </c>
      <c r="BK130" s="16">
        <f t="shared" si="106"/>
        <v>0</v>
      </c>
      <c r="BL130" s="16">
        <v>0</v>
      </c>
      <c r="BM130" s="16">
        <f t="shared" si="107"/>
        <v>187986</v>
      </c>
      <c r="BN130" s="16">
        <v>0</v>
      </c>
      <c r="BO130" s="16">
        <v>0</v>
      </c>
      <c r="BP130" s="16">
        <v>187986</v>
      </c>
      <c r="BQ130" s="16">
        <v>0</v>
      </c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  <c r="BW130" s="16">
        <v>0</v>
      </c>
      <c r="BX130" s="16">
        <v>0</v>
      </c>
      <c r="BY130" s="16">
        <f>SUM(BZ130+CS130)</f>
        <v>0</v>
      </c>
      <c r="BZ130" s="16">
        <f>SUM(CA130+CD130+CK130)</f>
        <v>0</v>
      </c>
      <c r="CA130" s="16">
        <f t="shared" si="108"/>
        <v>0</v>
      </c>
      <c r="CB130" s="16">
        <v>0</v>
      </c>
      <c r="CC130" s="16">
        <v>0</v>
      </c>
      <c r="CD130" s="16">
        <f t="shared" si="109"/>
        <v>0</v>
      </c>
      <c r="CE130" s="16">
        <v>0</v>
      </c>
      <c r="CF130" s="16">
        <v>0</v>
      </c>
      <c r="CG130" s="16">
        <v>0</v>
      </c>
      <c r="CH130" s="16">
        <v>0</v>
      </c>
      <c r="CI130" s="16">
        <v>0</v>
      </c>
      <c r="CJ130" s="16">
        <v>0</v>
      </c>
      <c r="CK130" s="16">
        <f t="shared" si="110"/>
        <v>0</v>
      </c>
      <c r="CL130" s="16">
        <v>0</v>
      </c>
      <c r="CM130" s="16">
        <v>0</v>
      </c>
      <c r="CN130" s="16">
        <v>0</v>
      </c>
      <c r="CO130" s="16">
        <v>0</v>
      </c>
      <c r="CP130" s="16">
        <v>0</v>
      </c>
      <c r="CQ130" s="16">
        <v>0</v>
      </c>
      <c r="CR130" s="16">
        <v>0</v>
      </c>
      <c r="CS130" s="16">
        <v>0</v>
      </c>
      <c r="CT130" s="16">
        <f t="shared" si="111"/>
        <v>0</v>
      </c>
      <c r="CU130" s="16">
        <f t="shared" si="112"/>
        <v>0</v>
      </c>
      <c r="CV130" s="16">
        <v>0</v>
      </c>
      <c r="CW130" s="17">
        <v>0</v>
      </c>
      <c r="CX130" s="40"/>
    </row>
    <row r="131" spans="1:102" ht="15.75" hidden="1" x14ac:dyDescent="0.25">
      <c r="A131" s="13" t="s">
        <v>1</v>
      </c>
      <c r="B131" s="14" t="s">
        <v>1</v>
      </c>
      <c r="C131" s="14" t="s">
        <v>122</v>
      </c>
      <c r="D131" s="30" t="s">
        <v>159</v>
      </c>
      <c r="E131" s="15">
        <f>SUM(F131+BY131+CT131)</f>
        <v>102809728</v>
      </c>
      <c r="F131" s="16">
        <f>SUM(G131+BA131)</f>
        <v>102404064</v>
      </c>
      <c r="G131" s="16">
        <f>SUM(H131+I131+J131+Q131+T131+U131+V131+AE131)</f>
        <v>90147251</v>
      </c>
      <c r="H131" s="16">
        <f>69377949-581106</f>
        <v>68796843</v>
      </c>
      <c r="I131" s="16">
        <f>16177313-97680</f>
        <v>16079633</v>
      </c>
      <c r="J131" s="16">
        <f t="shared" si="103"/>
        <v>641825</v>
      </c>
      <c r="K131" s="16">
        <v>0</v>
      </c>
      <c r="L131" s="16">
        <v>22736</v>
      </c>
      <c r="M131" s="16">
        <f>318932-26052</f>
        <v>292880</v>
      </c>
      <c r="N131" s="16">
        <v>0</v>
      </c>
      <c r="O131" s="16">
        <v>306528</v>
      </c>
      <c r="P131" s="16">
        <v>19681</v>
      </c>
      <c r="Q131" s="16">
        <f t="shared" si="104"/>
        <v>18453</v>
      </c>
      <c r="R131" s="16">
        <f>20086-1633</f>
        <v>18453</v>
      </c>
      <c r="S131" s="16">
        <v>0</v>
      </c>
      <c r="T131" s="16">
        <v>0</v>
      </c>
      <c r="U131" s="16">
        <v>285497</v>
      </c>
      <c r="V131" s="16">
        <f>SUM(W131:AD131)</f>
        <v>2209799</v>
      </c>
      <c r="W131" s="16">
        <v>1138547</v>
      </c>
      <c r="X131" s="16">
        <v>566845</v>
      </c>
      <c r="Y131" s="16">
        <v>204352</v>
      </c>
      <c r="Z131" s="16">
        <v>95529</v>
      </c>
      <c r="AA131" s="16">
        <v>129680</v>
      </c>
      <c r="AB131" s="16">
        <v>74697</v>
      </c>
      <c r="AC131" s="16">
        <v>0</v>
      </c>
      <c r="AD131" s="16">
        <v>149</v>
      </c>
      <c r="AE131" s="16">
        <f>SUM(AF131:AZ131)</f>
        <v>2115201</v>
      </c>
      <c r="AF131" s="16">
        <v>0</v>
      </c>
      <c r="AG131" s="16">
        <v>0</v>
      </c>
      <c r="AH131" s="16">
        <v>204325</v>
      </c>
      <c r="AI131" s="16">
        <v>573358</v>
      </c>
      <c r="AJ131" s="16">
        <v>115817</v>
      </c>
      <c r="AK131" s="16">
        <v>0</v>
      </c>
      <c r="AL131" s="16">
        <v>727952</v>
      </c>
      <c r="AM131" s="16">
        <v>468977</v>
      </c>
      <c r="AN131" s="16">
        <v>0</v>
      </c>
      <c r="AO131" s="16">
        <v>17292</v>
      </c>
      <c r="AP131" s="16"/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/>
      <c r="AZ131" s="16">
        <v>7480</v>
      </c>
      <c r="BA131" s="16">
        <f>SUM(BB131+BF131+BI131+BK131+BM131)</f>
        <v>12256813</v>
      </c>
      <c r="BB131" s="16">
        <f>SUM(BC131:BE131)</f>
        <v>0</v>
      </c>
      <c r="BC131" s="16">
        <v>0</v>
      </c>
      <c r="BD131" s="16">
        <v>0</v>
      </c>
      <c r="BE131" s="16">
        <v>0</v>
      </c>
      <c r="BF131" s="16">
        <f t="shared" si="105"/>
        <v>0</v>
      </c>
      <c r="BG131" s="16">
        <v>0</v>
      </c>
      <c r="BH131" s="16">
        <v>0</v>
      </c>
      <c r="BI131" s="16">
        <v>0</v>
      </c>
      <c r="BJ131" s="16">
        <v>0</v>
      </c>
      <c r="BK131" s="16">
        <f t="shared" si="106"/>
        <v>0</v>
      </c>
      <c r="BL131" s="16">
        <v>0</v>
      </c>
      <c r="BM131" s="16">
        <f t="shared" si="107"/>
        <v>12256813</v>
      </c>
      <c r="BN131" s="16">
        <v>0</v>
      </c>
      <c r="BO131" s="16">
        <v>0</v>
      </c>
      <c r="BP131" s="16">
        <f>7680014-363194</f>
        <v>7316820</v>
      </c>
      <c r="BQ131" s="16">
        <v>0</v>
      </c>
      <c r="BR131" s="16">
        <v>0</v>
      </c>
      <c r="BS131" s="16">
        <v>0</v>
      </c>
      <c r="BT131" s="16">
        <v>0</v>
      </c>
      <c r="BU131" s="16">
        <v>0</v>
      </c>
      <c r="BV131" s="16">
        <v>0</v>
      </c>
      <c r="BW131" s="16">
        <v>4187044</v>
      </c>
      <c r="BX131" s="16">
        <v>752949</v>
      </c>
      <c r="BY131" s="16">
        <f>SUM(BZ131+CS131)</f>
        <v>405664</v>
      </c>
      <c r="BZ131" s="16">
        <f>SUM(CA131+CD131+CK131)</f>
        <v>405664</v>
      </c>
      <c r="CA131" s="16">
        <f t="shared" si="108"/>
        <v>405664</v>
      </c>
      <c r="CB131" s="16">
        <v>0</v>
      </c>
      <c r="CC131" s="16">
        <v>405664</v>
      </c>
      <c r="CD131" s="16">
        <f t="shared" si="109"/>
        <v>0</v>
      </c>
      <c r="CE131" s="16">
        <v>0</v>
      </c>
      <c r="CF131" s="16">
        <v>0</v>
      </c>
      <c r="CG131" s="16">
        <v>0</v>
      </c>
      <c r="CH131" s="16">
        <v>0</v>
      </c>
      <c r="CI131" s="16">
        <v>0</v>
      </c>
      <c r="CJ131" s="16">
        <v>0</v>
      </c>
      <c r="CK131" s="16">
        <f t="shared" si="110"/>
        <v>0</v>
      </c>
      <c r="CL131" s="16">
        <v>0</v>
      </c>
      <c r="CM131" s="16">
        <v>0</v>
      </c>
      <c r="CN131" s="16">
        <v>0</v>
      </c>
      <c r="CO131" s="16">
        <v>0</v>
      </c>
      <c r="CP131" s="16">
        <v>0</v>
      </c>
      <c r="CQ131" s="16"/>
      <c r="CR131" s="16"/>
      <c r="CS131" s="16">
        <v>0</v>
      </c>
      <c r="CT131" s="16">
        <f t="shared" si="111"/>
        <v>0</v>
      </c>
      <c r="CU131" s="16">
        <f t="shared" si="112"/>
        <v>0</v>
      </c>
      <c r="CV131" s="16">
        <v>0</v>
      </c>
      <c r="CW131" s="17">
        <v>0</v>
      </c>
      <c r="CX131" s="40"/>
    </row>
    <row r="132" spans="1:102" ht="15.75" hidden="1" x14ac:dyDescent="0.25">
      <c r="A132" s="13" t="s">
        <v>1</v>
      </c>
      <c r="B132" s="14" t="s">
        <v>1</v>
      </c>
      <c r="C132" s="14" t="s">
        <v>33</v>
      </c>
      <c r="D132" s="30" t="s">
        <v>160</v>
      </c>
      <c r="E132" s="15">
        <f>SUM(F132+BY132+CT132)</f>
        <v>13728732</v>
      </c>
      <c r="F132" s="16">
        <f>SUM(G132+BA132)</f>
        <v>13504251</v>
      </c>
      <c r="G132" s="16">
        <f>SUM(H132+I132+J132+Q132+T132+U132+V132+AE132)</f>
        <v>12589451</v>
      </c>
      <c r="H132" s="16">
        <f>10079084-20028-328619</f>
        <v>9730437</v>
      </c>
      <c r="I132" s="16">
        <f>2375325-5007-37320</f>
        <v>2332998</v>
      </c>
      <c r="J132" s="16">
        <f t="shared" si="103"/>
        <v>102153</v>
      </c>
      <c r="K132" s="16">
        <v>0</v>
      </c>
      <c r="L132" s="16">
        <v>2587</v>
      </c>
      <c r="M132" s="16">
        <v>0</v>
      </c>
      <c r="N132" s="16">
        <v>0</v>
      </c>
      <c r="O132" s="16">
        <f>72022-1576</f>
        <v>70446</v>
      </c>
      <c r="P132" s="16">
        <f>32000-2880</f>
        <v>29120</v>
      </c>
      <c r="Q132" s="16">
        <f t="shared" si="104"/>
        <v>0</v>
      </c>
      <c r="R132" s="16">
        <v>0</v>
      </c>
      <c r="S132" s="16">
        <v>0</v>
      </c>
      <c r="T132" s="16">
        <v>0</v>
      </c>
      <c r="U132" s="16">
        <v>39242</v>
      </c>
      <c r="V132" s="16">
        <f>SUM(W132:AD132)</f>
        <v>105294</v>
      </c>
      <c r="W132" s="16">
        <v>3964</v>
      </c>
      <c r="X132" s="16">
        <f>73512-301</f>
        <v>73211</v>
      </c>
      <c r="Y132" s="16">
        <v>15995</v>
      </c>
      <c r="Z132" s="16">
        <v>4884</v>
      </c>
      <c r="AA132" s="16">
        <v>7240</v>
      </c>
      <c r="AB132" s="16">
        <v>0</v>
      </c>
      <c r="AC132" s="16">
        <v>0</v>
      </c>
      <c r="AD132" s="16">
        <v>0</v>
      </c>
      <c r="AE132" s="16">
        <f>SUM(AF132:AZ132)</f>
        <v>279327</v>
      </c>
      <c r="AF132" s="16">
        <v>0</v>
      </c>
      <c r="AG132" s="16">
        <v>14500</v>
      </c>
      <c r="AH132" s="16">
        <v>54717</v>
      </c>
      <c r="AI132" s="16">
        <v>27799</v>
      </c>
      <c r="AJ132" s="16">
        <v>9911</v>
      </c>
      <c r="AK132" s="16">
        <v>0</v>
      </c>
      <c r="AL132" s="16">
        <v>112240</v>
      </c>
      <c r="AM132" s="16">
        <v>4200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f>39852</f>
        <v>39852</v>
      </c>
      <c r="AT132" s="16">
        <f>0</f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16108</v>
      </c>
      <c r="BA132" s="16">
        <f>SUM(BB132+BF132+BI132+BK132+BM132)</f>
        <v>914800</v>
      </c>
      <c r="BB132" s="16">
        <f>SUM(BC132:BE132)</f>
        <v>0</v>
      </c>
      <c r="BC132" s="16">
        <v>0</v>
      </c>
      <c r="BD132" s="16">
        <v>0</v>
      </c>
      <c r="BE132" s="16">
        <v>0</v>
      </c>
      <c r="BF132" s="16">
        <f t="shared" si="105"/>
        <v>0</v>
      </c>
      <c r="BG132" s="16">
        <v>0</v>
      </c>
      <c r="BH132" s="16">
        <v>0</v>
      </c>
      <c r="BI132" s="16">
        <v>0</v>
      </c>
      <c r="BJ132" s="16">
        <v>0</v>
      </c>
      <c r="BK132" s="16">
        <f t="shared" si="106"/>
        <v>0</v>
      </c>
      <c r="BL132" s="16">
        <v>0</v>
      </c>
      <c r="BM132" s="16">
        <f t="shared" si="107"/>
        <v>914800</v>
      </c>
      <c r="BN132" s="16">
        <v>0</v>
      </c>
      <c r="BO132" s="16">
        <v>0</v>
      </c>
      <c r="BP132" s="16">
        <v>648697</v>
      </c>
      <c r="BQ132" s="16">
        <v>0</v>
      </c>
      <c r="BR132" s="16">
        <v>0</v>
      </c>
      <c r="BS132" s="16">
        <v>0</v>
      </c>
      <c r="BT132" s="16">
        <v>0</v>
      </c>
      <c r="BU132" s="16">
        <v>0</v>
      </c>
      <c r="BV132" s="16">
        <v>0</v>
      </c>
      <c r="BW132" s="16">
        <v>266103</v>
      </c>
      <c r="BX132" s="16">
        <v>0</v>
      </c>
      <c r="BY132" s="16">
        <f>SUM(BZ132+CS132)</f>
        <v>224481</v>
      </c>
      <c r="BZ132" s="16">
        <f>SUM(CA132+CD132+CK132)</f>
        <v>224481</v>
      </c>
      <c r="CA132" s="16">
        <f t="shared" si="108"/>
        <v>224481</v>
      </c>
      <c r="CB132" s="16">
        <v>0</v>
      </c>
      <c r="CC132" s="16">
        <v>224481</v>
      </c>
      <c r="CD132" s="16">
        <f t="shared" si="109"/>
        <v>0</v>
      </c>
      <c r="CE132" s="16">
        <v>0</v>
      </c>
      <c r="CF132" s="16">
        <v>0</v>
      </c>
      <c r="CG132" s="16">
        <v>0</v>
      </c>
      <c r="CH132" s="16">
        <v>0</v>
      </c>
      <c r="CI132" s="16">
        <v>0</v>
      </c>
      <c r="CJ132" s="16">
        <v>0</v>
      </c>
      <c r="CK132" s="16">
        <f t="shared" si="110"/>
        <v>0</v>
      </c>
      <c r="CL132" s="16">
        <v>0</v>
      </c>
      <c r="CM132" s="16">
        <v>0</v>
      </c>
      <c r="CN132" s="16">
        <v>0</v>
      </c>
      <c r="CO132" s="16">
        <v>0</v>
      </c>
      <c r="CP132" s="16">
        <v>0</v>
      </c>
      <c r="CQ132" s="16">
        <v>0</v>
      </c>
      <c r="CR132" s="16">
        <v>0</v>
      </c>
      <c r="CS132" s="16">
        <v>0</v>
      </c>
      <c r="CT132" s="16">
        <f t="shared" si="111"/>
        <v>0</v>
      </c>
      <c r="CU132" s="16">
        <f t="shared" si="112"/>
        <v>0</v>
      </c>
      <c r="CV132" s="16">
        <v>0</v>
      </c>
      <c r="CW132" s="17">
        <v>0</v>
      </c>
      <c r="CX132" s="40"/>
    </row>
    <row r="133" spans="1:102" ht="31.5" hidden="1" x14ac:dyDescent="0.25">
      <c r="A133" s="13" t="s">
        <v>111</v>
      </c>
      <c r="B133" s="14" t="s">
        <v>100</v>
      </c>
      <c r="C133" s="14" t="s">
        <v>1</v>
      </c>
      <c r="D133" s="30" t="s">
        <v>161</v>
      </c>
      <c r="E133" s="15">
        <f>SUM(E134)</f>
        <v>3471060</v>
      </c>
      <c r="F133" s="16">
        <f t="shared" ref="F133:BS133" si="216">SUM(F134)</f>
        <v>3417083</v>
      </c>
      <c r="G133" s="16">
        <f t="shared" si="216"/>
        <v>3417083</v>
      </c>
      <c r="H133" s="16">
        <f t="shared" si="216"/>
        <v>2698873</v>
      </c>
      <c r="I133" s="16">
        <f t="shared" si="216"/>
        <v>603681</v>
      </c>
      <c r="J133" s="16">
        <f t="shared" si="216"/>
        <v>17933</v>
      </c>
      <c r="K133" s="16">
        <f t="shared" si="216"/>
        <v>0</v>
      </c>
      <c r="L133" s="16">
        <f t="shared" si="216"/>
        <v>0</v>
      </c>
      <c r="M133" s="16">
        <f t="shared" si="216"/>
        <v>0</v>
      </c>
      <c r="N133" s="16">
        <f t="shared" si="216"/>
        <v>0</v>
      </c>
      <c r="O133" s="16">
        <f t="shared" si="216"/>
        <v>13684</v>
      </c>
      <c r="P133" s="16">
        <f t="shared" si="216"/>
        <v>4249</v>
      </c>
      <c r="Q133" s="16">
        <f t="shared" si="216"/>
        <v>400</v>
      </c>
      <c r="R133" s="16">
        <f t="shared" si="216"/>
        <v>400</v>
      </c>
      <c r="S133" s="16">
        <f t="shared" si="216"/>
        <v>0</v>
      </c>
      <c r="T133" s="16">
        <f t="shared" si="216"/>
        <v>0</v>
      </c>
      <c r="U133" s="16">
        <f t="shared" si="216"/>
        <v>28743</v>
      </c>
      <c r="V133" s="16">
        <f t="shared" si="216"/>
        <v>28443</v>
      </c>
      <c r="W133" s="16">
        <f t="shared" si="216"/>
        <v>0</v>
      </c>
      <c r="X133" s="16">
        <f t="shared" si="216"/>
        <v>20941</v>
      </c>
      <c r="Y133" s="16">
        <f t="shared" si="216"/>
        <v>3685</v>
      </c>
      <c r="Z133" s="16">
        <f t="shared" si="216"/>
        <v>2312</v>
      </c>
      <c r="AA133" s="16">
        <f t="shared" si="216"/>
        <v>1505</v>
      </c>
      <c r="AB133" s="16">
        <f t="shared" si="216"/>
        <v>0</v>
      </c>
      <c r="AC133" s="16">
        <f t="shared" si="216"/>
        <v>0</v>
      </c>
      <c r="AD133" s="16">
        <f t="shared" si="216"/>
        <v>0</v>
      </c>
      <c r="AE133" s="16">
        <f t="shared" si="216"/>
        <v>39010</v>
      </c>
      <c r="AF133" s="16">
        <f t="shared" si="216"/>
        <v>0</v>
      </c>
      <c r="AG133" s="16">
        <f t="shared" si="216"/>
        <v>0</v>
      </c>
      <c r="AH133" s="16">
        <f t="shared" si="216"/>
        <v>10430</v>
      </c>
      <c r="AI133" s="16">
        <f t="shared" si="216"/>
        <v>0</v>
      </c>
      <c r="AJ133" s="16">
        <f t="shared" si="216"/>
        <v>1591</v>
      </c>
      <c r="AK133" s="16">
        <f t="shared" si="216"/>
        <v>0</v>
      </c>
      <c r="AL133" s="16">
        <f t="shared" si="216"/>
        <v>26989</v>
      </c>
      <c r="AM133" s="16">
        <f t="shared" si="216"/>
        <v>0</v>
      </c>
      <c r="AN133" s="16">
        <f t="shared" si="216"/>
        <v>0</v>
      </c>
      <c r="AO133" s="16">
        <f t="shared" si="216"/>
        <v>0</v>
      </c>
      <c r="AP133" s="16">
        <f t="shared" si="216"/>
        <v>0</v>
      </c>
      <c r="AQ133" s="16">
        <f t="shared" si="216"/>
        <v>0</v>
      </c>
      <c r="AR133" s="16">
        <f t="shared" si="216"/>
        <v>0</v>
      </c>
      <c r="AS133" s="16">
        <f t="shared" si="216"/>
        <v>0</v>
      </c>
      <c r="AT133" s="16">
        <f t="shared" si="216"/>
        <v>0</v>
      </c>
      <c r="AU133" s="16">
        <f t="shared" si="216"/>
        <v>0</v>
      </c>
      <c r="AV133" s="16">
        <f t="shared" si="216"/>
        <v>0</v>
      </c>
      <c r="AW133" s="16">
        <f t="shared" si="216"/>
        <v>0</v>
      </c>
      <c r="AX133" s="16">
        <f t="shared" si="216"/>
        <v>0</v>
      </c>
      <c r="AY133" s="16">
        <f t="shared" si="216"/>
        <v>0</v>
      </c>
      <c r="AZ133" s="16">
        <f t="shared" si="216"/>
        <v>0</v>
      </c>
      <c r="BA133" s="16">
        <f t="shared" si="216"/>
        <v>0</v>
      </c>
      <c r="BB133" s="16">
        <f t="shared" si="216"/>
        <v>0</v>
      </c>
      <c r="BC133" s="16">
        <f t="shared" si="216"/>
        <v>0</v>
      </c>
      <c r="BD133" s="16">
        <f t="shared" si="216"/>
        <v>0</v>
      </c>
      <c r="BE133" s="16">
        <f t="shared" si="216"/>
        <v>0</v>
      </c>
      <c r="BF133" s="16">
        <f t="shared" si="216"/>
        <v>0</v>
      </c>
      <c r="BG133" s="16">
        <f t="shared" si="216"/>
        <v>0</v>
      </c>
      <c r="BH133" s="16">
        <f t="shared" si="216"/>
        <v>0</v>
      </c>
      <c r="BI133" s="16">
        <f t="shared" si="216"/>
        <v>0</v>
      </c>
      <c r="BJ133" s="16">
        <f t="shared" si="216"/>
        <v>0</v>
      </c>
      <c r="BK133" s="16">
        <f t="shared" si="216"/>
        <v>0</v>
      </c>
      <c r="BL133" s="16">
        <f t="shared" si="216"/>
        <v>0</v>
      </c>
      <c r="BM133" s="16">
        <f t="shared" si="216"/>
        <v>0</v>
      </c>
      <c r="BN133" s="16">
        <f t="shared" si="216"/>
        <v>0</v>
      </c>
      <c r="BO133" s="16">
        <f t="shared" si="216"/>
        <v>0</v>
      </c>
      <c r="BP133" s="16">
        <f t="shared" si="216"/>
        <v>0</v>
      </c>
      <c r="BQ133" s="16">
        <f t="shared" si="216"/>
        <v>0</v>
      </c>
      <c r="BR133" s="16">
        <f t="shared" si="216"/>
        <v>0</v>
      </c>
      <c r="BS133" s="16">
        <f t="shared" si="216"/>
        <v>0</v>
      </c>
      <c r="BT133" s="16">
        <f t="shared" ref="BT133:CW133" si="217">SUM(BT134)</f>
        <v>0</v>
      </c>
      <c r="BU133" s="16">
        <f t="shared" si="217"/>
        <v>0</v>
      </c>
      <c r="BV133" s="16">
        <f t="shared" si="217"/>
        <v>0</v>
      </c>
      <c r="BW133" s="16">
        <f t="shared" si="217"/>
        <v>0</v>
      </c>
      <c r="BX133" s="16">
        <f t="shared" si="217"/>
        <v>0</v>
      </c>
      <c r="BY133" s="16">
        <f t="shared" si="217"/>
        <v>53977</v>
      </c>
      <c r="BZ133" s="16">
        <f t="shared" si="217"/>
        <v>53977</v>
      </c>
      <c r="CA133" s="16">
        <f t="shared" si="217"/>
        <v>53977</v>
      </c>
      <c r="CB133" s="16">
        <f t="shared" si="217"/>
        <v>0</v>
      </c>
      <c r="CC133" s="16">
        <f t="shared" si="217"/>
        <v>53977</v>
      </c>
      <c r="CD133" s="16">
        <f t="shared" si="217"/>
        <v>0</v>
      </c>
      <c r="CE133" s="16">
        <f t="shared" si="217"/>
        <v>0</v>
      </c>
      <c r="CF133" s="16">
        <f t="shared" si="217"/>
        <v>0</v>
      </c>
      <c r="CG133" s="16">
        <f t="shared" si="217"/>
        <v>0</v>
      </c>
      <c r="CH133" s="16">
        <f t="shared" si="217"/>
        <v>0</v>
      </c>
      <c r="CI133" s="16">
        <f t="shared" si="217"/>
        <v>0</v>
      </c>
      <c r="CJ133" s="16">
        <f t="shared" si="217"/>
        <v>0</v>
      </c>
      <c r="CK133" s="16">
        <f t="shared" si="217"/>
        <v>0</v>
      </c>
      <c r="CL133" s="16">
        <f t="shared" si="217"/>
        <v>0</v>
      </c>
      <c r="CM133" s="16">
        <f t="shared" si="217"/>
        <v>0</v>
      </c>
      <c r="CN133" s="16">
        <f t="shared" si="217"/>
        <v>0</v>
      </c>
      <c r="CO133" s="16">
        <f t="shared" si="217"/>
        <v>0</v>
      </c>
      <c r="CP133" s="16">
        <f t="shared" si="217"/>
        <v>0</v>
      </c>
      <c r="CQ133" s="16">
        <f t="shared" si="217"/>
        <v>0</v>
      </c>
      <c r="CR133" s="16">
        <f t="shared" si="217"/>
        <v>0</v>
      </c>
      <c r="CS133" s="16">
        <f t="shared" si="217"/>
        <v>0</v>
      </c>
      <c r="CT133" s="16">
        <f t="shared" si="217"/>
        <v>0</v>
      </c>
      <c r="CU133" s="16">
        <f t="shared" si="217"/>
        <v>0</v>
      </c>
      <c r="CV133" s="16">
        <f t="shared" si="217"/>
        <v>0</v>
      </c>
      <c r="CW133" s="17">
        <f t="shared" si="217"/>
        <v>0</v>
      </c>
      <c r="CX133" s="40"/>
    </row>
    <row r="134" spans="1:102" ht="31.5" hidden="1" x14ac:dyDescent="0.25">
      <c r="A134" s="13" t="s">
        <v>1</v>
      </c>
      <c r="B134" s="14" t="s">
        <v>1</v>
      </c>
      <c r="C134" s="14" t="s">
        <v>23</v>
      </c>
      <c r="D134" s="30" t="s">
        <v>162</v>
      </c>
      <c r="E134" s="15">
        <f>SUM(F134+BY134+CT134)</f>
        <v>3471060</v>
      </c>
      <c r="F134" s="16">
        <f>SUM(G134+BA134)</f>
        <v>3417083</v>
      </c>
      <c r="G134" s="16">
        <f>SUM(H134+I134+J134+Q134+T134+U134+V134+AE134)</f>
        <v>3417083</v>
      </c>
      <c r="H134" s="16">
        <v>2698873</v>
      </c>
      <c r="I134" s="16">
        <v>603681</v>
      </c>
      <c r="J134" s="16">
        <f t="shared" si="103"/>
        <v>17933</v>
      </c>
      <c r="K134" s="16">
        <v>0</v>
      </c>
      <c r="L134" s="16">
        <v>0</v>
      </c>
      <c r="M134" s="16">
        <v>0</v>
      </c>
      <c r="N134" s="16">
        <v>0</v>
      </c>
      <c r="O134" s="16">
        <v>13684</v>
      </c>
      <c r="P134" s="16">
        <v>4249</v>
      </c>
      <c r="Q134" s="16">
        <f t="shared" si="104"/>
        <v>400</v>
      </c>
      <c r="R134" s="16">
        <v>400</v>
      </c>
      <c r="S134" s="16">
        <v>0</v>
      </c>
      <c r="T134" s="16">
        <v>0</v>
      </c>
      <c r="U134" s="16">
        <v>28743</v>
      </c>
      <c r="V134" s="16">
        <f>SUM(W134:AD134)</f>
        <v>28443</v>
      </c>
      <c r="W134" s="16">
        <v>0</v>
      </c>
      <c r="X134" s="16">
        <v>20941</v>
      </c>
      <c r="Y134" s="16">
        <v>3685</v>
      </c>
      <c r="Z134" s="16">
        <v>2312</v>
      </c>
      <c r="AA134" s="16">
        <v>1505</v>
      </c>
      <c r="AB134" s="16">
        <v>0</v>
      </c>
      <c r="AC134" s="16">
        <v>0</v>
      </c>
      <c r="AD134" s="16">
        <v>0</v>
      </c>
      <c r="AE134" s="16">
        <f>SUM(AF134:AZ134)</f>
        <v>39010</v>
      </c>
      <c r="AF134" s="16">
        <v>0</v>
      </c>
      <c r="AG134" s="16">
        <v>0</v>
      </c>
      <c r="AH134" s="16">
        <v>10430</v>
      </c>
      <c r="AI134" s="16">
        <v>0</v>
      </c>
      <c r="AJ134" s="16">
        <v>1591</v>
      </c>
      <c r="AK134" s="16">
        <v>0</v>
      </c>
      <c r="AL134" s="16">
        <v>26989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f>SUM(BB134+BF134+BI134+BK134+BM134)</f>
        <v>0</v>
      </c>
      <c r="BB134" s="16">
        <f>SUM(BC134:BE134)</f>
        <v>0</v>
      </c>
      <c r="BC134" s="16">
        <v>0</v>
      </c>
      <c r="BD134" s="16">
        <v>0</v>
      </c>
      <c r="BE134" s="16">
        <v>0</v>
      </c>
      <c r="BF134" s="16">
        <f t="shared" si="105"/>
        <v>0</v>
      </c>
      <c r="BG134" s="16">
        <v>0</v>
      </c>
      <c r="BH134" s="16">
        <v>0</v>
      </c>
      <c r="BI134" s="16">
        <v>0</v>
      </c>
      <c r="BJ134" s="16">
        <v>0</v>
      </c>
      <c r="BK134" s="16">
        <f t="shared" si="106"/>
        <v>0</v>
      </c>
      <c r="BL134" s="16">
        <v>0</v>
      </c>
      <c r="BM134" s="16">
        <f t="shared" si="107"/>
        <v>0</v>
      </c>
      <c r="BN134" s="16">
        <v>0</v>
      </c>
      <c r="BO134" s="16">
        <v>0</v>
      </c>
      <c r="BP134" s="16">
        <v>0</v>
      </c>
      <c r="BQ134" s="16">
        <v>0</v>
      </c>
      <c r="BR134" s="16">
        <v>0</v>
      </c>
      <c r="BS134" s="16">
        <v>0</v>
      </c>
      <c r="BT134" s="16">
        <v>0</v>
      </c>
      <c r="BU134" s="16">
        <v>0</v>
      </c>
      <c r="BV134" s="16">
        <v>0</v>
      </c>
      <c r="BW134" s="16">
        <v>0</v>
      </c>
      <c r="BX134" s="16">
        <v>0</v>
      </c>
      <c r="BY134" s="16">
        <f>SUM(BZ134+CS134)</f>
        <v>53977</v>
      </c>
      <c r="BZ134" s="16">
        <f>SUM(CA134+CD134+CK134)</f>
        <v>53977</v>
      </c>
      <c r="CA134" s="16">
        <f t="shared" si="108"/>
        <v>53977</v>
      </c>
      <c r="CB134" s="16">
        <v>0</v>
      </c>
      <c r="CC134" s="16">
        <v>53977</v>
      </c>
      <c r="CD134" s="16">
        <f t="shared" si="109"/>
        <v>0</v>
      </c>
      <c r="CE134" s="16">
        <v>0</v>
      </c>
      <c r="CF134" s="16">
        <v>0</v>
      </c>
      <c r="CG134" s="16">
        <v>0</v>
      </c>
      <c r="CH134" s="16">
        <v>0</v>
      </c>
      <c r="CI134" s="16">
        <v>0</v>
      </c>
      <c r="CJ134" s="16">
        <v>0</v>
      </c>
      <c r="CK134" s="16">
        <f t="shared" si="110"/>
        <v>0</v>
      </c>
      <c r="CL134" s="16">
        <v>0</v>
      </c>
      <c r="CM134" s="16">
        <v>0</v>
      </c>
      <c r="CN134" s="16">
        <v>0</v>
      </c>
      <c r="CO134" s="16">
        <v>0</v>
      </c>
      <c r="CP134" s="16">
        <v>0</v>
      </c>
      <c r="CQ134" s="16">
        <v>0</v>
      </c>
      <c r="CR134" s="16">
        <v>0</v>
      </c>
      <c r="CS134" s="16">
        <v>0</v>
      </c>
      <c r="CT134" s="16">
        <f t="shared" si="111"/>
        <v>0</v>
      </c>
      <c r="CU134" s="16">
        <f t="shared" si="112"/>
        <v>0</v>
      </c>
      <c r="CV134" s="16">
        <v>0</v>
      </c>
      <c r="CW134" s="17">
        <v>0</v>
      </c>
      <c r="CX134" s="40"/>
    </row>
    <row r="135" spans="1:102" ht="15.75" hidden="1" x14ac:dyDescent="0.25">
      <c r="A135" s="13" t="s">
        <v>111</v>
      </c>
      <c r="B135" s="14" t="s">
        <v>54</v>
      </c>
      <c r="C135" s="14" t="s">
        <v>1</v>
      </c>
      <c r="D135" s="30" t="s">
        <v>163</v>
      </c>
      <c r="E135" s="15">
        <f t="shared" ref="E135:AJ135" si="218">SUM(E136)</f>
        <v>9438502</v>
      </c>
      <c r="F135" s="16">
        <f t="shared" si="218"/>
        <v>9375663</v>
      </c>
      <c r="G135" s="16">
        <f t="shared" si="218"/>
        <v>7046424</v>
      </c>
      <c r="H135" s="16">
        <f t="shared" si="218"/>
        <v>3712903</v>
      </c>
      <c r="I135" s="16">
        <f t="shared" si="218"/>
        <v>868652</v>
      </c>
      <c r="J135" s="16">
        <f t="shared" si="218"/>
        <v>2174086</v>
      </c>
      <c r="K135" s="16">
        <f t="shared" si="218"/>
        <v>8902</v>
      </c>
      <c r="L135" s="16">
        <f t="shared" si="218"/>
        <v>235765</v>
      </c>
      <c r="M135" s="16">
        <f t="shared" si="218"/>
        <v>1389244</v>
      </c>
      <c r="N135" s="16">
        <f t="shared" si="218"/>
        <v>316837</v>
      </c>
      <c r="O135" s="16">
        <f t="shared" si="218"/>
        <v>179995</v>
      </c>
      <c r="P135" s="16">
        <f t="shared" si="218"/>
        <v>43343</v>
      </c>
      <c r="Q135" s="16">
        <f t="shared" si="218"/>
        <v>0</v>
      </c>
      <c r="R135" s="16">
        <f t="shared" si="218"/>
        <v>0</v>
      </c>
      <c r="S135" s="16">
        <f t="shared" si="218"/>
        <v>0</v>
      </c>
      <c r="T135" s="16">
        <f t="shared" si="218"/>
        <v>0</v>
      </c>
      <c r="U135" s="16">
        <f t="shared" si="218"/>
        <v>22086</v>
      </c>
      <c r="V135" s="16">
        <f t="shared" si="218"/>
        <v>178469</v>
      </c>
      <c r="W135" s="16">
        <f t="shared" si="218"/>
        <v>34104</v>
      </c>
      <c r="X135" s="16">
        <f t="shared" si="218"/>
        <v>63310</v>
      </c>
      <c r="Y135" s="16">
        <f t="shared" si="218"/>
        <v>42660</v>
      </c>
      <c r="Z135" s="16">
        <f t="shared" si="218"/>
        <v>32702</v>
      </c>
      <c r="AA135" s="16">
        <f t="shared" si="218"/>
        <v>3613</v>
      </c>
      <c r="AB135" s="16">
        <f t="shared" si="218"/>
        <v>0</v>
      </c>
      <c r="AC135" s="16">
        <f t="shared" si="218"/>
        <v>0</v>
      </c>
      <c r="AD135" s="16">
        <f t="shared" si="218"/>
        <v>2080</v>
      </c>
      <c r="AE135" s="16">
        <f t="shared" si="218"/>
        <v>90228</v>
      </c>
      <c r="AF135" s="16">
        <f t="shared" si="218"/>
        <v>0</v>
      </c>
      <c r="AG135" s="16">
        <f t="shared" si="218"/>
        <v>660</v>
      </c>
      <c r="AH135" s="16">
        <f t="shared" si="218"/>
        <v>43560</v>
      </c>
      <c r="AI135" s="16">
        <f t="shared" si="218"/>
        <v>2145</v>
      </c>
      <c r="AJ135" s="16">
        <f t="shared" si="218"/>
        <v>3755</v>
      </c>
      <c r="AK135" s="16">
        <f t="shared" ref="AK135:BR135" si="219">SUM(AK136)</f>
        <v>0</v>
      </c>
      <c r="AL135" s="16">
        <f t="shared" si="219"/>
        <v>37129</v>
      </c>
      <c r="AM135" s="16">
        <f t="shared" si="219"/>
        <v>0</v>
      </c>
      <c r="AN135" s="16">
        <f t="shared" si="219"/>
        <v>0</v>
      </c>
      <c r="AO135" s="16">
        <f t="shared" si="219"/>
        <v>109</v>
      </c>
      <c r="AP135" s="16">
        <f t="shared" si="219"/>
        <v>0</v>
      </c>
      <c r="AQ135" s="16">
        <f t="shared" si="219"/>
        <v>0</v>
      </c>
      <c r="AR135" s="16">
        <f t="shared" si="219"/>
        <v>0</v>
      </c>
      <c r="AS135" s="16">
        <f t="shared" si="219"/>
        <v>0</v>
      </c>
      <c r="AT135" s="16">
        <f t="shared" si="219"/>
        <v>0</v>
      </c>
      <c r="AU135" s="16">
        <f t="shared" si="219"/>
        <v>0</v>
      </c>
      <c r="AV135" s="16">
        <f t="shared" si="219"/>
        <v>0</v>
      </c>
      <c r="AW135" s="16">
        <f t="shared" si="219"/>
        <v>0</v>
      </c>
      <c r="AX135" s="16">
        <f t="shared" si="219"/>
        <v>0</v>
      </c>
      <c r="AY135" s="16">
        <f t="shared" si="219"/>
        <v>0</v>
      </c>
      <c r="AZ135" s="16">
        <f t="shared" si="219"/>
        <v>2870</v>
      </c>
      <c r="BA135" s="16">
        <f t="shared" si="219"/>
        <v>2329239</v>
      </c>
      <c r="BB135" s="16">
        <f t="shared" si="219"/>
        <v>0</v>
      </c>
      <c r="BC135" s="16">
        <f t="shared" si="219"/>
        <v>0</v>
      </c>
      <c r="BD135" s="16">
        <f t="shared" si="219"/>
        <v>0</v>
      </c>
      <c r="BE135" s="16">
        <f t="shared" si="219"/>
        <v>0</v>
      </c>
      <c r="BF135" s="16">
        <f t="shared" si="219"/>
        <v>0</v>
      </c>
      <c r="BG135" s="16">
        <f t="shared" si="219"/>
        <v>0</v>
      </c>
      <c r="BH135" s="16">
        <f t="shared" si="219"/>
        <v>0</v>
      </c>
      <c r="BI135" s="16">
        <f t="shared" si="219"/>
        <v>0</v>
      </c>
      <c r="BJ135" s="16">
        <f t="shared" si="219"/>
        <v>0</v>
      </c>
      <c r="BK135" s="16">
        <f t="shared" si="219"/>
        <v>0</v>
      </c>
      <c r="BL135" s="16">
        <f t="shared" si="219"/>
        <v>0</v>
      </c>
      <c r="BM135" s="16">
        <f t="shared" si="219"/>
        <v>2329239</v>
      </c>
      <c r="BN135" s="16">
        <f t="shared" si="219"/>
        <v>0</v>
      </c>
      <c r="BO135" s="16">
        <f t="shared" si="219"/>
        <v>0</v>
      </c>
      <c r="BP135" s="16">
        <f t="shared" si="219"/>
        <v>0</v>
      </c>
      <c r="BQ135" s="16">
        <f t="shared" si="219"/>
        <v>0</v>
      </c>
      <c r="BR135" s="16">
        <f t="shared" si="219"/>
        <v>0</v>
      </c>
      <c r="BS135" s="16">
        <f t="shared" ref="BS135:CW135" si="220">SUM(BS136)</f>
        <v>33525</v>
      </c>
      <c r="BT135" s="16">
        <f t="shared" si="220"/>
        <v>0</v>
      </c>
      <c r="BU135" s="16">
        <f t="shared" si="220"/>
        <v>0</v>
      </c>
      <c r="BV135" s="16">
        <f t="shared" si="220"/>
        <v>0</v>
      </c>
      <c r="BW135" s="16">
        <f t="shared" si="220"/>
        <v>0</v>
      </c>
      <c r="BX135" s="16">
        <f t="shared" si="220"/>
        <v>2295714</v>
      </c>
      <c r="BY135" s="16">
        <f t="shared" si="220"/>
        <v>62839</v>
      </c>
      <c r="BZ135" s="16">
        <f t="shared" si="220"/>
        <v>62839</v>
      </c>
      <c r="CA135" s="16">
        <f t="shared" si="220"/>
        <v>62839</v>
      </c>
      <c r="CB135" s="16">
        <f t="shared" si="220"/>
        <v>0</v>
      </c>
      <c r="CC135" s="16">
        <f t="shared" si="220"/>
        <v>62839</v>
      </c>
      <c r="CD135" s="16">
        <f t="shared" si="220"/>
        <v>0</v>
      </c>
      <c r="CE135" s="16">
        <f t="shared" si="220"/>
        <v>0</v>
      </c>
      <c r="CF135" s="16">
        <f t="shared" si="220"/>
        <v>0</v>
      </c>
      <c r="CG135" s="16">
        <f t="shared" si="220"/>
        <v>0</v>
      </c>
      <c r="CH135" s="16">
        <f t="shared" si="220"/>
        <v>0</v>
      </c>
      <c r="CI135" s="16">
        <f t="shared" si="220"/>
        <v>0</v>
      </c>
      <c r="CJ135" s="16">
        <f t="shared" si="220"/>
        <v>0</v>
      </c>
      <c r="CK135" s="16">
        <f t="shared" si="220"/>
        <v>0</v>
      </c>
      <c r="CL135" s="16">
        <f t="shared" si="220"/>
        <v>0</v>
      </c>
      <c r="CM135" s="16">
        <f t="shared" si="220"/>
        <v>0</v>
      </c>
      <c r="CN135" s="16">
        <f t="shared" si="220"/>
        <v>0</v>
      </c>
      <c r="CO135" s="16">
        <f t="shared" si="220"/>
        <v>0</v>
      </c>
      <c r="CP135" s="16">
        <f t="shared" si="220"/>
        <v>0</v>
      </c>
      <c r="CQ135" s="16">
        <f t="shared" si="220"/>
        <v>0</v>
      </c>
      <c r="CR135" s="16">
        <f t="shared" si="220"/>
        <v>0</v>
      </c>
      <c r="CS135" s="16">
        <f t="shared" si="220"/>
        <v>0</v>
      </c>
      <c r="CT135" s="16">
        <f t="shared" si="220"/>
        <v>0</v>
      </c>
      <c r="CU135" s="16">
        <f t="shared" si="220"/>
        <v>0</v>
      </c>
      <c r="CV135" s="16">
        <f t="shared" si="220"/>
        <v>0</v>
      </c>
      <c r="CW135" s="17">
        <f t="shared" si="220"/>
        <v>0</v>
      </c>
      <c r="CX135" s="40"/>
    </row>
    <row r="136" spans="1:102" ht="15.75" hidden="1" x14ac:dyDescent="0.25">
      <c r="A136" s="13" t="s">
        <v>1</v>
      </c>
      <c r="B136" s="14" t="s">
        <v>1</v>
      </c>
      <c r="C136" s="14" t="s">
        <v>19</v>
      </c>
      <c r="D136" s="30" t="s">
        <v>164</v>
      </c>
      <c r="E136" s="15">
        <f>SUM(F136+BY136+CT136)</f>
        <v>9438502</v>
      </c>
      <c r="F136" s="16">
        <f>SUM(G136+BA136)</f>
        <v>9375663</v>
      </c>
      <c r="G136" s="16">
        <f>SUM(H136+I136+J136+Q136+T136+U136+V136+AE136)</f>
        <v>7046424</v>
      </c>
      <c r="H136" s="16">
        <v>3712903</v>
      </c>
      <c r="I136" s="16">
        <v>868652</v>
      </c>
      <c r="J136" s="16">
        <f t="shared" si="103"/>
        <v>2174086</v>
      </c>
      <c r="K136" s="16">
        <v>8902</v>
      </c>
      <c r="L136" s="16">
        <v>235765</v>
      </c>
      <c r="M136" s="16">
        <v>1389244</v>
      </c>
      <c r="N136" s="16">
        <v>316837</v>
      </c>
      <c r="O136" s="16">
        <v>179995</v>
      </c>
      <c r="P136" s="16">
        <v>43343</v>
      </c>
      <c r="Q136" s="16">
        <f t="shared" si="104"/>
        <v>0</v>
      </c>
      <c r="R136" s="16">
        <v>0</v>
      </c>
      <c r="S136" s="16">
        <v>0</v>
      </c>
      <c r="T136" s="16">
        <v>0</v>
      </c>
      <c r="U136" s="16">
        <v>22086</v>
      </c>
      <c r="V136" s="16">
        <f>SUM(W136:AD136)</f>
        <v>178469</v>
      </c>
      <c r="W136" s="16">
        <v>34104</v>
      </c>
      <c r="X136" s="16">
        <v>63310</v>
      </c>
      <c r="Y136" s="16">
        <v>42660</v>
      </c>
      <c r="Z136" s="16">
        <v>32702</v>
      </c>
      <c r="AA136" s="16">
        <v>3613</v>
      </c>
      <c r="AB136" s="16">
        <v>0</v>
      </c>
      <c r="AC136" s="16">
        <v>0</v>
      </c>
      <c r="AD136" s="16">
        <v>2080</v>
      </c>
      <c r="AE136" s="16">
        <f>SUM(AF136:AZ136)</f>
        <v>90228</v>
      </c>
      <c r="AF136" s="16">
        <v>0</v>
      </c>
      <c r="AG136" s="16">
        <v>660</v>
      </c>
      <c r="AH136" s="16">
        <v>43560</v>
      </c>
      <c r="AI136" s="16">
        <v>2145</v>
      </c>
      <c r="AJ136" s="16">
        <v>3755</v>
      </c>
      <c r="AK136" s="16">
        <v>0</v>
      </c>
      <c r="AL136" s="16">
        <v>37129</v>
      </c>
      <c r="AM136" s="16">
        <v>0</v>
      </c>
      <c r="AN136" s="16">
        <v>0</v>
      </c>
      <c r="AO136" s="16">
        <v>109</v>
      </c>
      <c r="AP136" s="16"/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6">
        <v>0</v>
      </c>
      <c r="AW136" s="16">
        <v>0</v>
      </c>
      <c r="AX136" s="16">
        <v>0</v>
      </c>
      <c r="AY136" s="16"/>
      <c r="AZ136" s="16">
        <v>2870</v>
      </c>
      <c r="BA136" s="16">
        <f>SUM(BB136+BF136+BI136+BK136+BM136)</f>
        <v>2329239</v>
      </c>
      <c r="BB136" s="16">
        <f>SUM(BC136:BE136)</f>
        <v>0</v>
      </c>
      <c r="BC136" s="16">
        <v>0</v>
      </c>
      <c r="BD136" s="16">
        <v>0</v>
      </c>
      <c r="BE136" s="16">
        <v>0</v>
      </c>
      <c r="BF136" s="16">
        <f t="shared" si="105"/>
        <v>0</v>
      </c>
      <c r="BG136" s="16">
        <v>0</v>
      </c>
      <c r="BH136" s="16">
        <v>0</v>
      </c>
      <c r="BI136" s="16">
        <v>0</v>
      </c>
      <c r="BJ136" s="16">
        <v>0</v>
      </c>
      <c r="BK136" s="16">
        <f t="shared" si="106"/>
        <v>0</v>
      </c>
      <c r="BL136" s="16">
        <v>0</v>
      </c>
      <c r="BM136" s="16">
        <f t="shared" si="107"/>
        <v>2329239</v>
      </c>
      <c r="BN136" s="16">
        <v>0</v>
      </c>
      <c r="BO136" s="16">
        <v>0</v>
      </c>
      <c r="BP136" s="16">
        <v>0</v>
      </c>
      <c r="BQ136" s="16">
        <v>0</v>
      </c>
      <c r="BR136" s="16">
        <v>0</v>
      </c>
      <c r="BS136" s="16">
        <v>33525</v>
      </c>
      <c r="BT136" s="16">
        <v>0</v>
      </c>
      <c r="BU136" s="16">
        <v>0</v>
      </c>
      <c r="BV136" s="16">
        <v>0</v>
      </c>
      <c r="BW136" s="16">
        <v>0</v>
      </c>
      <c r="BX136" s="16">
        <v>2295714</v>
      </c>
      <c r="BY136" s="16">
        <f>SUM(BZ136+CS136)</f>
        <v>62839</v>
      </c>
      <c r="BZ136" s="16">
        <f>SUM(CA136+CD136+CK136)</f>
        <v>62839</v>
      </c>
      <c r="CA136" s="16">
        <f t="shared" si="108"/>
        <v>62839</v>
      </c>
      <c r="CB136" s="16">
        <v>0</v>
      </c>
      <c r="CC136" s="16">
        <v>62839</v>
      </c>
      <c r="CD136" s="16">
        <f t="shared" si="109"/>
        <v>0</v>
      </c>
      <c r="CE136" s="16">
        <v>0</v>
      </c>
      <c r="CF136" s="16">
        <v>0</v>
      </c>
      <c r="CG136" s="16">
        <v>0</v>
      </c>
      <c r="CH136" s="16">
        <v>0</v>
      </c>
      <c r="CI136" s="16">
        <v>0</v>
      </c>
      <c r="CJ136" s="16">
        <v>0</v>
      </c>
      <c r="CK136" s="16">
        <f t="shared" si="110"/>
        <v>0</v>
      </c>
      <c r="CL136" s="16">
        <v>0</v>
      </c>
      <c r="CM136" s="16">
        <v>0</v>
      </c>
      <c r="CN136" s="16">
        <v>0</v>
      </c>
      <c r="CO136" s="16">
        <v>0</v>
      </c>
      <c r="CP136" s="16">
        <v>0</v>
      </c>
      <c r="CQ136" s="16"/>
      <c r="CR136" s="16"/>
      <c r="CS136" s="16">
        <v>0</v>
      </c>
      <c r="CT136" s="16">
        <f t="shared" si="111"/>
        <v>0</v>
      </c>
      <c r="CU136" s="16">
        <f t="shared" si="112"/>
        <v>0</v>
      </c>
      <c r="CV136" s="16">
        <v>0</v>
      </c>
      <c r="CW136" s="17">
        <v>0</v>
      </c>
      <c r="CX136" s="40"/>
    </row>
    <row r="137" spans="1:102" ht="31.5" hidden="1" x14ac:dyDescent="0.25">
      <c r="A137" s="13" t="s">
        <v>111</v>
      </c>
      <c r="B137" s="14" t="s">
        <v>107</v>
      </c>
      <c r="C137" s="14" t="s">
        <v>1</v>
      </c>
      <c r="D137" s="30" t="s">
        <v>165</v>
      </c>
      <c r="E137" s="15">
        <f t="shared" ref="E137:AJ137" si="221">SUM(E138:E140)</f>
        <v>1262223</v>
      </c>
      <c r="F137" s="16">
        <f t="shared" si="221"/>
        <v>1250574</v>
      </c>
      <c r="G137" s="16">
        <f t="shared" si="221"/>
        <v>1200134</v>
      </c>
      <c r="H137" s="16">
        <f t="shared" si="221"/>
        <v>582448</v>
      </c>
      <c r="I137" s="16">
        <f t="shared" si="221"/>
        <v>133303</v>
      </c>
      <c r="J137" s="16">
        <f t="shared" si="221"/>
        <v>11348</v>
      </c>
      <c r="K137" s="16">
        <f t="shared" si="221"/>
        <v>0</v>
      </c>
      <c r="L137" s="16">
        <f t="shared" si="221"/>
        <v>0</v>
      </c>
      <c r="M137" s="16">
        <f t="shared" si="221"/>
        <v>0</v>
      </c>
      <c r="N137" s="16">
        <f t="shared" si="221"/>
        <v>0</v>
      </c>
      <c r="O137" s="16">
        <f t="shared" si="221"/>
        <v>0</v>
      </c>
      <c r="P137" s="16">
        <f t="shared" si="221"/>
        <v>11348</v>
      </c>
      <c r="Q137" s="16">
        <f t="shared" si="221"/>
        <v>3499</v>
      </c>
      <c r="R137" s="16">
        <f t="shared" si="221"/>
        <v>3499</v>
      </c>
      <c r="S137" s="16">
        <f t="shared" si="221"/>
        <v>0</v>
      </c>
      <c r="T137" s="16">
        <f t="shared" si="221"/>
        <v>0</v>
      </c>
      <c r="U137" s="16">
        <f t="shared" si="221"/>
        <v>13390</v>
      </c>
      <c r="V137" s="16">
        <f t="shared" si="221"/>
        <v>0</v>
      </c>
      <c r="W137" s="16">
        <f t="shared" si="221"/>
        <v>0</v>
      </c>
      <c r="X137" s="16">
        <f t="shared" si="221"/>
        <v>0</v>
      </c>
      <c r="Y137" s="16">
        <f t="shared" si="221"/>
        <v>0</v>
      </c>
      <c r="Z137" s="16">
        <f t="shared" si="221"/>
        <v>0</v>
      </c>
      <c r="AA137" s="16">
        <f t="shared" si="221"/>
        <v>0</v>
      </c>
      <c r="AB137" s="16">
        <f t="shared" si="221"/>
        <v>0</v>
      </c>
      <c r="AC137" s="16">
        <f t="shared" si="221"/>
        <v>0</v>
      </c>
      <c r="AD137" s="16">
        <f t="shared" ref="AD137" si="222">SUM(AD138:AD140)</f>
        <v>0</v>
      </c>
      <c r="AE137" s="16">
        <f t="shared" si="221"/>
        <v>456146</v>
      </c>
      <c r="AF137" s="16">
        <f t="shared" si="221"/>
        <v>0</v>
      </c>
      <c r="AG137" s="16">
        <f t="shared" si="221"/>
        <v>1868</v>
      </c>
      <c r="AH137" s="16">
        <f t="shared" si="221"/>
        <v>0</v>
      </c>
      <c r="AI137" s="16">
        <f t="shared" si="221"/>
        <v>0</v>
      </c>
      <c r="AJ137" s="16">
        <f t="shared" si="221"/>
        <v>1591</v>
      </c>
      <c r="AK137" s="16">
        <f t="shared" ref="AK137:BP137" si="223">SUM(AK138:AK140)</f>
        <v>0</v>
      </c>
      <c r="AL137" s="16">
        <f t="shared" si="223"/>
        <v>5824</v>
      </c>
      <c r="AM137" s="16">
        <f t="shared" si="223"/>
        <v>108938</v>
      </c>
      <c r="AN137" s="16">
        <f t="shared" si="223"/>
        <v>0</v>
      </c>
      <c r="AO137" s="16">
        <f t="shared" si="223"/>
        <v>0</v>
      </c>
      <c r="AP137" s="16">
        <f t="shared" si="223"/>
        <v>0</v>
      </c>
      <c r="AQ137" s="16">
        <f t="shared" si="223"/>
        <v>0</v>
      </c>
      <c r="AR137" s="16">
        <f t="shared" si="223"/>
        <v>0</v>
      </c>
      <c r="AS137" s="16">
        <f t="shared" si="223"/>
        <v>0</v>
      </c>
      <c r="AT137" s="16">
        <f t="shared" si="223"/>
        <v>0</v>
      </c>
      <c r="AU137" s="16">
        <f t="shared" si="223"/>
        <v>0</v>
      </c>
      <c r="AV137" s="16">
        <f t="shared" si="223"/>
        <v>0</v>
      </c>
      <c r="AW137" s="16">
        <f t="shared" si="223"/>
        <v>0</v>
      </c>
      <c r="AX137" s="16">
        <f t="shared" si="223"/>
        <v>0</v>
      </c>
      <c r="AY137" s="16">
        <f t="shared" si="223"/>
        <v>0</v>
      </c>
      <c r="AZ137" s="16">
        <f t="shared" si="223"/>
        <v>337925</v>
      </c>
      <c r="BA137" s="16">
        <f t="shared" si="223"/>
        <v>50440</v>
      </c>
      <c r="BB137" s="16">
        <f t="shared" si="223"/>
        <v>0</v>
      </c>
      <c r="BC137" s="16">
        <f t="shared" si="223"/>
        <v>0</v>
      </c>
      <c r="BD137" s="16">
        <f t="shared" si="223"/>
        <v>0</v>
      </c>
      <c r="BE137" s="16">
        <f t="shared" si="223"/>
        <v>0</v>
      </c>
      <c r="BF137" s="16">
        <f t="shared" si="223"/>
        <v>0</v>
      </c>
      <c r="BG137" s="16">
        <f t="shared" si="223"/>
        <v>0</v>
      </c>
      <c r="BH137" s="16">
        <f t="shared" si="223"/>
        <v>0</v>
      </c>
      <c r="BI137" s="16">
        <f t="shared" si="223"/>
        <v>0</v>
      </c>
      <c r="BJ137" s="16">
        <f t="shared" si="223"/>
        <v>0</v>
      </c>
      <c r="BK137" s="16">
        <f t="shared" si="223"/>
        <v>0</v>
      </c>
      <c r="BL137" s="16">
        <f t="shared" si="223"/>
        <v>0</v>
      </c>
      <c r="BM137" s="16">
        <f t="shared" si="223"/>
        <v>50440</v>
      </c>
      <c r="BN137" s="16">
        <f t="shared" si="223"/>
        <v>0</v>
      </c>
      <c r="BO137" s="16">
        <f t="shared" si="223"/>
        <v>0</v>
      </c>
      <c r="BP137" s="16">
        <f t="shared" si="223"/>
        <v>50440</v>
      </c>
      <c r="BQ137" s="16">
        <f t="shared" ref="BQ137:CW137" si="224">SUM(BQ138:BQ140)</f>
        <v>0</v>
      </c>
      <c r="BR137" s="16">
        <f t="shared" si="224"/>
        <v>0</v>
      </c>
      <c r="BS137" s="16">
        <f t="shared" si="224"/>
        <v>0</v>
      </c>
      <c r="BT137" s="16">
        <f t="shared" si="224"/>
        <v>0</v>
      </c>
      <c r="BU137" s="16">
        <f t="shared" si="224"/>
        <v>0</v>
      </c>
      <c r="BV137" s="16">
        <f t="shared" si="224"/>
        <v>0</v>
      </c>
      <c r="BW137" s="16">
        <f t="shared" si="224"/>
        <v>0</v>
      </c>
      <c r="BX137" s="16">
        <f t="shared" si="224"/>
        <v>0</v>
      </c>
      <c r="BY137" s="16">
        <f t="shared" si="224"/>
        <v>11649</v>
      </c>
      <c r="BZ137" s="16">
        <f t="shared" si="224"/>
        <v>11649</v>
      </c>
      <c r="CA137" s="16">
        <f t="shared" si="224"/>
        <v>11649</v>
      </c>
      <c r="CB137" s="16">
        <f t="shared" si="224"/>
        <v>0</v>
      </c>
      <c r="CC137" s="16">
        <f t="shared" si="224"/>
        <v>11649</v>
      </c>
      <c r="CD137" s="16">
        <f t="shared" si="224"/>
        <v>0</v>
      </c>
      <c r="CE137" s="16">
        <f t="shared" si="224"/>
        <v>0</v>
      </c>
      <c r="CF137" s="16">
        <f t="shared" si="224"/>
        <v>0</v>
      </c>
      <c r="CG137" s="16">
        <f t="shared" si="224"/>
        <v>0</v>
      </c>
      <c r="CH137" s="16">
        <f t="shared" si="224"/>
        <v>0</v>
      </c>
      <c r="CI137" s="16">
        <f t="shared" si="224"/>
        <v>0</v>
      </c>
      <c r="CJ137" s="16">
        <f t="shared" ref="CJ137" si="225">SUM(CJ138:CJ140)</f>
        <v>0</v>
      </c>
      <c r="CK137" s="16">
        <f t="shared" si="224"/>
        <v>0</v>
      </c>
      <c r="CL137" s="16">
        <f t="shared" si="224"/>
        <v>0</v>
      </c>
      <c r="CM137" s="16">
        <f t="shared" si="224"/>
        <v>0</v>
      </c>
      <c r="CN137" s="16">
        <f t="shared" si="224"/>
        <v>0</v>
      </c>
      <c r="CO137" s="16">
        <f t="shared" si="224"/>
        <v>0</v>
      </c>
      <c r="CP137" s="16">
        <f t="shared" si="224"/>
        <v>0</v>
      </c>
      <c r="CQ137" s="16">
        <f t="shared" si="224"/>
        <v>0</v>
      </c>
      <c r="CR137" s="16">
        <f t="shared" si="224"/>
        <v>0</v>
      </c>
      <c r="CS137" s="16">
        <f t="shared" si="224"/>
        <v>0</v>
      </c>
      <c r="CT137" s="16">
        <f t="shared" si="224"/>
        <v>0</v>
      </c>
      <c r="CU137" s="16">
        <f t="shared" si="224"/>
        <v>0</v>
      </c>
      <c r="CV137" s="16">
        <f t="shared" si="224"/>
        <v>0</v>
      </c>
      <c r="CW137" s="17">
        <f t="shared" si="224"/>
        <v>0</v>
      </c>
      <c r="CX137" s="40"/>
    </row>
    <row r="138" spans="1:102" ht="31.5" hidden="1" x14ac:dyDescent="0.25">
      <c r="A138" s="13" t="s">
        <v>1</v>
      </c>
      <c r="B138" s="14" t="s">
        <v>1</v>
      </c>
      <c r="C138" s="14" t="s">
        <v>19</v>
      </c>
      <c r="D138" s="30" t="s">
        <v>166</v>
      </c>
      <c r="E138" s="15">
        <f>SUM(F138+BY138+CT138)</f>
        <v>97570</v>
      </c>
      <c r="F138" s="16">
        <f>SUM(G138+BA138)</f>
        <v>97570</v>
      </c>
      <c r="G138" s="16">
        <f>SUM(H138+I138+J138+Q138+T138+U138+V138+AE138)</f>
        <v>97570</v>
      </c>
      <c r="H138" s="16">
        <v>0</v>
      </c>
      <c r="I138" s="16">
        <v>0</v>
      </c>
      <c r="J138" s="16">
        <f t="shared" si="103"/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f t="shared" si="104"/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f>SUM(W138:AD138)</f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f>SUM(AF138:AZ138)</f>
        <v>97570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14500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16">
        <v>0</v>
      </c>
      <c r="AU138" s="16">
        <v>0</v>
      </c>
      <c r="AV138" s="16">
        <v>0</v>
      </c>
      <c r="AW138" s="16">
        <v>0</v>
      </c>
      <c r="AX138" s="16">
        <v>0</v>
      </c>
      <c r="AY138" s="16">
        <v>0</v>
      </c>
      <c r="AZ138" s="16">
        <v>83070</v>
      </c>
      <c r="BA138" s="16">
        <f>SUM(BB138+BF138+BI138+BK138+BM138)</f>
        <v>0</v>
      </c>
      <c r="BB138" s="16">
        <f>SUM(BC138:BE138)</f>
        <v>0</v>
      </c>
      <c r="BC138" s="16">
        <v>0</v>
      </c>
      <c r="BD138" s="16">
        <v>0</v>
      </c>
      <c r="BE138" s="16">
        <v>0</v>
      </c>
      <c r="BF138" s="16">
        <f t="shared" si="105"/>
        <v>0</v>
      </c>
      <c r="BG138" s="16">
        <v>0</v>
      </c>
      <c r="BH138" s="16">
        <v>0</v>
      </c>
      <c r="BI138" s="16">
        <v>0</v>
      </c>
      <c r="BJ138" s="16">
        <v>0</v>
      </c>
      <c r="BK138" s="16">
        <f t="shared" si="106"/>
        <v>0</v>
      </c>
      <c r="BL138" s="16">
        <v>0</v>
      </c>
      <c r="BM138" s="16">
        <f t="shared" si="107"/>
        <v>0</v>
      </c>
      <c r="BN138" s="16">
        <v>0</v>
      </c>
      <c r="BO138" s="16">
        <v>0</v>
      </c>
      <c r="BP138" s="16">
        <v>0</v>
      </c>
      <c r="BQ138" s="16">
        <v>0</v>
      </c>
      <c r="BR138" s="16">
        <v>0</v>
      </c>
      <c r="BS138" s="16">
        <v>0</v>
      </c>
      <c r="BT138" s="16">
        <v>0</v>
      </c>
      <c r="BU138" s="16">
        <v>0</v>
      </c>
      <c r="BV138" s="16">
        <v>0</v>
      </c>
      <c r="BW138" s="16">
        <v>0</v>
      </c>
      <c r="BX138" s="16">
        <v>0</v>
      </c>
      <c r="BY138" s="16">
        <f>SUM(BZ138+CS138)</f>
        <v>0</v>
      </c>
      <c r="BZ138" s="16">
        <f>SUM(CA138+CD138+CK138)</f>
        <v>0</v>
      </c>
      <c r="CA138" s="16">
        <f t="shared" si="108"/>
        <v>0</v>
      </c>
      <c r="CB138" s="16">
        <v>0</v>
      </c>
      <c r="CC138" s="16">
        <v>0</v>
      </c>
      <c r="CD138" s="16">
        <f t="shared" si="109"/>
        <v>0</v>
      </c>
      <c r="CE138" s="16">
        <v>0</v>
      </c>
      <c r="CF138" s="16">
        <v>0</v>
      </c>
      <c r="CG138" s="16">
        <v>0</v>
      </c>
      <c r="CH138" s="16">
        <v>0</v>
      </c>
      <c r="CI138" s="16">
        <v>0</v>
      </c>
      <c r="CJ138" s="16">
        <v>0</v>
      </c>
      <c r="CK138" s="16">
        <f t="shared" si="110"/>
        <v>0</v>
      </c>
      <c r="CL138" s="16">
        <v>0</v>
      </c>
      <c r="CM138" s="16">
        <v>0</v>
      </c>
      <c r="CN138" s="16">
        <v>0</v>
      </c>
      <c r="CO138" s="16">
        <v>0</v>
      </c>
      <c r="CP138" s="16">
        <v>0</v>
      </c>
      <c r="CQ138" s="16">
        <v>0</v>
      </c>
      <c r="CR138" s="16">
        <v>0</v>
      </c>
      <c r="CS138" s="16">
        <v>0</v>
      </c>
      <c r="CT138" s="16">
        <f t="shared" si="111"/>
        <v>0</v>
      </c>
      <c r="CU138" s="16">
        <f t="shared" si="112"/>
        <v>0</v>
      </c>
      <c r="CV138" s="16">
        <v>0</v>
      </c>
      <c r="CW138" s="17">
        <v>0</v>
      </c>
      <c r="CX138" s="40"/>
    </row>
    <row r="139" spans="1:102" ht="15.75" hidden="1" x14ac:dyDescent="0.25">
      <c r="A139" s="13" t="s">
        <v>1</v>
      </c>
      <c r="B139" s="14" t="s">
        <v>1</v>
      </c>
      <c r="C139" s="14" t="s">
        <v>23</v>
      </c>
      <c r="D139" s="30" t="s">
        <v>168</v>
      </c>
      <c r="E139" s="15">
        <f>SUM(F139+BY139+CT139)</f>
        <v>764920</v>
      </c>
      <c r="F139" s="16">
        <f>SUM(G139+BA139)</f>
        <v>753271</v>
      </c>
      <c r="G139" s="16">
        <f>SUM(H139+I139+J139+Q139+T139+U139+V139+AE139)</f>
        <v>753271</v>
      </c>
      <c r="H139" s="16">
        <v>582448</v>
      </c>
      <c r="I139" s="16">
        <v>133303</v>
      </c>
      <c r="J139" s="16">
        <f>SUM(K139:P139)</f>
        <v>11348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11348</v>
      </c>
      <c r="Q139" s="16">
        <f>SUM(R139:S139)</f>
        <v>3499</v>
      </c>
      <c r="R139" s="16">
        <v>3499</v>
      </c>
      <c r="S139" s="16">
        <v>0</v>
      </c>
      <c r="T139" s="16">
        <v>0</v>
      </c>
      <c r="U139" s="16">
        <v>13390</v>
      </c>
      <c r="V139" s="16">
        <f>SUM(W139:AD139)</f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f>SUM(AF139:AZ139)</f>
        <v>9283</v>
      </c>
      <c r="AF139" s="16">
        <v>0</v>
      </c>
      <c r="AG139" s="16">
        <v>1868</v>
      </c>
      <c r="AH139" s="16">
        <v>0</v>
      </c>
      <c r="AI139" s="16">
        <v>0</v>
      </c>
      <c r="AJ139" s="16">
        <v>1591</v>
      </c>
      <c r="AK139" s="16">
        <v>0</v>
      </c>
      <c r="AL139" s="16">
        <v>5824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0</v>
      </c>
      <c r="AV139" s="16">
        <v>0</v>
      </c>
      <c r="AW139" s="16">
        <v>0</v>
      </c>
      <c r="AX139" s="16">
        <v>0</v>
      </c>
      <c r="AY139" s="16">
        <v>0</v>
      </c>
      <c r="AZ139" s="16">
        <v>0</v>
      </c>
      <c r="BA139" s="16">
        <f>SUM(BB139+BF139+BI139+BK139+BM139)</f>
        <v>0</v>
      </c>
      <c r="BB139" s="16">
        <f>SUM(BC139:BE139)</f>
        <v>0</v>
      </c>
      <c r="BC139" s="16">
        <v>0</v>
      </c>
      <c r="BD139" s="16">
        <v>0</v>
      </c>
      <c r="BE139" s="16">
        <v>0</v>
      </c>
      <c r="BF139" s="16">
        <f>SUM(BG139:BH139)</f>
        <v>0</v>
      </c>
      <c r="BG139" s="16">
        <v>0</v>
      </c>
      <c r="BH139" s="16">
        <v>0</v>
      </c>
      <c r="BI139" s="16">
        <v>0</v>
      </c>
      <c r="BJ139" s="16">
        <v>0</v>
      </c>
      <c r="BK139" s="16">
        <f>SUM(BL139)</f>
        <v>0</v>
      </c>
      <c r="BL139" s="16">
        <v>0</v>
      </c>
      <c r="BM139" s="16">
        <f>SUM(BN139:BX139)</f>
        <v>0</v>
      </c>
      <c r="BN139" s="16">
        <v>0</v>
      </c>
      <c r="BO139" s="16">
        <v>0</v>
      </c>
      <c r="BP139" s="16">
        <v>0</v>
      </c>
      <c r="BQ139" s="16">
        <v>0</v>
      </c>
      <c r="BR139" s="16">
        <v>0</v>
      </c>
      <c r="BS139" s="16">
        <v>0</v>
      </c>
      <c r="BT139" s="16">
        <v>0</v>
      </c>
      <c r="BU139" s="16">
        <v>0</v>
      </c>
      <c r="BV139" s="16">
        <v>0</v>
      </c>
      <c r="BW139" s="16">
        <v>0</v>
      </c>
      <c r="BX139" s="16">
        <v>0</v>
      </c>
      <c r="BY139" s="16">
        <f>SUM(BZ139+CS139)</f>
        <v>11649</v>
      </c>
      <c r="BZ139" s="16">
        <f>SUM(CA139+CD139+CK139)</f>
        <v>11649</v>
      </c>
      <c r="CA139" s="16">
        <f>SUM(CB139:CC139)</f>
        <v>11649</v>
      </c>
      <c r="CB139" s="16">
        <v>0</v>
      </c>
      <c r="CC139" s="16">
        <v>11649</v>
      </c>
      <c r="CD139" s="16">
        <f>SUM(CE139:CI139)</f>
        <v>0</v>
      </c>
      <c r="CE139" s="16">
        <v>0</v>
      </c>
      <c r="CF139" s="16">
        <v>0</v>
      </c>
      <c r="CG139" s="16">
        <v>0</v>
      </c>
      <c r="CH139" s="16">
        <v>0</v>
      </c>
      <c r="CI139" s="16">
        <v>0</v>
      </c>
      <c r="CJ139" s="16">
        <v>0</v>
      </c>
      <c r="CK139" s="16">
        <f>SUM(CL139:CP139)</f>
        <v>0</v>
      </c>
      <c r="CL139" s="16">
        <v>0</v>
      </c>
      <c r="CM139" s="16">
        <v>0</v>
      </c>
      <c r="CN139" s="16">
        <v>0</v>
      </c>
      <c r="CO139" s="16">
        <v>0</v>
      </c>
      <c r="CP139" s="16">
        <v>0</v>
      </c>
      <c r="CQ139" s="16">
        <v>0</v>
      </c>
      <c r="CR139" s="16">
        <v>0</v>
      </c>
      <c r="CS139" s="16">
        <v>0</v>
      </c>
      <c r="CT139" s="16">
        <f>SUM(CU139)</f>
        <v>0</v>
      </c>
      <c r="CU139" s="16">
        <f>SUM(CV139:CW139)</f>
        <v>0</v>
      </c>
      <c r="CV139" s="16">
        <v>0</v>
      </c>
      <c r="CW139" s="17">
        <v>0</v>
      </c>
      <c r="CX139" s="40"/>
    </row>
    <row r="140" spans="1:102" ht="15.75" hidden="1" x14ac:dyDescent="0.25">
      <c r="A140" s="13" t="s">
        <v>1</v>
      </c>
      <c r="B140" s="14" t="s">
        <v>1</v>
      </c>
      <c r="C140" s="14" t="s">
        <v>23</v>
      </c>
      <c r="D140" s="30" t="s">
        <v>167</v>
      </c>
      <c r="E140" s="15">
        <f>SUM(F140+BY140+CT140)</f>
        <v>399733</v>
      </c>
      <c r="F140" s="16">
        <f>SUM(G140+BA140)</f>
        <v>399733</v>
      </c>
      <c r="G140" s="16">
        <f>SUM(H140+I140+J140+Q140+T140+U140+V140+AE140)</f>
        <v>349293</v>
      </c>
      <c r="H140" s="16">
        <v>0</v>
      </c>
      <c r="I140" s="16">
        <v>0</v>
      </c>
      <c r="J140" s="16">
        <f t="shared" si="103"/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f t="shared" si="104"/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f>SUM(W140:AD140)</f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f>SUM(AF140:AZ140)</f>
        <v>349293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94438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  <c r="AZ140" s="16">
        <v>254855</v>
      </c>
      <c r="BA140" s="16">
        <f>SUM(BB140+BF140+BI140+BK140+BM140)</f>
        <v>50440</v>
      </c>
      <c r="BB140" s="16">
        <f>SUM(BC140:BE140)</f>
        <v>0</v>
      </c>
      <c r="BC140" s="16">
        <v>0</v>
      </c>
      <c r="BD140" s="16">
        <v>0</v>
      </c>
      <c r="BE140" s="16">
        <v>0</v>
      </c>
      <c r="BF140" s="16">
        <f t="shared" si="105"/>
        <v>0</v>
      </c>
      <c r="BG140" s="16">
        <v>0</v>
      </c>
      <c r="BH140" s="16">
        <v>0</v>
      </c>
      <c r="BI140" s="16">
        <v>0</v>
      </c>
      <c r="BJ140" s="16">
        <v>0</v>
      </c>
      <c r="BK140" s="16">
        <f t="shared" si="106"/>
        <v>0</v>
      </c>
      <c r="BL140" s="16">
        <v>0</v>
      </c>
      <c r="BM140" s="16">
        <f t="shared" si="107"/>
        <v>50440</v>
      </c>
      <c r="BN140" s="16">
        <v>0</v>
      </c>
      <c r="BO140" s="16">
        <v>0</v>
      </c>
      <c r="BP140" s="16">
        <v>50440</v>
      </c>
      <c r="BQ140" s="16">
        <v>0</v>
      </c>
      <c r="BR140" s="16">
        <v>0</v>
      </c>
      <c r="BS140" s="16">
        <v>0</v>
      </c>
      <c r="BT140" s="16">
        <v>0</v>
      </c>
      <c r="BU140" s="16">
        <v>0</v>
      </c>
      <c r="BV140" s="16">
        <v>0</v>
      </c>
      <c r="BW140" s="16">
        <v>0</v>
      </c>
      <c r="BX140" s="16">
        <v>0</v>
      </c>
      <c r="BY140" s="16">
        <f>SUM(BZ140+CS140)</f>
        <v>0</v>
      </c>
      <c r="BZ140" s="16">
        <f>SUM(CA140+CD140+CK140)</f>
        <v>0</v>
      </c>
      <c r="CA140" s="16">
        <f t="shared" si="108"/>
        <v>0</v>
      </c>
      <c r="CB140" s="16">
        <v>0</v>
      </c>
      <c r="CC140" s="16">
        <v>0</v>
      </c>
      <c r="CD140" s="16">
        <f t="shared" si="109"/>
        <v>0</v>
      </c>
      <c r="CE140" s="16">
        <v>0</v>
      </c>
      <c r="CF140" s="16">
        <v>0</v>
      </c>
      <c r="CG140" s="16">
        <v>0</v>
      </c>
      <c r="CH140" s="16">
        <v>0</v>
      </c>
      <c r="CI140" s="16">
        <v>0</v>
      </c>
      <c r="CJ140" s="16">
        <v>0</v>
      </c>
      <c r="CK140" s="16">
        <f t="shared" si="110"/>
        <v>0</v>
      </c>
      <c r="CL140" s="16">
        <v>0</v>
      </c>
      <c r="CM140" s="16">
        <v>0</v>
      </c>
      <c r="CN140" s="16">
        <v>0</v>
      </c>
      <c r="CO140" s="16">
        <v>0</v>
      </c>
      <c r="CP140" s="16">
        <v>0</v>
      </c>
      <c r="CQ140" s="16">
        <v>0</v>
      </c>
      <c r="CR140" s="16">
        <v>0</v>
      </c>
      <c r="CS140" s="16">
        <v>0</v>
      </c>
      <c r="CT140" s="16">
        <f t="shared" si="111"/>
        <v>0</v>
      </c>
      <c r="CU140" s="16">
        <f t="shared" si="112"/>
        <v>0</v>
      </c>
      <c r="CV140" s="16">
        <v>0</v>
      </c>
      <c r="CW140" s="17">
        <v>0</v>
      </c>
      <c r="CX140" s="40"/>
    </row>
    <row r="141" spans="1:102" ht="31.5" x14ac:dyDescent="0.25">
      <c r="A141" s="18" t="s">
        <v>169</v>
      </c>
      <c r="B141" s="19" t="s">
        <v>1</v>
      </c>
      <c r="C141" s="19" t="s">
        <v>1</v>
      </c>
      <c r="D141" s="31" t="s">
        <v>170</v>
      </c>
      <c r="E141" s="20">
        <f>SUM(E142+E146+E149)</f>
        <v>23539458</v>
      </c>
      <c r="F141" s="21">
        <f t="shared" ref="F141:BS141" si="226">SUM(F142+F146+F149)</f>
        <v>23299794</v>
      </c>
      <c r="G141" s="21">
        <f t="shared" si="226"/>
        <v>22787634</v>
      </c>
      <c r="H141" s="21">
        <f t="shared" si="226"/>
        <v>14906008</v>
      </c>
      <c r="I141" s="21">
        <f t="shared" si="226"/>
        <v>3487289</v>
      </c>
      <c r="J141" s="21">
        <f t="shared" si="226"/>
        <v>217065</v>
      </c>
      <c r="K141" s="21">
        <f t="shared" si="226"/>
        <v>0</v>
      </c>
      <c r="L141" s="21">
        <f t="shared" si="226"/>
        <v>8000</v>
      </c>
      <c r="M141" s="21">
        <f t="shared" si="226"/>
        <v>0</v>
      </c>
      <c r="N141" s="21">
        <f t="shared" si="226"/>
        <v>0</v>
      </c>
      <c r="O141" s="21">
        <f t="shared" si="226"/>
        <v>195264</v>
      </c>
      <c r="P141" s="21">
        <f t="shared" si="226"/>
        <v>13801</v>
      </c>
      <c r="Q141" s="21">
        <f t="shared" si="226"/>
        <v>1081</v>
      </c>
      <c r="R141" s="21">
        <f t="shared" si="226"/>
        <v>1081</v>
      </c>
      <c r="S141" s="21">
        <f t="shared" si="226"/>
        <v>0</v>
      </c>
      <c r="T141" s="21">
        <f t="shared" si="226"/>
        <v>0</v>
      </c>
      <c r="U141" s="21">
        <f t="shared" si="226"/>
        <v>99698</v>
      </c>
      <c r="V141" s="21">
        <f t="shared" si="226"/>
        <v>204466</v>
      </c>
      <c r="W141" s="21">
        <f t="shared" si="226"/>
        <v>9800</v>
      </c>
      <c r="X141" s="21">
        <f t="shared" si="226"/>
        <v>135632</v>
      </c>
      <c r="Y141" s="21">
        <f t="shared" si="226"/>
        <v>41855</v>
      </c>
      <c r="Z141" s="21">
        <f t="shared" si="226"/>
        <v>8943</v>
      </c>
      <c r="AA141" s="21">
        <f t="shared" si="226"/>
        <v>6522</v>
      </c>
      <c r="AB141" s="21">
        <f t="shared" si="226"/>
        <v>0</v>
      </c>
      <c r="AC141" s="21">
        <f t="shared" si="226"/>
        <v>0</v>
      </c>
      <c r="AD141" s="21">
        <f t="shared" ref="AD141" si="227">SUM(AD142+AD146+AD149)</f>
        <v>1714</v>
      </c>
      <c r="AE141" s="21">
        <f t="shared" si="226"/>
        <v>3872027</v>
      </c>
      <c r="AF141" s="21">
        <f t="shared" si="226"/>
        <v>0</v>
      </c>
      <c r="AG141" s="21">
        <f t="shared" si="226"/>
        <v>0</v>
      </c>
      <c r="AH141" s="21">
        <f t="shared" si="226"/>
        <v>54080</v>
      </c>
      <c r="AI141" s="21">
        <f t="shared" si="226"/>
        <v>0</v>
      </c>
      <c r="AJ141" s="21">
        <f t="shared" si="226"/>
        <v>9546</v>
      </c>
      <c r="AK141" s="21">
        <f t="shared" si="226"/>
        <v>0</v>
      </c>
      <c r="AL141" s="21">
        <f t="shared" si="226"/>
        <v>119834</v>
      </c>
      <c r="AM141" s="21">
        <f t="shared" si="226"/>
        <v>0</v>
      </c>
      <c r="AN141" s="21">
        <f t="shared" si="226"/>
        <v>0</v>
      </c>
      <c r="AO141" s="21">
        <f t="shared" si="226"/>
        <v>0</v>
      </c>
      <c r="AP141" s="21">
        <f>SUM(AP142+AP146+AP149)</f>
        <v>0</v>
      </c>
      <c r="AQ141" s="21">
        <f t="shared" si="226"/>
        <v>0</v>
      </c>
      <c r="AR141" s="21">
        <f t="shared" si="226"/>
        <v>42219</v>
      </c>
      <c r="AS141" s="21">
        <f t="shared" si="226"/>
        <v>17000</v>
      </c>
      <c r="AT141" s="21">
        <f t="shared" si="226"/>
        <v>0</v>
      </c>
      <c r="AU141" s="21">
        <f t="shared" si="226"/>
        <v>0</v>
      </c>
      <c r="AV141" s="21">
        <f t="shared" si="226"/>
        <v>0</v>
      </c>
      <c r="AW141" s="21">
        <f t="shared" si="226"/>
        <v>0</v>
      </c>
      <c r="AX141" s="21">
        <f t="shared" si="226"/>
        <v>0</v>
      </c>
      <c r="AY141" s="21">
        <f t="shared" si="226"/>
        <v>0</v>
      </c>
      <c r="AZ141" s="21">
        <f t="shared" si="226"/>
        <v>3629348</v>
      </c>
      <c r="BA141" s="21">
        <f t="shared" si="226"/>
        <v>512160</v>
      </c>
      <c r="BB141" s="21">
        <f t="shared" si="226"/>
        <v>0</v>
      </c>
      <c r="BC141" s="21">
        <f t="shared" si="226"/>
        <v>0</v>
      </c>
      <c r="BD141" s="21">
        <f t="shared" si="226"/>
        <v>0</v>
      </c>
      <c r="BE141" s="21">
        <f t="shared" si="226"/>
        <v>0</v>
      </c>
      <c r="BF141" s="21">
        <f t="shared" si="226"/>
        <v>0</v>
      </c>
      <c r="BG141" s="21">
        <f t="shared" si="226"/>
        <v>0</v>
      </c>
      <c r="BH141" s="21">
        <f t="shared" si="226"/>
        <v>0</v>
      </c>
      <c r="BI141" s="21">
        <f t="shared" si="226"/>
        <v>0</v>
      </c>
      <c r="BJ141" s="21">
        <f t="shared" si="226"/>
        <v>0</v>
      </c>
      <c r="BK141" s="21">
        <f t="shared" si="226"/>
        <v>0</v>
      </c>
      <c r="BL141" s="21">
        <f t="shared" si="226"/>
        <v>0</v>
      </c>
      <c r="BM141" s="21">
        <f t="shared" si="226"/>
        <v>512160</v>
      </c>
      <c r="BN141" s="21">
        <f t="shared" si="226"/>
        <v>0</v>
      </c>
      <c r="BO141" s="21">
        <f t="shared" si="226"/>
        <v>0</v>
      </c>
      <c r="BP141" s="21">
        <f t="shared" si="226"/>
        <v>512160</v>
      </c>
      <c r="BQ141" s="21">
        <f t="shared" si="226"/>
        <v>0</v>
      </c>
      <c r="BR141" s="21">
        <f t="shared" si="226"/>
        <v>0</v>
      </c>
      <c r="BS141" s="21">
        <f t="shared" si="226"/>
        <v>0</v>
      </c>
      <c r="BT141" s="21">
        <f t="shared" ref="BT141:CW141" si="228">SUM(BT142+BT146+BT149)</f>
        <v>0</v>
      </c>
      <c r="BU141" s="21">
        <f t="shared" si="228"/>
        <v>0</v>
      </c>
      <c r="BV141" s="21">
        <f t="shared" si="228"/>
        <v>0</v>
      </c>
      <c r="BW141" s="21">
        <f t="shared" si="228"/>
        <v>0</v>
      </c>
      <c r="BX141" s="21">
        <f t="shared" si="228"/>
        <v>0</v>
      </c>
      <c r="BY141" s="21">
        <f t="shared" si="228"/>
        <v>239664</v>
      </c>
      <c r="BZ141" s="21">
        <f t="shared" si="228"/>
        <v>239664</v>
      </c>
      <c r="CA141" s="21">
        <f t="shared" si="228"/>
        <v>239664</v>
      </c>
      <c r="CB141" s="21">
        <f t="shared" si="228"/>
        <v>0</v>
      </c>
      <c r="CC141" s="21">
        <f t="shared" si="228"/>
        <v>239664</v>
      </c>
      <c r="CD141" s="21">
        <f t="shared" si="228"/>
        <v>0</v>
      </c>
      <c r="CE141" s="21">
        <f t="shared" si="228"/>
        <v>0</v>
      </c>
      <c r="CF141" s="21">
        <f>SUM(CF142+CF146+CF149)</f>
        <v>0</v>
      </c>
      <c r="CG141" s="21">
        <f t="shared" si="228"/>
        <v>0</v>
      </c>
      <c r="CH141" s="21">
        <f t="shared" si="228"/>
        <v>0</v>
      </c>
      <c r="CI141" s="21">
        <f t="shared" si="228"/>
        <v>0</v>
      </c>
      <c r="CJ141" s="21">
        <f t="shared" ref="CJ141" si="229">SUM(CJ142+CJ146+CJ149)</f>
        <v>0</v>
      </c>
      <c r="CK141" s="21">
        <f t="shared" si="228"/>
        <v>0</v>
      </c>
      <c r="CL141" s="21">
        <f t="shared" si="228"/>
        <v>0</v>
      </c>
      <c r="CM141" s="21">
        <f>SUM(CM142+CM146+CM149)</f>
        <v>0</v>
      </c>
      <c r="CN141" s="21">
        <f t="shared" si="228"/>
        <v>0</v>
      </c>
      <c r="CO141" s="21">
        <f t="shared" si="228"/>
        <v>0</v>
      </c>
      <c r="CP141" s="21">
        <f t="shared" si="228"/>
        <v>0</v>
      </c>
      <c r="CQ141" s="21">
        <f t="shared" si="228"/>
        <v>0</v>
      </c>
      <c r="CR141" s="21">
        <f t="shared" si="228"/>
        <v>0</v>
      </c>
      <c r="CS141" s="21">
        <f t="shared" si="228"/>
        <v>0</v>
      </c>
      <c r="CT141" s="21">
        <f t="shared" si="228"/>
        <v>0</v>
      </c>
      <c r="CU141" s="21">
        <f t="shared" si="228"/>
        <v>0</v>
      </c>
      <c r="CV141" s="21">
        <f t="shared" si="228"/>
        <v>0</v>
      </c>
      <c r="CW141" s="22">
        <f t="shared" si="228"/>
        <v>0</v>
      </c>
      <c r="CX141" s="40"/>
    </row>
    <row r="142" spans="1:102" ht="31.5" x14ac:dyDescent="0.25">
      <c r="A142" s="13" t="s">
        <v>171</v>
      </c>
      <c r="B142" s="14" t="s">
        <v>7</v>
      </c>
      <c r="C142" s="14" t="s">
        <v>1</v>
      </c>
      <c r="D142" s="30" t="s">
        <v>172</v>
      </c>
      <c r="E142" s="15">
        <f>SUM(E143:E145)</f>
        <v>13523279</v>
      </c>
      <c r="F142" s="16">
        <f t="shared" ref="F142:BS142" si="230">SUM(F143:F145)</f>
        <v>13371643</v>
      </c>
      <c r="G142" s="16">
        <f t="shared" si="230"/>
        <v>13371643</v>
      </c>
      <c r="H142" s="16">
        <f t="shared" si="230"/>
        <v>10352411</v>
      </c>
      <c r="I142" s="16">
        <f t="shared" si="230"/>
        <v>2422237</v>
      </c>
      <c r="J142" s="16">
        <f t="shared" si="230"/>
        <v>128615</v>
      </c>
      <c r="K142" s="16">
        <f t="shared" si="230"/>
        <v>0</v>
      </c>
      <c r="L142" s="16">
        <f t="shared" si="230"/>
        <v>0</v>
      </c>
      <c r="M142" s="16">
        <f t="shared" si="230"/>
        <v>0</v>
      </c>
      <c r="N142" s="16">
        <f t="shared" si="230"/>
        <v>0</v>
      </c>
      <c r="O142" s="16">
        <f t="shared" si="230"/>
        <v>119656</v>
      </c>
      <c r="P142" s="16">
        <f t="shared" si="230"/>
        <v>8959</v>
      </c>
      <c r="Q142" s="16">
        <f t="shared" si="230"/>
        <v>1081</v>
      </c>
      <c r="R142" s="16">
        <f t="shared" si="230"/>
        <v>1081</v>
      </c>
      <c r="S142" s="16">
        <f t="shared" si="230"/>
        <v>0</v>
      </c>
      <c r="T142" s="16">
        <f t="shared" si="230"/>
        <v>0</v>
      </c>
      <c r="U142" s="16">
        <f t="shared" si="230"/>
        <v>43857</v>
      </c>
      <c r="V142" s="16">
        <f t="shared" si="230"/>
        <v>135815</v>
      </c>
      <c r="W142" s="16">
        <f t="shared" si="230"/>
        <v>9800</v>
      </c>
      <c r="X142" s="16">
        <f t="shared" si="230"/>
        <v>73512</v>
      </c>
      <c r="Y142" s="16">
        <f t="shared" si="230"/>
        <v>36328</v>
      </c>
      <c r="Z142" s="16">
        <f t="shared" si="230"/>
        <v>7939</v>
      </c>
      <c r="AA142" s="16">
        <f t="shared" si="230"/>
        <v>6522</v>
      </c>
      <c r="AB142" s="16">
        <f t="shared" si="230"/>
        <v>0</v>
      </c>
      <c r="AC142" s="16">
        <f t="shared" si="230"/>
        <v>0</v>
      </c>
      <c r="AD142" s="16">
        <f t="shared" ref="AD142" si="231">SUM(AD143:AD145)</f>
        <v>1714</v>
      </c>
      <c r="AE142" s="16">
        <f t="shared" si="230"/>
        <v>287627</v>
      </c>
      <c r="AF142" s="16">
        <f t="shared" si="230"/>
        <v>0</v>
      </c>
      <c r="AG142" s="16">
        <f t="shared" si="230"/>
        <v>0</v>
      </c>
      <c r="AH142" s="16">
        <f t="shared" si="230"/>
        <v>41407</v>
      </c>
      <c r="AI142" s="16">
        <f t="shared" si="230"/>
        <v>0</v>
      </c>
      <c r="AJ142" s="16">
        <f t="shared" si="230"/>
        <v>3182</v>
      </c>
      <c r="AK142" s="16">
        <f t="shared" si="230"/>
        <v>0</v>
      </c>
      <c r="AL142" s="16">
        <f t="shared" si="230"/>
        <v>75819</v>
      </c>
      <c r="AM142" s="16">
        <f t="shared" si="230"/>
        <v>0</v>
      </c>
      <c r="AN142" s="16">
        <f t="shared" si="230"/>
        <v>0</v>
      </c>
      <c r="AO142" s="16">
        <f t="shared" si="230"/>
        <v>0</v>
      </c>
      <c r="AP142" s="16">
        <f>SUM(AP143:AP145)</f>
        <v>0</v>
      </c>
      <c r="AQ142" s="16">
        <f t="shared" si="230"/>
        <v>0</v>
      </c>
      <c r="AR142" s="16">
        <f t="shared" si="230"/>
        <v>42219</v>
      </c>
      <c r="AS142" s="16">
        <f t="shared" si="230"/>
        <v>0</v>
      </c>
      <c r="AT142" s="16">
        <f t="shared" si="230"/>
        <v>0</v>
      </c>
      <c r="AU142" s="16">
        <f t="shared" si="230"/>
        <v>0</v>
      </c>
      <c r="AV142" s="16">
        <f t="shared" si="230"/>
        <v>0</v>
      </c>
      <c r="AW142" s="16">
        <f t="shared" si="230"/>
        <v>0</v>
      </c>
      <c r="AX142" s="16">
        <f t="shared" si="230"/>
        <v>0</v>
      </c>
      <c r="AY142" s="16">
        <f t="shared" si="230"/>
        <v>0</v>
      </c>
      <c r="AZ142" s="16">
        <f t="shared" si="230"/>
        <v>125000</v>
      </c>
      <c r="BA142" s="16">
        <f t="shared" si="230"/>
        <v>0</v>
      </c>
      <c r="BB142" s="16">
        <f t="shared" si="230"/>
        <v>0</v>
      </c>
      <c r="BC142" s="16">
        <f t="shared" si="230"/>
        <v>0</v>
      </c>
      <c r="BD142" s="16">
        <f t="shared" si="230"/>
        <v>0</v>
      </c>
      <c r="BE142" s="16">
        <f t="shared" si="230"/>
        <v>0</v>
      </c>
      <c r="BF142" s="16">
        <f t="shared" si="230"/>
        <v>0</v>
      </c>
      <c r="BG142" s="16">
        <f t="shared" si="230"/>
        <v>0</v>
      </c>
      <c r="BH142" s="16">
        <f t="shared" si="230"/>
        <v>0</v>
      </c>
      <c r="BI142" s="16">
        <f t="shared" si="230"/>
        <v>0</v>
      </c>
      <c r="BJ142" s="16">
        <f t="shared" si="230"/>
        <v>0</v>
      </c>
      <c r="BK142" s="16">
        <f t="shared" si="230"/>
        <v>0</v>
      </c>
      <c r="BL142" s="16">
        <f t="shared" si="230"/>
        <v>0</v>
      </c>
      <c r="BM142" s="16">
        <f t="shared" si="230"/>
        <v>0</v>
      </c>
      <c r="BN142" s="16">
        <f t="shared" si="230"/>
        <v>0</v>
      </c>
      <c r="BO142" s="16">
        <f t="shared" si="230"/>
        <v>0</v>
      </c>
      <c r="BP142" s="16">
        <f t="shared" si="230"/>
        <v>0</v>
      </c>
      <c r="BQ142" s="16">
        <f t="shared" si="230"/>
        <v>0</v>
      </c>
      <c r="BR142" s="16">
        <f t="shared" si="230"/>
        <v>0</v>
      </c>
      <c r="BS142" s="16">
        <f t="shared" si="230"/>
        <v>0</v>
      </c>
      <c r="BT142" s="16">
        <f t="shared" ref="BT142:CW142" si="232">SUM(BT143:BT145)</f>
        <v>0</v>
      </c>
      <c r="BU142" s="16">
        <f t="shared" si="232"/>
        <v>0</v>
      </c>
      <c r="BV142" s="16">
        <f t="shared" si="232"/>
        <v>0</v>
      </c>
      <c r="BW142" s="16">
        <f t="shared" si="232"/>
        <v>0</v>
      </c>
      <c r="BX142" s="16">
        <f t="shared" si="232"/>
        <v>0</v>
      </c>
      <c r="BY142" s="16">
        <f t="shared" si="232"/>
        <v>151636</v>
      </c>
      <c r="BZ142" s="16">
        <f t="shared" si="232"/>
        <v>151636</v>
      </c>
      <c r="CA142" s="16">
        <f t="shared" si="232"/>
        <v>151636</v>
      </c>
      <c r="CB142" s="16">
        <f t="shared" si="232"/>
        <v>0</v>
      </c>
      <c r="CC142" s="16">
        <f t="shared" si="232"/>
        <v>151636</v>
      </c>
      <c r="CD142" s="16">
        <f t="shared" si="232"/>
        <v>0</v>
      </c>
      <c r="CE142" s="16">
        <f t="shared" si="232"/>
        <v>0</v>
      </c>
      <c r="CF142" s="16">
        <f>SUM(CF143:CF145)</f>
        <v>0</v>
      </c>
      <c r="CG142" s="16">
        <f t="shared" si="232"/>
        <v>0</v>
      </c>
      <c r="CH142" s="16">
        <f t="shared" si="232"/>
        <v>0</v>
      </c>
      <c r="CI142" s="16">
        <f t="shared" si="232"/>
        <v>0</v>
      </c>
      <c r="CJ142" s="16">
        <f t="shared" ref="CJ142" si="233">SUM(CJ143:CJ145)</f>
        <v>0</v>
      </c>
      <c r="CK142" s="16">
        <f t="shared" si="232"/>
        <v>0</v>
      </c>
      <c r="CL142" s="16">
        <f t="shared" si="232"/>
        <v>0</v>
      </c>
      <c r="CM142" s="16">
        <f>SUM(CM143:CM145)</f>
        <v>0</v>
      </c>
      <c r="CN142" s="16">
        <f t="shared" si="232"/>
        <v>0</v>
      </c>
      <c r="CO142" s="16">
        <f t="shared" si="232"/>
        <v>0</v>
      </c>
      <c r="CP142" s="16">
        <f t="shared" si="232"/>
        <v>0</v>
      </c>
      <c r="CQ142" s="16">
        <f t="shared" si="232"/>
        <v>0</v>
      </c>
      <c r="CR142" s="16">
        <f t="shared" si="232"/>
        <v>0</v>
      </c>
      <c r="CS142" s="16">
        <f t="shared" si="232"/>
        <v>0</v>
      </c>
      <c r="CT142" s="16">
        <f t="shared" si="232"/>
        <v>0</v>
      </c>
      <c r="CU142" s="16">
        <f t="shared" si="232"/>
        <v>0</v>
      </c>
      <c r="CV142" s="16">
        <f t="shared" si="232"/>
        <v>0</v>
      </c>
      <c r="CW142" s="17">
        <f t="shared" si="232"/>
        <v>0</v>
      </c>
      <c r="CX142" s="40"/>
    </row>
    <row r="143" spans="1:102" ht="31.5" x14ac:dyDescent="0.25">
      <c r="A143" s="13" t="s">
        <v>1</v>
      </c>
      <c r="B143" s="14" t="s">
        <v>1</v>
      </c>
      <c r="C143" s="14" t="s">
        <v>33</v>
      </c>
      <c r="D143" s="30" t="s">
        <v>173</v>
      </c>
      <c r="E143" s="15">
        <f>SUM(F143+BY143+CT143)</f>
        <v>8178780</v>
      </c>
      <c r="F143" s="16">
        <f>SUM(G143+BA143)</f>
        <v>8042211</v>
      </c>
      <c r="G143" s="16">
        <f>SUM(H143+I143+J143+Q143+T143+U143+V143+AE143)</f>
        <v>8042211</v>
      </c>
      <c r="H143" s="16">
        <v>6218149</v>
      </c>
      <c r="I143" s="16">
        <v>1431221</v>
      </c>
      <c r="J143" s="16">
        <f t="shared" si="103"/>
        <v>128615</v>
      </c>
      <c r="K143" s="16">
        <v>0</v>
      </c>
      <c r="L143" s="16">
        <v>0</v>
      </c>
      <c r="M143" s="16">
        <v>0</v>
      </c>
      <c r="N143" s="16">
        <v>0</v>
      </c>
      <c r="O143" s="16">
        <v>119656</v>
      </c>
      <c r="P143" s="16">
        <v>8959</v>
      </c>
      <c r="Q143" s="16">
        <f t="shared" si="104"/>
        <v>1081</v>
      </c>
      <c r="R143" s="16">
        <v>1081</v>
      </c>
      <c r="S143" s="16">
        <v>0</v>
      </c>
      <c r="T143" s="16">
        <v>0</v>
      </c>
      <c r="U143" s="16">
        <v>30909</v>
      </c>
      <c r="V143" s="16">
        <f>SUM(W143:AD143)</f>
        <v>125666</v>
      </c>
      <c r="W143" s="16">
        <v>9800</v>
      </c>
      <c r="X143" s="16">
        <f>73112+400</f>
        <v>73512</v>
      </c>
      <c r="Y143" s="16">
        <v>28758</v>
      </c>
      <c r="Z143" s="16">
        <v>7074</v>
      </c>
      <c r="AA143" s="16">
        <v>6522</v>
      </c>
      <c r="AB143" s="16">
        <v>0</v>
      </c>
      <c r="AC143" s="16">
        <v>0</v>
      </c>
      <c r="AD143" s="16">
        <v>0</v>
      </c>
      <c r="AE143" s="16">
        <f>SUM(AF143:AZ143)</f>
        <v>106570</v>
      </c>
      <c r="AF143" s="16">
        <v>0</v>
      </c>
      <c r="AG143" s="16">
        <v>0</v>
      </c>
      <c r="AH143" s="16">
        <v>36694</v>
      </c>
      <c r="AI143" s="16">
        <v>0</v>
      </c>
      <c r="AJ143" s="16">
        <v>1591</v>
      </c>
      <c r="AK143" s="16">
        <v>0</v>
      </c>
      <c r="AL143" s="16">
        <v>68285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16">
        <v>0</v>
      </c>
      <c r="BA143" s="16">
        <f>SUM(BB143+BF143+BI143+BK143+BM143)</f>
        <v>0</v>
      </c>
      <c r="BB143" s="16">
        <f>SUM(BC143:BE143)</f>
        <v>0</v>
      </c>
      <c r="BC143" s="16">
        <v>0</v>
      </c>
      <c r="BD143" s="16">
        <v>0</v>
      </c>
      <c r="BE143" s="16">
        <v>0</v>
      </c>
      <c r="BF143" s="16">
        <f t="shared" si="105"/>
        <v>0</v>
      </c>
      <c r="BG143" s="16">
        <v>0</v>
      </c>
      <c r="BH143" s="16">
        <v>0</v>
      </c>
      <c r="BI143" s="16">
        <v>0</v>
      </c>
      <c r="BJ143" s="16">
        <v>0</v>
      </c>
      <c r="BK143" s="16">
        <f t="shared" si="106"/>
        <v>0</v>
      </c>
      <c r="BL143" s="16">
        <v>0</v>
      </c>
      <c r="BM143" s="16">
        <f t="shared" si="107"/>
        <v>0</v>
      </c>
      <c r="BN143" s="16">
        <v>0</v>
      </c>
      <c r="BO143" s="16">
        <v>0</v>
      </c>
      <c r="BP143" s="16">
        <v>0</v>
      </c>
      <c r="BQ143" s="16">
        <v>0</v>
      </c>
      <c r="BR143" s="16">
        <v>0</v>
      </c>
      <c r="BS143" s="16">
        <v>0</v>
      </c>
      <c r="BT143" s="16">
        <v>0</v>
      </c>
      <c r="BU143" s="16">
        <v>0</v>
      </c>
      <c r="BV143" s="16">
        <v>0</v>
      </c>
      <c r="BW143" s="16">
        <v>0</v>
      </c>
      <c r="BX143" s="16">
        <v>0</v>
      </c>
      <c r="BY143" s="16">
        <f>SUM(BZ143+CS143)</f>
        <v>136569</v>
      </c>
      <c r="BZ143" s="16">
        <f>SUM(CA143+CD143+CK143)</f>
        <v>136569</v>
      </c>
      <c r="CA143" s="16">
        <f t="shared" si="108"/>
        <v>136569</v>
      </c>
      <c r="CB143" s="16">
        <v>0</v>
      </c>
      <c r="CC143" s="16">
        <v>136569</v>
      </c>
      <c r="CD143" s="16">
        <f t="shared" si="109"/>
        <v>0</v>
      </c>
      <c r="CE143" s="16">
        <v>0</v>
      </c>
      <c r="CF143" s="16">
        <v>0</v>
      </c>
      <c r="CG143" s="16">
        <v>0</v>
      </c>
      <c r="CH143" s="16">
        <v>0</v>
      </c>
      <c r="CI143" s="16">
        <v>0</v>
      </c>
      <c r="CJ143" s="16">
        <v>0</v>
      </c>
      <c r="CK143" s="16">
        <f t="shared" si="110"/>
        <v>0</v>
      </c>
      <c r="CL143" s="16">
        <v>0</v>
      </c>
      <c r="CM143" s="16">
        <v>0</v>
      </c>
      <c r="CN143" s="16">
        <v>0</v>
      </c>
      <c r="CO143" s="16">
        <v>0</v>
      </c>
      <c r="CP143" s="16">
        <v>0</v>
      </c>
      <c r="CQ143" s="16">
        <v>0</v>
      </c>
      <c r="CR143" s="16">
        <v>0</v>
      </c>
      <c r="CS143" s="16">
        <v>0</v>
      </c>
      <c r="CT143" s="16">
        <f t="shared" si="111"/>
        <v>0</v>
      </c>
      <c r="CU143" s="16">
        <f t="shared" si="112"/>
        <v>0</v>
      </c>
      <c r="CV143" s="16">
        <v>0</v>
      </c>
      <c r="CW143" s="17">
        <v>0</v>
      </c>
      <c r="CX143" s="40"/>
    </row>
    <row r="144" spans="1:102" ht="15.75" x14ac:dyDescent="0.25">
      <c r="A144" s="13" t="s">
        <v>1</v>
      </c>
      <c r="B144" s="14" t="s">
        <v>1</v>
      </c>
      <c r="C144" s="14" t="s">
        <v>33</v>
      </c>
      <c r="D144" s="30" t="s">
        <v>174</v>
      </c>
      <c r="E144" s="15">
        <f>SUM(F144+BY144+CT144)</f>
        <v>1117043</v>
      </c>
      <c r="F144" s="16">
        <f>SUM(G144+BA144)</f>
        <v>1101976</v>
      </c>
      <c r="G144" s="16">
        <f>SUM(H144+I144+J144+Q144+T144+U144+V144+AE144)</f>
        <v>1101976</v>
      </c>
      <c r="H144" s="16">
        <v>728521</v>
      </c>
      <c r="I144" s="16">
        <v>169301</v>
      </c>
      <c r="J144" s="16">
        <f t="shared" si="103"/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f t="shared" si="104"/>
        <v>0</v>
      </c>
      <c r="R144" s="16">
        <v>0</v>
      </c>
      <c r="S144" s="16">
        <v>0</v>
      </c>
      <c r="T144" s="16">
        <v>0</v>
      </c>
      <c r="U144" s="16">
        <v>12948</v>
      </c>
      <c r="V144" s="16">
        <f>SUM(W144:AD144)</f>
        <v>10149</v>
      </c>
      <c r="W144" s="16">
        <v>0</v>
      </c>
      <c r="X144" s="16">
        <v>0</v>
      </c>
      <c r="Y144" s="16">
        <v>7570</v>
      </c>
      <c r="Z144" s="16">
        <v>865</v>
      </c>
      <c r="AA144" s="16">
        <v>0</v>
      </c>
      <c r="AB144" s="16">
        <v>0</v>
      </c>
      <c r="AC144" s="16">
        <v>0</v>
      </c>
      <c r="AD144" s="16">
        <v>1714</v>
      </c>
      <c r="AE144" s="16">
        <f>SUM(AF144:AZ144)</f>
        <v>181057</v>
      </c>
      <c r="AF144" s="16">
        <v>0</v>
      </c>
      <c r="AG144" s="16">
        <v>0</v>
      </c>
      <c r="AH144" s="16">
        <v>4713</v>
      </c>
      <c r="AI144" s="16">
        <v>0</v>
      </c>
      <c r="AJ144" s="16">
        <v>1591</v>
      </c>
      <c r="AK144" s="16">
        <v>0</v>
      </c>
      <c r="AL144" s="16">
        <v>7534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42219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125000</v>
      </c>
      <c r="BA144" s="16">
        <f>SUM(BB144+BF144+BI144+BK144+BM144)</f>
        <v>0</v>
      </c>
      <c r="BB144" s="16">
        <f>SUM(BC144:BE144)</f>
        <v>0</v>
      </c>
      <c r="BC144" s="16">
        <v>0</v>
      </c>
      <c r="BD144" s="16">
        <v>0</v>
      </c>
      <c r="BE144" s="16">
        <v>0</v>
      </c>
      <c r="BF144" s="16">
        <f t="shared" si="105"/>
        <v>0</v>
      </c>
      <c r="BG144" s="16">
        <v>0</v>
      </c>
      <c r="BH144" s="16">
        <v>0</v>
      </c>
      <c r="BI144" s="16">
        <v>0</v>
      </c>
      <c r="BJ144" s="16">
        <v>0</v>
      </c>
      <c r="BK144" s="16">
        <f t="shared" si="106"/>
        <v>0</v>
      </c>
      <c r="BL144" s="16">
        <v>0</v>
      </c>
      <c r="BM144" s="16">
        <f t="shared" si="107"/>
        <v>0</v>
      </c>
      <c r="BN144" s="16">
        <v>0</v>
      </c>
      <c r="BO144" s="16">
        <v>0</v>
      </c>
      <c r="BP144" s="16">
        <v>0</v>
      </c>
      <c r="BQ144" s="16">
        <v>0</v>
      </c>
      <c r="BR144" s="16">
        <v>0</v>
      </c>
      <c r="BS144" s="16">
        <v>0</v>
      </c>
      <c r="BT144" s="16">
        <v>0</v>
      </c>
      <c r="BU144" s="16">
        <v>0</v>
      </c>
      <c r="BV144" s="16">
        <v>0</v>
      </c>
      <c r="BW144" s="16">
        <v>0</v>
      </c>
      <c r="BX144" s="16">
        <v>0</v>
      </c>
      <c r="BY144" s="16">
        <f>SUM(BZ144+CS144)</f>
        <v>15067</v>
      </c>
      <c r="BZ144" s="16">
        <f>SUM(CA144+CD144+CK144)</f>
        <v>15067</v>
      </c>
      <c r="CA144" s="16">
        <f t="shared" si="108"/>
        <v>15067</v>
      </c>
      <c r="CB144" s="16">
        <v>0</v>
      </c>
      <c r="CC144" s="16">
        <v>15067</v>
      </c>
      <c r="CD144" s="16">
        <f t="shared" si="109"/>
        <v>0</v>
      </c>
      <c r="CE144" s="16">
        <v>0</v>
      </c>
      <c r="CF144" s="16">
        <v>0</v>
      </c>
      <c r="CG144" s="16">
        <v>0</v>
      </c>
      <c r="CH144" s="16">
        <v>0</v>
      </c>
      <c r="CI144" s="16">
        <v>0</v>
      </c>
      <c r="CJ144" s="16">
        <v>0</v>
      </c>
      <c r="CK144" s="16">
        <f t="shared" si="110"/>
        <v>0</v>
      </c>
      <c r="CL144" s="16">
        <v>0</v>
      </c>
      <c r="CM144" s="16">
        <v>0</v>
      </c>
      <c r="CN144" s="16">
        <v>0</v>
      </c>
      <c r="CO144" s="16">
        <v>0</v>
      </c>
      <c r="CP144" s="16">
        <v>0</v>
      </c>
      <c r="CQ144" s="16">
        <v>0</v>
      </c>
      <c r="CR144" s="16">
        <v>0</v>
      </c>
      <c r="CS144" s="16">
        <v>0</v>
      </c>
      <c r="CT144" s="16">
        <f t="shared" si="111"/>
        <v>0</v>
      </c>
      <c r="CU144" s="16">
        <f t="shared" si="112"/>
        <v>0</v>
      </c>
      <c r="CV144" s="16">
        <v>0</v>
      </c>
      <c r="CW144" s="17">
        <v>0</v>
      </c>
      <c r="CX144" s="40"/>
    </row>
    <row r="145" spans="1:102" ht="31.5" x14ac:dyDescent="0.25">
      <c r="A145" s="13" t="s">
        <v>1</v>
      </c>
      <c r="B145" s="14" t="s">
        <v>1</v>
      </c>
      <c r="C145" s="14" t="s">
        <v>33</v>
      </c>
      <c r="D145" s="30" t="s">
        <v>521</v>
      </c>
      <c r="E145" s="15">
        <f>SUM(F145+BY145+CT145)</f>
        <v>4227456</v>
      </c>
      <c r="F145" s="16">
        <f>SUM(G145+BA145)</f>
        <v>4227456</v>
      </c>
      <c r="G145" s="16">
        <f>SUM(H145+I145+J145+Q145+T145+U145+V145+AE145)</f>
        <v>4227456</v>
      </c>
      <c r="H145" s="16">
        <v>3405741</v>
      </c>
      <c r="I145" s="16">
        <v>821715</v>
      </c>
      <c r="J145" s="16">
        <f t="shared" si="103"/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f t="shared" si="104"/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f>SUM(W145:AD145)</f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f>SUM(AF145:AZ145)</f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0</v>
      </c>
      <c r="BA145" s="16">
        <f>SUM(BB145+BF145+BI145+BK145+BM145)</f>
        <v>0</v>
      </c>
      <c r="BB145" s="16">
        <f>SUM(BC145:BE145)</f>
        <v>0</v>
      </c>
      <c r="BC145" s="16">
        <v>0</v>
      </c>
      <c r="BD145" s="16">
        <v>0</v>
      </c>
      <c r="BE145" s="16">
        <v>0</v>
      </c>
      <c r="BF145" s="16">
        <f t="shared" si="105"/>
        <v>0</v>
      </c>
      <c r="BG145" s="16">
        <v>0</v>
      </c>
      <c r="BH145" s="16">
        <v>0</v>
      </c>
      <c r="BI145" s="16">
        <v>0</v>
      </c>
      <c r="BJ145" s="16">
        <v>0</v>
      </c>
      <c r="BK145" s="16">
        <f t="shared" si="106"/>
        <v>0</v>
      </c>
      <c r="BL145" s="16">
        <v>0</v>
      </c>
      <c r="BM145" s="16">
        <f t="shared" si="107"/>
        <v>0</v>
      </c>
      <c r="BN145" s="16">
        <v>0</v>
      </c>
      <c r="BO145" s="16">
        <v>0</v>
      </c>
      <c r="BP145" s="16">
        <v>0</v>
      </c>
      <c r="BQ145" s="16">
        <v>0</v>
      </c>
      <c r="BR145" s="16">
        <v>0</v>
      </c>
      <c r="BS145" s="16">
        <v>0</v>
      </c>
      <c r="BT145" s="16">
        <v>0</v>
      </c>
      <c r="BU145" s="16">
        <v>0</v>
      </c>
      <c r="BV145" s="16">
        <v>0</v>
      </c>
      <c r="BW145" s="16">
        <v>0</v>
      </c>
      <c r="BX145" s="16">
        <v>0</v>
      </c>
      <c r="BY145" s="16">
        <f>SUM(BZ145+CS145)</f>
        <v>0</v>
      </c>
      <c r="BZ145" s="16">
        <f>SUM(CA145+CD145+CK145)</f>
        <v>0</v>
      </c>
      <c r="CA145" s="16">
        <f t="shared" si="108"/>
        <v>0</v>
      </c>
      <c r="CB145" s="16">
        <v>0</v>
      </c>
      <c r="CC145" s="16">
        <v>0</v>
      </c>
      <c r="CD145" s="16">
        <f t="shared" si="109"/>
        <v>0</v>
      </c>
      <c r="CE145" s="16">
        <v>0</v>
      </c>
      <c r="CF145" s="16">
        <v>0</v>
      </c>
      <c r="CG145" s="16">
        <v>0</v>
      </c>
      <c r="CH145" s="16">
        <v>0</v>
      </c>
      <c r="CI145" s="16">
        <v>0</v>
      </c>
      <c r="CJ145" s="16">
        <v>0</v>
      </c>
      <c r="CK145" s="16">
        <f t="shared" si="110"/>
        <v>0</v>
      </c>
      <c r="CL145" s="16">
        <v>0</v>
      </c>
      <c r="CM145" s="16">
        <v>0</v>
      </c>
      <c r="CN145" s="16">
        <v>0</v>
      </c>
      <c r="CO145" s="16">
        <v>0</v>
      </c>
      <c r="CP145" s="16">
        <v>0</v>
      </c>
      <c r="CQ145" s="16">
        <v>0</v>
      </c>
      <c r="CR145" s="16">
        <v>0</v>
      </c>
      <c r="CS145" s="16">
        <v>0</v>
      </c>
      <c r="CT145" s="16">
        <f t="shared" si="111"/>
        <v>0</v>
      </c>
      <c r="CU145" s="16">
        <f t="shared" si="112"/>
        <v>0</v>
      </c>
      <c r="CV145" s="16">
        <v>0</v>
      </c>
      <c r="CW145" s="17">
        <v>0</v>
      </c>
      <c r="CX145" s="40"/>
    </row>
    <row r="146" spans="1:102" ht="15.75" x14ac:dyDescent="0.25">
      <c r="A146" s="13" t="s">
        <v>171</v>
      </c>
      <c r="B146" s="14" t="s">
        <v>15</v>
      </c>
      <c r="C146" s="14" t="s">
        <v>1</v>
      </c>
      <c r="D146" s="30" t="s">
        <v>175</v>
      </c>
      <c r="E146" s="15">
        <f>SUM(E147:E148)</f>
        <v>1317760</v>
      </c>
      <c r="F146" s="16">
        <f t="shared" ref="F146:BS146" si="234">SUM(F147:F148)</f>
        <v>1317760</v>
      </c>
      <c r="G146" s="16">
        <f t="shared" si="234"/>
        <v>1317760</v>
      </c>
      <c r="H146" s="16">
        <f t="shared" si="234"/>
        <v>0</v>
      </c>
      <c r="I146" s="16">
        <f t="shared" si="234"/>
        <v>0</v>
      </c>
      <c r="J146" s="16">
        <f t="shared" si="234"/>
        <v>0</v>
      </c>
      <c r="K146" s="16">
        <f t="shared" si="234"/>
        <v>0</v>
      </c>
      <c r="L146" s="16">
        <f t="shared" si="234"/>
        <v>0</v>
      </c>
      <c r="M146" s="16">
        <f t="shared" si="234"/>
        <v>0</v>
      </c>
      <c r="N146" s="16">
        <f t="shared" si="234"/>
        <v>0</v>
      </c>
      <c r="O146" s="16">
        <f t="shared" si="234"/>
        <v>0</v>
      </c>
      <c r="P146" s="16">
        <f t="shared" si="234"/>
        <v>0</v>
      </c>
      <c r="Q146" s="16">
        <f t="shared" si="234"/>
        <v>0</v>
      </c>
      <c r="R146" s="16">
        <f t="shared" si="234"/>
        <v>0</v>
      </c>
      <c r="S146" s="16">
        <f t="shared" si="234"/>
        <v>0</v>
      </c>
      <c r="T146" s="16">
        <f t="shared" si="234"/>
        <v>0</v>
      </c>
      <c r="U146" s="16">
        <f t="shared" si="234"/>
        <v>0</v>
      </c>
      <c r="V146" s="16">
        <f t="shared" si="234"/>
        <v>0</v>
      </c>
      <c r="W146" s="16">
        <f t="shared" si="234"/>
        <v>0</v>
      </c>
      <c r="X146" s="16">
        <f t="shared" si="234"/>
        <v>0</v>
      </c>
      <c r="Y146" s="16">
        <f t="shared" si="234"/>
        <v>0</v>
      </c>
      <c r="Z146" s="16">
        <f t="shared" si="234"/>
        <v>0</v>
      </c>
      <c r="AA146" s="16">
        <f t="shared" si="234"/>
        <v>0</v>
      </c>
      <c r="AB146" s="16">
        <f t="shared" si="234"/>
        <v>0</v>
      </c>
      <c r="AC146" s="16">
        <f t="shared" si="234"/>
        <v>0</v>
      </c>
      <c r="AD146" s="16">
        <f t="shared" ref="AD146" si="235">SUM(AD147:AD148)</f>
        <v>0</v>
      </c>
      <c r="AE146" s="16">
        <f t="shared" si="234"/>
        <v>1317760</v>
      </c>
      <c r="AF146" s="16">
        <f t="shared" si="234"/>
        <v>0</v>
      </c>
      <c r="AG146" s="16">
        <f t="shared" si="234"/>
        <v>0</v>
      </c>
      <c r="AH146" s="16">
        <f t="shared" si="234"/>
        <v>0</v>
      </c>
      <c r="AI146" s="16">
        <f t="shared" si="234"/>
        <v>0</v>
      </c>
      <c r="AJ146" s="16">
        <f t="shared" si="234"/>
        <v>0</v>
      </c>
      <c r="AK146" s="16">
        <f t="shared" si="234"/>
        <v>0</v>
      </c>
      <c r="AL146" s="16">
        <f t="shared" si="234"/>
        <v>0</v>
      </c>
      <c r="AM146" s="16">
        <f t="shared" si="234"/>
        <v>0</v>
      </c>
      <c r="AN146" s="16">
        <f t="shared" si="234"/>
        <v>0</v>
      </c>
      <c r="AO146" s="16">
        <f t="shared" si="234"/>
        <v>0</v>
      </c>
      <c r="AP146" s="16">
        <f>SUM(AP147:AP148)</f>
        <v>0</v>
      </c>
      <c r="AQ146" s="16">
        <f t="shared" si="234"/>
        <v>0</v>
      </c>
      <c r="AR146" s="16">
        <f t="shared" si="234"/>
        <v>0</v>
      </c>
      <c r="AS146" s="16">
        <f t="shared" si="234"/>
        <v>0</v>
      </c>
      <c r="AT146" s="16">
        <f t="shared" si="234"/>
        <v>0</v>
      </c>
      <c r="AU146" s="16">
        <f t="shared" si="234"/>
        <v>0</v>
      </c>
      <c r="AV146" s="16">
        <f t="shared" si="234"/>
        <v>0</v>
      </c>
      <c r="AW146" s="16">
        <f t="shared" si="234"/>
        <v>0</v>
      </c>
      <c r="AX146" s="16">
        <f t="shared" si="234"/>
        <v>0</v>
      </c>
      <c r="AY146" s="16">
        <f t="shared" si="234"/>
        <v>0</v>
      </c>
      <c r="AZ146" s="16">
        <f t="shared" si="234"/>
        <v>1317760</v>
      </c>
      <c r="BA146" s="16">
        <f t="shared" si="234"/>
        <v>0</v>
      </c>
      <c r="BB146" s="16">
        <f t="shared" si="234"/>
        <v>0</v>
      </c>
      <c r="BC146" s="16">
        <f t="shared" si="234"/>
        <v>0</v>
      </c>
      <c r="BD146" s="16">
        <f t="shared" si="234"/>
        <v>0</v>
      </c>
      <c r="BE146" s="16">
        <f t="shared" si="234"/>
        <v>0</v>
      </c>
      <c r="BF146" s="16">
        <f t="shared" si="234"/>
        <v>0</v>
      </c>
      <c r="BG146" s="16">
        <f t="shared" si="234"/>
        <v>0</v>
      </c>
      <c r="BH146" s="16">
        <f t="shared" si="234"/>
        <v>0</v>
      </c>
      <c r="BI146" s="16">
        <f t="shared" si="234"/>
        <v>0</v>
      </c>
      <c r="BJ146" s="16">
        <f t="shared" si="234"/>
        <v>0</v>
      </c>
      <c r="BK146" s="16">
        <f t="shared" si="234"/>
        <v>0</v>
      </c>
      <c r="BL146" s="16">
        <f t="shared" si="234"/>
        <v>0</v>
      </c>
      <c r="BM146" s="16">
        <f t="shared" si="234"/>
        <v>0</v>
      </c>
      <c r="BN146" s="16">
        <f t="shared" si="234"/>
        <v>0</v>
      </c>
      <c r="BO146" s="16">
        <f t="shared" si="234"/>
        <v>0</v>
      </c>
      <c r="BP146" s="16">
        <f t="shared" si="234"/>
        <v>0</v>
      </c>
      <c r="BQ146" s="16">
        <f t="shared" si="234"/>
        <v>0</v>
      </c>
      <c r="BR146" s="16">
        <f t="shared" si="234"/>
        <v>0</v>
      </c>
      <c r="BS146" s="16">
        <f t="shared" si="234"/>
        <v>0</v>
      </c>
      <c r="BT146" s="16">
        <f t="shared" ref="BT146:CW146" si="236">SUM(BT147:BT148)</f>
        <v>0</v>
      </c>
      <c r="BU146" s="16">
        <f t="shared" si="236"/>
        <v>0</v>
      </c>
      <c r="BV146" s="16">
        <f t="shared" si="236"/>
        <v>0</v>
      </c>
      <c r="BW146" s="16">
        <f t="shared" si="236"/>
        <v>0</v>
      </c>
      <c r="BX146" s="16">
        <f t="shared" si="236"/>
        <v>0</v>
      </c>
      <c r="BY146" s="16">
        <f t="shared" si="236"/>
        <v>0</v>
      </c>
      <c r="BZ146" s="16">
        <f t="shared" si="236"/>
        <v>0</v>
      </c>
      <c r="CA146" s="16">
        <f t="shared" si="236"/>
        <v>0</v>
      </c>
      <c r="CB146" s="16">
        <f t="shared" si="236"/>
        <v>0</v>
      </c>
      <c r="CC146" s="16">
        <f t="shared" si="236"/>
        <v>0</v>
      </c>
      <c r="CD146" s="16">
        <f t="shared" si="236"/>
        <v>0</v>
      </c>
      <c r="CE146" s="16">
        <f t="shared" si="236"/>
        <v>0</v>
      </c>
      <c r="CF146" s="16">
        <f>SUM(CF147:CF148)</f>
        <v>0</v>
      </c>
      <c r="CG146" s="16">
        <f t="shared" si="236"/>
        <v>0</v>
      </c>
      <c r="CH146" s="16">
        <f t="shared" si="236"/>
        <v>0</v>
      </c>
      <c r="CI146" s="16">
        <f t="shared" si="236"/>
        <v>0</v>
      </c>
      <c r="CJ146" s="16">
        <f t="shared" ref="CJ146" si="237">SUM(CJ147:CJ148)</f>
        <v>0</v>
      </c>
      <c r="CK146" s="16">
        <f t="shared" si="236"/>
        <v>0</v>
      </c>
      <c r="CL146" s="16">
        <f t="shared" si="236"/>
        <v>0</v>
      </c>
      <c r="CM146" s="16">
        <f>SUM(CM147:CM148)</f>
        <v>0</v>
      </c>
      <c r="CN146" s="16">
        <f t="shared" si="236"/>
        <v>0</v>
      </c>
      <c r="CO146" s="16">
        <f t="shared" si="236"/>
        <v>0</v>
      </c>
      <c r="CP146" s="16">
        <f t="shared" si="236"/>
        <v>0</v>
      </c>
      <c r="CQ146" s="16">
        <f t="shared" si="236"/>
        <v>0</v>
      </c>
      <c r="CR146" s="16">
        <f t="shared" si="236"/>
        <v>0</v>
      </c>
      <c r="CS146" s="16">
        <f t="shared" si="236"/>
        <v>0</v>
      </c>
      <c r="CT146" s="16">
        <f t="shared" si="236"/>
        <v>0</v>
      </c>
      <c r="CU146" s="16">
        <f t="shared" si="236"/>
        <v>0</v>
      </c>
      <c r="CV146" s="16">
        <f t="shared" si="236"/>
        <v>0</v>
      </c>
      <c r="CW146" s="17">
        <f t="shared" si="236"/>
        <v>0</v>
      </c>
      <c r="CX146" s="40"/>
    </row>
    <row r="147" spans="1:102" ht="15.75" x14ac:dyDescent="0.25">
      <c r="A147" s="13" t="s">
        <v>1</v>
      </c>
      <c r="B147" s="14" t="s">
        <v>1</v>
      </c>
      <c r="C147" s="14" t="s">
        <v>23</v>
      </c>
      <c r="D147" s="30" t="s">
        <v>176</v>
      </c>
      <c r="E147" s="15">
        <f>SUM(F147+BY147+CT147)</f>
        <v>551607</v>
      </c>
      <c r="F147" s="16">
        <f>SUM(G147+BA147)</f>
        <v>551607</v>
      </c>
      <c r="G147" s="16">
        <f>SUM(H147+I147+J147+Q147+T147+U147+V147+AE147)</f>
        <v>551607</v>
      </c>
      <c r="H147" s="16">
        <v>0</v>
      </c>
      <c r="I147" s="16">
        <v>0</v>
      </c>
      <c r="J147" s="16">
        <f t="shared" ref="J147:J213" si="238">SUM(K147:P147)</f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f t="shared" ref="Q147:Q213" si="239">SUM(R147:S147)</f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f>SUM(W147:AD147)</f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f>SUM(AF147:AZ147)</f>
        <v>551607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f>691924-140317</f>
        <v>551607</v>
      </c>
      <c r="BA147" s="16">
        <f>SUM(BB147+BF147+BI147+BK147+BM147)</f>
        <v>0</v>
      </c>
      <c r="BB147" s="16">
        <f>SUM(BC147:BE147)</f>
        <v>0</v>
      </c>
      <c r="BC147" s="16">
        <v>0</v>
      </c>
      <c r="BD147" s="16">
        <v>0</v>
      </c>
      <c r="BE147" s="16">
        <v>0</v>
      </c>
      <c r="BF147" s="16">
        <f t="shared" ref="BF147:BF213" si="240">SUM(BG147:BH147)</f>
        <v>0</v>
      </c>
      <c r="BG147" s="16">
        <v>0</v>
      </c>
      <c r="BH147" s="16">
        <v>0</v>
      </c>
      <c r="BI147" s="16">
        <v>0</v>
      </c>
      <c r="BJ147" s="16">
        <v>0</v>
      </c>
      <c r="BK147" s="16">
        <f t="shared" ref="BK147:BK213" si="241">SUM(BL147)</f>
        <v>0</v>
      </c>
      <c r="BL147" s="16">
        <v>0</v>
      </c>
      <c r="BM147" s="16">
        <f t="shared" ref="BM147:BM213" si="242">SUM(BN147:BX147)</f>
        <v>0</v>
      </c>
      <c r="BN147" s="16">
        <v>0</v>
      </c>
      <c r="BO147" s="16">
        <v>0</v>
      </c>
      <c r="BP147" s="16">
        <v>0</v>
      </c>
      <c r="BQ147" s="16">
        <v>0</v>
      </c>
      <c r="BR147" s="16">
        <v>0</v>
      </c>
      <c r="BS147" s="16">
        <v>0</v>
      </c>
      <c r="BT147" s="16">
        <v>0</v>
      </c>
      <c r="BU147" s="16">
        <v>0</v>
      </c>
      <c r="BV147" s="16">
        <v>0</v>
      </c>
      <c r="BW147" s="16">
        <v>0</v>
      </c>
      <c r="BX147" s="16">
        <v>0</v>
      </c>
      <c r="BY147" s="16">
        <f>SUM(BZ147+CS147)</f>
        <v>0</v>
      </c>
      <c r="BZ147" s="16">
        <f>SUM(CA147+CD147+CK147)</f>
        <v>0</v>
      </c>
      <c r="CA147" s="16">
        <f t="shared" ref="CA147:CA213" si="243">SUM(CB147:CC147)</f>
        <v>0</v>
      </c>
      <c r="CB147" s="16">
        <v>0</v>
      </c>
      <c r="CC147" s="16">
        <v>0</v>
      </c>
      <c r="CD147" s="16">
        <f t="shared" ref="CD147:CD213" si="244">SUM(CE147:CI147)</f>
        <v>0</v>
      </c>
      <c r="CE147" s="16">
        <v>0</v>
      </c>
      <c r="CF147" s="16">
        <v>0</v>
      </c>
      <c r="CG147" s="16">
        <v>0</v>
      </c>
      <c r="CH147" s="16">
        <v>0</v>
      </c>
      <c r="CI147" s="16">
        <v>0</v>
      </c>
      <c r="CJ147" s="16">
        <v>0</v>
      </c>
      <c r="CK147" s="16">
        <f t="shared" ref="CK147:CK213" si="245">SUM(CL147:CP147)</f>
        <v>0</v>
      </c>
      <c r="CL147" s="16">
        <v>0</v>
      </c>
      <c r="CM147" s="16">
        <v>0</v>
      </c>
      <c r="CN147" s="16">
        <v>0</v>
      </c>
      <c r="CO147" s="16">
        <v>0</v>
      </c>
      <c r="CP147" s="16">
        <v>0</v>
      </c>
      <c r="CQ147" s="16">
        <v>0</v>
      </c>
      <c r="CR147" s="16">
        <v>0</v>
      </c>
      <c r="CS147" s="16">
        <v>0</v>
      </c>
      <c r="CT147" s="16">
        <f t="shared" ref="CT147:CT213" si="246">SUM(CU147)</f>
        <v>0</v>
      </c>
      <c r="CU147" s="16">
        <f t="shared" ref="CU147:CU213" si="247">SUM(CV147:CW147)</f>
        <v>0</v>
      </c>
      <c r="CV147" s="16">
        <v>0</v>
      </c>
      <c r="CW147" s="17">
        <v>0</v>
      </c>
      <c r="CX147" s="40"/>
    </row>
    <row r="148" spans="1:102" ht="15.75" x14ac:dyDescent="0.25">
      <c r="A148" s="13" t="s">
        <v>1</v>
      </c>
      <c r="B148" s="14" t="s">
        <v>1</v>
      </c>
      <c r="C148" s="14" t="s">
        <v>31</v>
      </c>
      <c r="D148" s="30" t="s">
        <v>177</v>
      </c>
      <c r="E148" s="15">
        <f>SUM(F148+BY148+CT148)</f>
        <v>766153</v>
      </c>
      <c r="F148" s="16">
        <f>SUM(G148+BA148)</f>
        <v>766153</v>
      </c>
      <c r="G148" s="16">
        <f>SUM(H148+I148+J148+Q148+T148+U148+V148+AE148)</f>
        <v>766153</v>
      </c>
      <c r="H148" s="16">
        <v>0</v>
      </c>
      <c r="I148" s="16">
        <v>0</v>
      </c>
      <c r="J148" s="16">
        <f t="shared" si="238"/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f t="shared" si="239"/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f>SUM(W148:AD148)</f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f>SUM(AF148:AZ148)</f>
        <v>766153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16"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  <c r="AZ148" s="16">
        <f>216153+550000</f>
        <v>766153</v>
      </c>
      <c r="BA148" s="16">
        <f>SUM(BB148+BF148+BI148+BK148+BM148)</f>
        <v>0</v>
      </c>
      <c r="BB148" s="16">
        <f>SUM(BC148:BE148)</f>
        <v>0</v>
      </c>
      <c r="BC148" s="16">
        <v>0</v>
      </c>
      <c r="BD148" s="16">
        <v>0</v>
      </c>
      <c r="BE148" s="16">
        <v>0</v>
      </c>
      <c r="BF148" s="16">
        <f t="shared" si="240"/>
        <v>0</v>
      </c>
      <c r="BG148" s="16">
        <v>0</v>
      </c>
      <c r="BH148" s="16">
        <v>0</v>
      </c>
      <c r="BI148" s="16">
        <v>0</v>
      </c>
      <c r="BJ148" s="16">
        <v>0</v>
      </c>
      <c r="BK148" s="16">
        <f t="shared" si="241"/>
        <v>0</v>
      </c>
      <c r="BL148" s="16">
        <v>0</v>
      </c>
      <c r="BM148" s="16">
        <f t="shared" si="242"/>
        <v>0</v>
      </c>
      <c r="BN148" s="16">
        <v>0</v>
      </c>
      <c r="BO148" s="16">
        <v>0</v>
      </c>
      <c r="BP148" s="16">
        <v>0</v>
      </c>
      <c r="BQ148" s="16">
        <v>0</v>
      </c>
      <c r="BR148" s="16">
        <v>0</v>
      </c>
      <c r="BS148" s="16">
        <v>0</v>
      </c>
      <c r="BT148" s="16">
        <v>0</v>
      </c>
      <c r="BU148" s="16">
        <v>0</v>
      </c>
      <c r="BV148" s="16">
        <v>0</v>
      </c>
      <c r="BW148" s="16">
        <v>0</v>
      </c>
      <c r="BX148" s="16">
        <v>0</v>
      </c>
      <c r="BY148" s="16">
        <f>SUM(BZ148+CS148)</f>
        <v>0</v>
      </c>
      <c r="BZ148" s="16">
        <f>SUM(CA148+CD148+CK148)</f>
        <v>0</v>
      </c>
      <c r="CA148" s="16">
        <f t="shared" si="243"/>
        <v>0</v>
      </c>
      <c r="CB148" s="16">
        <v>0</v>
      </c>
      <c r="CC148" s="16">
        <v>0</v>
      </c>
      <c r="CD148" s="16">
        <f t="shared" si="244"/>
        <v>0</v>
      </c>
      <c r="CE148" s="16">
        <v>0</v>
      </c>
      <c r="CF148" s="16">
        <v>0</v>
      </c>
      <c r="CG148" s="16">
        <v>0</v>
      </c>
      <c r="CH148" s="16">
        <v>0</v>
      </c>
      <c r="CI148" s="16">
        <v>0</v>
      </c>
      <c r="CJ148" s="16">
        <v>0</v>
      </c>
      <c r="CK148" s="16">
        <f t="shared" si="245"/>
        <v>0</v>
      </c>
      <c r="CL148" s="16">
        <v>0</v>
      </c>
      <c r="CM148" s="16">
        <v>0</v>
      </c>
      <c r="CN148" s="16">
        <v>0</v>
      </c>
      <c r="CO148" s="16">
        <v>0</v>
      </c>
      <c r="CP148" s="16">
        <v>0</v>
      </c>
      <c r="CQ148" s="16">
        <v>0</v>
      </c>
      <c r="CR148" s="16">
        <v>0</v>
      </c>
      <c r="CS148" s="16">
        <v>0</v>
      </c>
      <c r="CT148" s="16">
        <f t="shared" si="246"/>
        <v>0</v>
      </c>
      <c r="CU148" s="16">
        <f t="shared" si="247"/>
        <v>0</v>
      </c>
      <c r="CV148" s="16">
        <v>0</v>
      </c>
      <c r="CW148" s="17">
        <v>0</v>
      </c>
      <c r="CX148" s="40"/>
    </row>
    <row r="149" spans="1:102" ht="31.5" x14ac:dyDescent="0.25">
      <c r="A149" s="13" t="s">
        <v>171</v>
      </c>
      <c r="B149" s="14" t="s">
        <v>47</v>
      </c>
      <c r="C149" s="14" t="s">
        <v>1</v>
      </c>
      <c r="D149" s="30" t="s">
        <v>178</v>
      </c>
      <c r="E149" s="15">
        <f t="shared" ref="E149:AJ149" si="248">SUM(E150:E155)</f>
        <v>8698419</v>
      </c>
      <c r="F149" s="16">
        <f t="shared" si="248"/>
        <v>8610391</v>
      </c>
      <c r="G149" s="16">
        <f t="shared" si="248"/>
        <v>8098231</v>
      </c>
      <c r="H149" s="16">
        <f t="shared" si="248"/>
        <v>4553597</v>
      </c>
      <c r="I149" s="16">
        <f t="shared" si="248"/>
        <v>1065052</v>
      </c>
      <c r="J149" s="16">
        <f t="shared" si="248"/>
        <v>88450</v>
      </c>
      <c r="K149" s="16">
        <f t="shared" si="248"/>
        <v>0</v>
      </c>
      <c r="L149" s="16">
        <f t="shared" si="248"/>
        <v>8000</v>
      </c>
      <c r="M149" s="16">
        <f t="shared" si="248"/>
        <v>0</v>
      </c>
      <c r="N149" s="16">
        <f t="shared" si="248"/>
        <v>0</v>
      </c>
      <c r="O149" s="16">
        <f t="shared" si="248"/>
        <v>75608</v>
      </c>
      <c r="P149" s="16">
        <f t="shared" si="248"/>
        <v>4842</v>
      </c>
      <c r="Q149" s="16">
        <f t="shared" si="248"/>
        <v>0</v>
      </c>
      <c r="R149" s="16">
        <f t="shared" si="248"/>
        <v>0</v>
      </c>
      <c r="S149" s="16">
        <f t="shared" si="248"/>
        <v>0</v>
      </c>
      <c r="T149" s="16">
        <f t="shared" si="248"/>
        <v>0</v>
      </c>
      <c r="U149" s="16">
        <f t="shared" si="248"/>
        <v>55841</v>
      </c>
      <c r="V149" s="16">
        <f t="shared" si="248"/>
        <v>68651</v>
      </c>
      <c r="W149" s="16">
        <f t="shared" si="248"/>
        <v>0</v>
      </c>
      <c r="X149" s="16">
        <f t="shared" si="248"/>
        <v>62120</v>
      </c>
      <c r="Y149" s="16">
        <f t="shared" si="248"/>
        <v>5527</v>
      </c>
      <c r="Z149" s="16">
        <f t="shared" si="248"/>
        <v>1004</v>
      </c>
      <c r="AA149" s="16">
        <f t="shared" si="248"/>
        <v>0</v>
      </c>
      <c r="AB149" s="16">
        <f t="shared" si="248"/>
        <v>0</v>
      </c>
      <c r="AC149" s="16">
        <f t="shared" si="248"/>
        <v>0</v>
      </c>
      <c r="AD149" s="16">
        <f t="shared" si="248"/>
        <v>0</v>
      </c>
      <c r="AE149" s="16">
        <f t="shared" si="248"/>
        <v>2266640</v>
      </c>
      <c r="AF149" s="16">
        <f t="shared" si="248"/>
        <v>0</v>
      </c>
      <c r="AG149" s="16">
        <f t="shared" si="248"/>
        <v>0</v>
      </c>
      <c r="AH149" s="16">
        <f t="shared" si="248"/>
        <v>12673</v>
      </c>
      <c r="AI149" s="16">
        <f t="shared" si="248"/>
        <v>0</v>
      </c>
      <c r="AJ149" s="16">
        <f t="shared" si="248"/>
        <v>6364</v>
      </c>
      <c r="AK149" s="16">
        <f t="shared" ref="AK149:BP149" si="249">SUM(AK150:AK155)</f>
        <v>0</v>
      </c>
      <c r="AL149" s="16">
        <f t="shared" si="249"/>
        <v>44015</v>
      </c>
      <c r="AM149" s="16">
        <f t="shared" si="249"/>
        <v>0</v>
      </c>
      <c r="AN149" s="16">
        <f t="shared" si="249"/>
        <v>0</v>
      </c>
      <c r="AO149" s="16">
        <f t="shared" si="249"/>
        <v>0</v>
      </c>
      <c r="AP149" s="16">
        <f t="shared" si="249"/>
        <v>0</v>
      </c>
      <c r="AQ149" s="16">
        <f t="shared" si="249"/>
        <v>0</v>
      </c>
      <c r="AR149" s="16">
        <f t="shared" si="249"/>
        <v>0</v>
      </c>
      <c r="AS149" s="16">
        <f t="shared" si="249"/>
        <v>17000</v>
      </c>
      <c r="AT149" s="16">
        <f t="shared" si="249"/>
        <v>0</v>
      </c>
      <c r="AU149" s="16">
        <f t="shared" si="249"/>
        <v>0</v>
      </c>
      <c r="AV149" s="16">
        <f t="shared" si="249"/>
        <v>0</v>
      </c>
      <c r="AW149" s="16">
        <f t="shared" si="249"/>
        <v>0</v>
      </c>
      <c r="AX149" s="16">
        <f t="shared" si="249"/>
        <v>0</v>
      </c>
      <c r="AY149" s="16">
        <f t="shared" si="249"/>
        <v>0</v>
      </c>
      <c r="AZ149" s="16">
        <f t="shared" si="249"/>
        <v>2186588</v>
      </c>
      <c r="BA149" s="16">
        <f t="shared" si="249"/>
        <v>512160</v>
      </c>
      <c r="BB149" s="16">
        <f t="shared" si="249"/>
        <v>0</v>
      </c>
      <c r="BC149" s="16">
        <f t="shared" si="249"/>
        <v>0</v>
      </c>
      <c r="BD149" s="16">
        <f t="shared" si="249"/>
        <v>0</v>
      </c>
      <c r="BE149" s="16">
        <f t="shared" si="249"/>
        <v>0</v>
      </c>
      <c r="BF149" s="16">
        <f t="shared" si="249"/>
        <v>0</v>
      </c>
      <c r="BG149" s="16">
        <f t="shared" si="249"/>
        <v>0</v>
      </c>
      <c r="BH149" s="16">
        <f t="shared" si="249"/>
        <v>0</v>
      </c>
      <c r="BI149" s="16">
        <f t="shared" si="249"/>
        <v>0</v>
      </c>
      <c r="BJ149" s="16">
        <f t="shared" si="249"/>
        <v>0</v>
      </c>
      <c r="BK149" s="16">
        <f t="shared" si="249"/>
        <v>0</v>
      </c>
      <c r="BL149" s="16">
        <f t="shared" si="249"/>
        <v>0</v>
      </c>
      <c r="BM149" s="16">
        <f t="shared" si="249"/>
        <v>512160</v>
      </c>
      <c r="BN149" s="16">
        <f t="shared" si="249"/>
        <v>0</v>
      </c>
      <c r="BO149" s="16">
        <f t="shared" si="249"/>
        <v>0</v>
      </c>
      <c r="BP149" s="16">
        <f t="shared" si="249"/>
        <v>512160</v>
      </c>
      <c r="BQ149" s="16">
        <f t="shared" ref="BQ149:CV149" si="250">SUM(BQ150:BQ155)</f>
        <v>0</v>
      </c>
      <c r="BR149" s="16">
        <f t="shared" si="250"/>
        <v>0</v>
      </c>
      <c r="BS149" s="16">
        <f t="shared" si="250"/>
        <v>0</v>
      </c>
      <c r="BT149" s="16">
        <f t="shared" si="250"/>
        <v>0</v>
      </c>
      <c r="BU149" s="16">
        <f t="shared" si="250"/>
        <v>0</v>
      </c>
      <c r="BV149" s="16">
        <f t="shared" si="250"/>
        <v>0</v>
      </c>
      <c r="BW149" s="16">
        <f t="shared" si="250"/>
        <v>0</v>
      </c>
      <c r="BX149" s="16">
        <f t="shared" si="250"/>
        <v>0</v>
      </c>
      <c r="BY149" s="16">
        <f t="shared" si="250"/>
        <v>88028</v>
      </c>
      <c r="BZ149" s="16">
        <f t="shared" si="250"/>
        <v>88028</v>
      </c>
      <c r="CA149" s="16">
        <f t="shared" si="250"/>
        <v>88028</v>
      </c>
      <c r="CB149" s="16">
        <f t="shared" si="250"/>
        <v>0</v>
      </c>
      <c r="CC149" s="16">
        <f t="shared" si="250"/>
        <v>88028</v>
      </c>
      <c r="CD149" s="16">
        <f t="shared" si="250"/>
        <v>0</v>
      </c>
      <c r="CE149" s="16">
        <f t="shared" si="250"/>
        <v>0</v>
      </c>
      <c r="CF149" s="16">
        <f t="shared" si="250"/>
        <v>0</v>
      </c>
      <c r="CG149" s="16">
        <f t="shared" si="250"/>
        <v>0</v>
      </c>
      <c r="CH149" s="16">
        <f t="shared" si="250"/>
        <v>0</v>
      </c>
      <c r="CI149" s="16">
        <f t="shared" si="250"/>
        <v>0</v>
      </c>
      <c r="CJ149" s="16">
        <f t="shared" si="250"/>
        <v>0</v>
      </c>
      <c r="CK149" s="16">
        <f t="shared" si="250"/>
        <v>0</v>
      </c>
      <c r="CL149" s="16">
        <f t="shared" si="250"/>
        <v>0</v>
      </c>
      <c r="CM149" s="16">
        <f t="shared" si="250"/>
        <v>0</v>
      </c>
      <c r="CN149" s="16">
        <f t="shared" si="250"/>
        <v>0</v>
      </c>
      <c r="CO149" s="16">
        <f t="shared" si="250"/>
        <v>0</v>
      </c>
      <c r="CP149" s="16">
        <f t="shared" si="250"/>
        <v>0</v>
      </c>
      <c r="CQ149" s="16">
        <f t="shared" si="250"/>
        <v>0</v>
      </c>
      <c r="CR149" s="16">
        <f t="shared" si="250"/>
        <v>0</v>
      </c>
      <c r="CS149" s="16">
        <f t="shared" si="250"/>
        <v>0</v>
      </c>
      <c r="CT149" s="16">
        <f t="shared" si="250"/>
        <v>0</v>
      </c>
      <c r="CU149" s="16">
        <f t="shared" si="250"/>
        <v>0</v>
      </c>
      <c r="CV149" s="16">
        <f t="shared" si="250"/>
        <v>0</v>
      </c>
      <c r="CW149" s="17">
        <f t="shared" ref="CW149" si="251">SUM(CW150:CW155)</f>
        <v>0</v>
      </c>
      <c r="CX149" s="40"/>
    </row>
    <row r="150" spans="1:102" ht="15.75" x14ac:dyDescent="0.25">
      <c r="A150" s="13" t="s">
        <v>1</v>
      </c>
      <c r="B150" s="14" t="s">
        <v>1</v>
      </c>
      <c r="C150" s="14" t="s">
        <v>19</v>
      </c>
      <c r="D150" s="30" t="s">
        <v>179</v>
      </c>
      <c r="E150" s="15">
        <f t="shared" ref="E150:E155" si="252">SUM(F150+BY150+CT150)</f>
        <v>1974150</v>
      </c>
      <c r="F150" s="16">
        <f t="shared" ref="F150:F155" si="253">SUM(G150+BA150)</f>
        <v>1955441</v>
      </c>
      <c r="G150" s="16">
        <f t="shared" ref="G150:G155" si="254">SUM(H150+I150+J150+Q150+T150+U150+V150+AE150)</f>
        <v>1443281</v>
      </c>
      <c r="H150" s="16">
        <f>745358+294841</f>
        <v>1040199</v>
      </c>
      <c r="I150" s="16">
        <f>152377+97495</f>
        <v>249872</v>
      </c>
      <c r="J150" s="16">
        <f t="shared" si="238"/>
        <v>64151</v>
      </c>
      <c r="K150" s="16">
        <v>0</v>
      </c>
      <c r="L150" s="16">
        <v>8000</v>
      </c>
      <c r="M150" s="16">
        <v>0</v>
      </c>
      <c r="N150" s="16">
        <v>0</v>
      </c>
      <c r="O150" s="16">
        <f>52892-541</f>
        <v>52351</v>
      </c>
      <c r="P150" s="16">
        <v>3800</v>
      </c>
      <c r="Q150" s="16">
        <f t="shared" si="239"/>
        <v>0</v>
      </c>
      <c r="R150" s="16">
        <v>0</v>
      </c>
      <c r="S150" s="16">
        <v>0</v>
      </c>
      <c r="T150" s="16">
        <v>0</v>
      </c>
      <c r="U150" s="16">
        <v>15691</v>
      </c>
      <c r="V150" s="16">
        <f t="shared" ref="V150:V155" si="255">SUM(W150:AD150)</f>
        <v>42278</v>
      </c>
      <c r="W150" s="16">
        <v>0</v>
      </c>
      <c r="X150" s="16">
        <f>0+41098</f>
        <v>41098</v>
      </c>
      <c r="Y150" s="16">
        <v>977</v>
      </c>
      <c r="Z150" s="16">
        <v>203</v>
      </c>
      <c r="AA150" s="16">
        <v>0</v>
      </c>
      <c r="AB150" s="16">
        <v>0</v>
      </c>
      <c r="AC150" s="16">
        <v>0</v>
      </c>
      <c r="AD150" s="16">
        <v>0</v>
      </c>
      <c r="AE150" s="16">
        <f t="shared" ref="AE150:AE155" si="256">SUM(AF150:AZ150)</f>
        <v>31090</v>
      </c>
      <c r="AF150" s="16">
        <v>0</v>
      </c>
      <c r="AG150" s="16">
        <v>0</v>
      </c>
      <c r="AH150" s="16">
        <v>3144</v>
      </c>
      <c r="AI150" s="16">
        <v>0</v>
      </c>
      <c r="AJ150" s="16">
        <v>1591</v>
      </c>
      <c r="AK150" s="16">
        <v>0</v>
      </c>
      <c r="AL150" s="16">
        <v>9355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17000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  <c r="AZ150" s="16">
        <v>0</v>
      </c>
      <c r="BA150" s="16">
        <f t="shared" ref="BA150:BA155" si="257">SUM(BB150+BF150+BI150+BK150+BM150)</f>
        <v>512160</v>
      </c>
      <c r="BB150" s="16">
        <f t="shared" ref="BB150:BB155" si="258">SUM(BC150:BE150)</f>
        <v>0</v>
      </c>
      <c r="BC150" s="16">
        <v>0</v>
      </c>
      <c r="BD150" s="16">
        <v>0</v>
      </c>
      <c r="BE150" s="16">
        <v>0</v>
      </c>
      <c r="BF150" s="16">
        <f t="shared" si="240"/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f t="shared" si="241"/>
        <v>0</v>
      </c>
      <c r="BL150" s="16">
        <v>0</v>
      </c>
      <c r="BM150" s="16">
        <f t="shared" si="242"/>
        <v>512160</v>
      </c>
      <c r="BN150" s="16">
        <v>0</v>
      </c>
      <c r="BO150" s="16">
        <v>0</v>
      </c>
      <c r="BP150" s="16">
        <v>512160</v>
      </c>
      <c r="BQ150" s="16">
        <v>0</v>
      </c>
      <c r="BR150" s="16">
        <v>0</v>
      </c>
      <c r="BS150" s="16">
        <v>0</v>
      </c>
      <c r="BT150" s="16">
        <v>0</v>
      </c>
      <c r="BU150" s="16">
        <v>0</v>
      </c>
      <c r="BV150" s="16">
        <v>0</v>
      </c>
      <c r="BW150" s="16">
        <v>0</v>
      </c>
      <c r="BX150" s="16">
        <v>0</v>
      </c>
      <c r="BY150" s="16">
        <f t="shared" ref="BY150:BY155" si="259">SUM(BZ150+CS150)</f>
        <v>18709</v>
      </c>
      <c r="BZ150" s="16">
        <f t="shared" ref="BZ150:BZ155" si="260">SUM(CA150+CD150+CK150)</f>
        <v>18709</v>
      </c>
      <c r="CA150" s="16">
        <f t="shared" si="243"/>
        <v>18709</v>
      </c>
      <c r="CB150" s="16">
        <v>0</v>
      </c>
      <c r="CC150" s="16">
        <v>18709</v>
      </c>
      <c r="CD150" s="16">
        <f t="shared" si="244"/>
        <v>0</v>
      </c>
      <c r="CE150" s="16">
        <v>0</v>
      </c>
      <c r="CF150" s="16">
        <v>0</v>
      </c>
      <c r="CG150" s="16">
        <v>0</v>
      </c>
      <c r="CH150" s="16">
        <v>0</v>
      </c>
      <c r="CI150" s="16">
        <v>0</v>
      </c>
      <c r="CJ150" s="16">
        <v>0</v>
      </c>
      <c r="CK150" s="16">
        <f t="shared" si="245"/>
        <v>0</v>
      </c>
      <c r="CL150" s="16">
        <v>0</v>
      </c>
      <c r="CM150" s="16">
        <v>0</v>
      </c>
      <c r="CN150" s="16">
        <v>0</v>
      </c>
      <c r="CO150" s="16">
        <v>0</v>
      </c>
      <c r="CP150" s="16">
        <v>0</v>
      </c>
      <c r="CQ150" s="16">
        <v>0</v>
      </c>
      <c r="CR150" s="16">
        <v>0</v>
      </c>
      <c r="CS150" s="16">
        <v>0</v>
      </c>
      <c r="CT150" s="16">
        <f t="shared" si="246"/>
        <v>0</v>
      </c>
      <c r="CU150" s="16">
        <f t="shared" si="247"/>
        <v>0</v>
      </c>
      <c r="CV150" s="16">
        <v>0</v>
      </c>
      <c r="CW150" s="17">
        <v>0</v>
      </c>
      <c r="CX150" s="40"/>
    </row>
    <row r="151" spans="1:102" ht="15.75" x14ac:dyDescent="0.25">
      <c r="A151" s="13" t="s">
        <v>1</v>
      </c>
      <c r="B151" s="14" t="s">
        <v>1</v>
      </c>
      <c r="C151" s="14" t="s">
        <v>31</v>
      </c>
      <c r="D151" s="30" t="s">
        <v>182</v>
      </c>
      <c r="E151" s="15">
        <f t="shared" si="252"/>
        <v>1385443</v>
      </c>
      <c r="F151" s="16">
        <f t="shared" si="253"/>
        <v>1363845</v>
      </c>
      <c r="G151" s="16">
        <f t="shared" si="254"/>
        <v>1363845</v>
      </c>
      <c r="H151" s="16">
        <v>1024106</v>
      </c>
      <c r="I151" s="16">
        <v>239432</v>
      </c>
      <c r="J151" s="16">
        <f>SUM(K151:P151)</f>
        <v>23257</v>
      </c>
      <c r="K151" s="16">
        <v>0</v>
      </c>
      <c r="L151" s="16">
        <v>0</v>
      </c>
      <c r="M151" s="16">
        <v>0</v>
      </c>
      <c r="N151" s="16">
        <v>0</v>
      </c>
      <c r="O151" s="16">
        <v>23257</v>
      </c>
      <c r="P151" s="16">
        <v>0</v>
      </c>
      <c r="Q151" s="16">
        <f>SUM(R151:S151)</f>
        <v>0</v>
      </c>
      <c r="R151" s="16">
        <v>0</v>
      </c>
      <c r="S151" s="16">
        <v>0</v>
      </c>
      <c r="T151" s="16">
        <v>0</v>
      </c>
      <c r="U151" s="16">
        <v>28758</v>
      </c>
      <c r="V151" s="16">
        <f t="shared" si="255"/>
        <v>26373</v>
      </c>
      <c r="W151" s="16">
        <v>0</v>
      </c>
      <c r="X151" s="16">
        <v>21022</v>
      </c>
      <c r="Y151" s="16">
        <v>4550</v>
      </c>
      <c r="Z151" s="16">
        <v>801</v>
      </c>
      <c r="AA151" s="16">
        <v>0</v>
      </c>
      <c r="AB151" s="16">
        <v>0</v>
      </c>
      <c r="AC151" s="16">
        <v>0</v>
      </c>
      <c r="AD151" s="16">
        <v>0</v>
      </c>
      <c r="AE151" s="16">
        <f t="shared" si="256"/>
        <v>21919</v>
      </c>
      <c r="AF151" s="16">
        <v>0</v>
      </c>
      <c r="AG151" s="16">
        <v>0</v>
      </c>
      <c r="AH151" s="16">
        <v>9529</v>
      </c>
      <c r="AI151" s="16">
        <v>0</v>
      </c>
      <c r="AJ151" s="16">
        <v>1591</v>
      </c>
      <c r="AK151" s="16">
        <v>0</v>
      </c>
      <c r="AL151" s="16">
        <v>10799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f t="shared" si="257"/>
        <v>0</v>
      </c>
      <c r="BB151" s="16">
        <f t="shared" si="258"/>
        <v>0</v>
      </c>
      <c r="BC151" s="16">
        <v>0</v>
      </c>
      <c r="BD151" s="16">
        <v>0</v>
      </c>
      <c r="BE151" s="16">
        <v>0</v>
      </c>
      <c r="BF151" s="16">
        <f>SUM(BG151:BH151)</f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f>SUM(BL151)</f>
        <v>0</v>
      </c>
      <c r="BL151" s="16">
        <v>0</v>
      </c>
      <c r="BM151" s="16">
        <f>SUM(BN151:BX151)</f>
        <v>0</v>
      </c>
      <c r="BN151" s="16">
        <v>0</v>
      </c>
      <c r="BO151" s="16">
        <v>0</v>
      </c>
      <c r="BP151" s="16">
        <v>0</v>
      </c>
      <c r="BQ151" s="16">
        <v>0</v>
      </c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  <c r="BW151" s="16">
        <v>0</v>
      </c>
      <c r="BX151" s="16">
        <v>0</v>
      </c>
      <c r="BY151" s="16">
        <f t="shared" si="259"/>
        <v>21598</v>
      </c>
      <c r="BZ151" s="16">
        <f t="shared" si="260"/>
        <v>21598</v>
      </c>
      <c r="CA151" s="16">
        <f>SUM(CB151:CC151)</f>
        <v>21598</v>
      </c>
      <c r="CB151" s="16">
        <v>0</v>
      </c>
      <c r="CC151" s="16">
        <v>21598</v>
      </c>
      <c r="CD151" s="16">
        <f>SUM(CE151:CI151)</f>
        <v>0</v>
      </c>
      <c r="CE151" s="16">
        <v>0</v>
      </c>
      <c r="CF151" s="16">
        <v>0</v>
      </c>
      <c r="CG151" s="16">
        <v>0</v>
      </c>
      <c r="CH151" s="16">
        <v>0</v>
      </c>
      <c r="CI151" s="16">
        <v>0</v>
      </c>
      <c r="CJ151" s="16">
        <v>0</v>
      </c>
      <c r="CK151" s="16">
        <f>SUM(CL151:CP151)</f>
        <v>0</v>
      </c>
      <c r="CL151" s="16">
        <v>0</v>
      </c>
      <c r="CM151" s="16">
        <v>0</v>
      </c>
      <c r="CN151" s="16">
        <v>0</v>
      </c>
      <c r="CO151" s="16">
        <v>0</v>
      </c>
      <c r="CP151" s="16">
        <v>0</v>
      </c>
      <c r="CQ151" s="16">
        <v>0</v>
      </c>
      <c r="CR151" s="16">
        <v>0</v>
      </c>
      <c r="CS151" s="16">
        <v>0</v>
      </c>
      <c r="CT151" s="16">
        <f>SUM(CU151)</f>
        <v>0</v>
      </c>
      <c r="CU151" s="16">
        <f>SUM(CV151:CW151)</f>
        <v>0</v>
      </c>
      <c r="CV151" s="16">
        <v>0</v>
      </c>
      <c r="CW151" s="17">
        <v>0</v>
      </c>
      <c r="CX151" s="40"/>
    </row>
    <row r="152" spans="1:102" s="59" customFormat="1" ht="15.75" x14ac:dyDescent="0.25">
      <c r="A152" s="52" t="s">
        <v>1</v>
      </c>
      <c r="B152" s="53" t="s">
        <v>1</v>
      </c>
      <c r="C152" s="53" t="s">
        <v>31</v>
      </c>
      <c r="D152" s="54" t="s">
        <v>181</v>
      </c>
      <c r="E152" s="55">
        <f t="shared" si="252"/>
        <v>2443406</v>
      </c>
      <c r="F152" s="56">
        <f t="shared" si="253"/>
        <v>2406296</v>
      </c>
      <c r="G152" s="56">
        <f t="shared" si="254"/>
        <v>2406296</v>
      </c>
      <c r="H152" s="56">
        <v>1855501</v>
      </c>
      <c r="I152" s="56">
        <v>429375</v>
      </c>
      <c r="J152" s="56">
        <f t="shared" si="238"/>
        <v>1042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1042</v>
      </c>
      <c r="Q152" s="56">
        <f t="shared" si="239"/>
        <v>0</v>
      </c>
      <c r="R152" s="56">
        <v>0</v>
      </c>
      <c r="S152" s="56">
        <v>0</v>
      </c>
      <c r="T152" s="56">
        <v>0</v>
      </c>
      <c r="U152" s="56">
        <v>5765</v>
      </c>
      <c r="V152" s="56">
        <f t="shared" si="255"/>
        <v>0</v>
      </c>
      <c r="W152" s="56">
        <v>0</v>
      </c>
      <c r="X152" s="56">
        <v>0</v>
      </c>
      <c r="Y152" s="56">
        <v>0</v>
      </c>
      <c r="Z152" s="56">
        <v>0</v>
      </c>
      <c r="AA152" s="56">
        <v>0</v>
      </c>
      <c r="AB152" s="56">
        <v>0</v>
      </c>
      <c r="AC152" s="56">
        <v>0</v>
      </c>
      <c r="AD152" s="56">
        <v>0</v>
      </c>
      <c r="AE152" s="56">
        <f t="shared" si="256"/>
        <v>114613</v>
      </c>
      <c r="AF152" s="56">
        <v>0</v>
      </c>
      <c r="AG152" s="56">
        <v>0</v>
      </c>
      <c r="AH152" s="56">
        <v>0</v>
      </c>
      <c r="AI152" s="56">
        <v>0</v>
      </c>
      <c r="AJ152" s="56">
        <v>1591</v>
      </c>
      <c r="AK152" s="56">
        <v>0</v>
      </c>
      <c r="AL152" s="56">
        <v>18555</v>
      </c>
      <c r="AM152" s="56">
        <v>0</v>
      </c>
      <c r="AN152" s="56">
        <v>0</v>
      </c>
      <c r="AO152" s="56">
        <v>0</v>
      </c>
      <c r="AP152" s="56">
        <v>0</v>
      </c>
      <c r="AQ152" s="56">
        <v>0</v>
      </c>
      <c r="AR152" s="56">
        <v>0</v>
      </c>
      <c r="AS152" s="56">
        <v>0</v>
      </c>
      <c r="AT152" s="56">
        <v>0</v>
      </c>
      <c r="AU152" s="56">
        <v>0</v>
      </c>
      <c r="AV152" s="56">
        <v>0</v>
      </c>
      <c r="AW152" s="56">
        <v>0</v>
      </c>
      <c r="AX152" s="56">
        <v>0</v>
      </c>
      <c r="AY152" s="56">
        <v>0</v>
      </c>
      <c r="AZ152" s="56">
        <v>94467</v>
      </c>
      <c r="BA152" s="56">
        <f t="shared" si="257"/>
        <v>0</v>
      </c>
      <c r="BB152" s="56">
        <f t="shared" si="258"/>
        <v>0</v>
      </c>
      <c r="BC152" s="56">
        <v>0</v>
      </c>
      <c r="BD152" s="56">
        <v>0</v>
      </c>
      <c r="BE152" s="56">
        <v>0</v>
      </c>
      <c r="BF152" s="56">
        <f t="shared" si="240"/>
        <v>0</v>
      </c>
      <c r="BG152" s="56">
        <v>0</v>
      </c>
      <c r="BH152" s="56">
        <v>0</v>
      </c>
      <c r="BI152" s="56">
        <v>0</v>
      </c>
      <c r="BJ152" s="56">
        <v>0</v>
      </c>
      <c r="BK152" s="56">
        <f t="shared" si="241"/>
        <v>0</v>
      </c>
      <c r="BL152" s="56">
        <v>0</v>
      </c>
      <c r="BM152" s="56">
        <f t="shared" si="242"/>
        <v>0</v>
      </c>
      <c r="BN152" s="56">
        <v>0</v>
      </c>
      <c r="BO152" s="56">
        <v>0</v>
      </c>
      <c r="BP152" s="56">
        <v>0</v>
      </c>
      <c r="BQ152" s="56">
        <v>0</v>
      </c>
      <c r="BR152" s="56">
        <v>0</v>
      </c>
      <c r="BS152" s="56">
        <v>0</v>
      </c>
      <c r="BT152" s="56">
        <v>0</v>
      </c>
      <c r="BU152" s="56">
        <v>0</v>
      </c>
      <c r="BV152" s="56">
        <v>0</v>
      </c>
      <c r="BW152" s="56">
        <v>0</v>
      </c>
      <c r="BX152" s="56">
        <v>0</v>
      </c>
      <c r="BY152" s="56">
        <f t="shared" si="259"/>
        <v>37110</v>
      </c>
      <c r="BZ152" s="56">
        <f t="shared" si="260"/>
        <v>37110</v>
      </c>
      <c r="CA152" s="56">
        <f t="shared" si="243"/>
        <v>37110</v>
      </c>
      <c r="CB152" s="56">
        <v>0</v>
      </c>
      <c r="CC152" s="56">
        <v>37110</v>
      </c>
      <c r="CD152" s="56">
        <f t="shared" si="244"/>
        <v>0</v>
      </c>
      <c r="CE152" s="56">
        <v>0</v>
      </c>
      <c r="CF152" s="56">
        <v>0</v>
      </c>
      <c r="CG152" s="56">
        <v>0</v>
      </c>
      <c r="CH152" s="56">
        <v>0</v>
      </c>
      <c r="CI152" s="56">
        <v>0</v>
      </c>
      <c r="CJ152" s="56">
        <v>0</v>
      </c>
      <c r="CK152" s="56">
        <f t="shared" si="245"/>
        <v>0</v>
      </c>
      <c r="CL152" s="56">
        <v>0</v>
      </c>
      <c r="CM152" s="56">
        <v>0</v>
      </c>
      <c r="CN152" s="56">
        <v>0</v>
      </c>
      <c r="CO152" s="56">
        <v>0</v>
      </c>
      <c r="CP152" s="56">
        <v>0</v>
      </c>
      <c r="CQ152" s="56">
        <v>0</v>
      </c>
      <c r="CR152" s="56">
        <v>0</v>
      </c>
      <c r="CS152" s="56">
        <v>0</v>
      </c>
      <c r="CT152" s="56">
        <f t="shared" si="246"/>
        <v>0</v>
      </c>
      <c r="CU152" s="56">
        <f t="shared" si="247"/>
        <v>0</v>
      </c>
      <c r="CV152" s="56">
        <v>0</v>
      </c>
      <c r="CW152" s="57">
        <v>0</v>
      </c>
      <c r="CX152" s="58"/>
    </row>
    <row r="153" spans="1:102" ht="15.75" hidden="1" x14ac:dyDescent="0.25">
      <c r="A153" s="13" t="s">
        <v>1</v>
      </c>
      <c r="B153" s="14" t="s">
        <v>1</v>
      </c>
      <c r="C153" s="14" t="s">
        <v>31</v>
      </c>
      <c r="D153" s="30" t="s">
        <v>180</v>
      </c>
      <c r="E153" s="15">
        <f t="shared" si="252"/>
        <v>674255</v>
      </c>
      <c r="F153" s="16">
        <f t="shared" si="253"/>
        <v>663644</v>
      </c>
      <c r="G153" s="16">
        <f t="shared" si="254"/>
        <v>663644</v>
      </c>
      <c r="H153" s="16">
        <v>530556</v>
      </c>
      <c r="I153" s="16">
        <v>120564</v>
      </c>
      <c r="J153" s="16">
        <f>SUM(K153:P153)</f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f>SUM(R153:S153)</f>
        <v>0</v>
      </c>
      <c r="R153" s="16">
        <v>0</v>
      </c>
      <c r="S153" s="16">
        <v>0</v>
      </c>
      <c r="T153" s="16">
        <v>0</v>
      </c>
      <c r="U153" s="16">
        <v>5627</v>
      </c>
      <c r="V153" s="16">
        <f t="shared" si="255"/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f t="shared" si="256"/>
        <v>6897</v>
      </c>
      <c r="AF153" s="16">
        <v>0</v>
      </c>
      <c r="AG153" s="16">
        <v>0</v>
      </c>
      <c r="AH153" s="16">
        <v>0</v>
      </c>
      <c r="AI153" s="16">
        <v>0</v>
      </c>
      <c r="AJ153" s="16">
        <v>1591</v>
      </c>
      <c r="AK153" s="16">
        <v>0</v>
      </c>
      <c r="AL153" s="16">
        <v>5306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0</v>
      </c>
      <c r="AX153" s="16">
        <v>0</v>
      </c>
      <c r="AY153" s="16">
        <v>0</v>
      </c>
      <c r="AZ153" s="16">
        <v>0</v>
      </c>
      <c r="BA153" s="16">
        <f t="shared" si="257"/>
        <v>0</v>
      </c>
      <c r="BB153" s="16">
        <f t="shared" si="258"/>
        <v>0</v>
      </c>
      <c r="BC153" s="16">
        <v>0</v>
      </c>
      <c r="BD153" s="16">
        <v>0</v>
      </c>
      <c r="BE153" s="16">
        <v>0</v>
      </c>
      <c r="BF153" s="16">
        <f>SUM(BG153:BH153)</f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f>SUM(BL153)</f>
        <v>0</v>
      </c>
      <c r="BL153" s="16">
        <v>0</v>
      </c>
      <c r="BM153" s="16">
        <f>SUM(BN153:BX153)</f>
        <v>0</v>
      </c>
      <c r="BN153" s="16">
        <v>0</v>
      </c>
      <c r="BO153" s="16">
        <v>0</v>
      </c>
      <c r="BP153" s="16">
        <v>0</v>
      </c>
      <c r="BQ153" s="16">
        <v>0</v>
      </c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  <c r="BW153" s="16">
        <v>0</v>
      </c>
      <c r="BX153" s="16">
        <v>0</v>
      </c>
      <c r="BY153" s="16">
        <f t="shared" si="259"/>
        <v>10611</v>
      </c>
      <c r="BZ153" s="16">
        <f t="shared" si="260"/>
        <v>10611</v>
      </c>
      <c r="CA153" s="16">
        <f>SUM(CB153:CC153)</f>
        <v>10611</v>
      </c>
      <c r="CB153" s="16">
        <v>0</v>
      </c>
      <c r="CC153" s="16">
        <v>10611</v>
      </c>
      <c r="CD153" s="16">
        <f>SUM(CE153:CI153)</f>
        <v>0</v>
      </c>
      <c r="CE153" s="16">
        <v>0</v>
      </c>
      <c r="CF153" s="16">
        <v>0</v>
      </c>
      <c r="CG153" s="16">
        <v>0</v>
      </c>
      <c r="CH153" s="16">
        <v>0</v>
      </c>
      <c r="CI153" s="16">
        <v>0</v>
      </c>
      <c r="CJ153" s="16">
        <v>0</v>
      </c>
      <c r="CK153" s="16">
        <f>SUM(CL153:CP153)</f>
        <v>0</v>
      </c>
      <c r="CL153" s="16">
        <v>0</v>
      </c>
      <c r="CM153" s="16">
        <v>0</v>
      </c>
      <c r="CN153" s="16">
        <v>0</v>
      </c>
      <c r="CO153" s="16">
        <v>0</v>
      </c>
      <c r="CP153" s="16">
        <v>0</v>
      </c>
      <c r="CQ153" s="16">
        <v>0</v>
      </c>
      <c r="CR153" s="16">
        <v>0</v>
      </c>
      <c r="CS153" s="16">
        <v>0</v>
      </c>
      <c r="CT153" s="16">
        <f>SUM(CU153)</f>
        <v>0</v>
      </c>
      <c r="CU153" s="16">
        <f>SUM(CV153:CW153)</f>
        <v>0</v>
      </c>
      <c r="CV153" s="16">
        <v>0</v>
      </c>
      <c r="CW153" s="17">
        <v>0</v>
      </c>
      <c r="CX153" s="40"/>
    </row>
    <row r="154" spans="1:102" ht="31.5" hidden="1" x14ac:dyDescent="0.25">
      <c r="A154" s="13" t="s">
        <v>1</v>
      </c>
      <c r="B154" s="14" t="s">
        <v>1</v>
      </c>
      <c r="C154" s="14" t="s">
        <v>33</v>
      </c>
      <c r="D154" s="30" t="s">
        <v>564</v>
      </c>
      <c r="E154" s="15">
        <f>SUM(F154+BY154+CT154)</f>
        <v>129044</v>
      </c>
      <c r="F154" s="16">
        <f>SUM(G154+BA154)</f>
        <v>129044</v>
      </c>
      <c r="G154" s="16">
        <f>SUM(H154+I154+J154+Q154+T154+U154+V154+AE154)</f>
        <v>129044</v>
      </c>
      <c r="H154" s="16">
        <f>0+103235</f>
        <v>103235</v>
      </c>
      <c r="I154" s="16">
        <f>0+25809</f>
        <v>25809</v>
      </c>
      <c r="J154" s="16">
        <f>SUM(K154:P154)</f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f>SUM(R154:S154)</f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f>SUM(W154:AD154)</f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f>SUM(AF154:AZ154)</f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  <c r="AZ154" s="16"/>
      <c r="BA154" s="16">
        <f>SUM(BB154+BF154+BI154+BK154+BM154)</f>
        <v>0</v>
      </c>
      <c r="BB154" s="16">
        <f>SUM(BC154:BE154)</f>
        <v>0</v>
      </c>
      <c r="BC154" s="16">
        <v>0</v>
      </c>
      <c r="BD154" s="16">
        <v>0</v>
      </c>
      <c r="BE154" s="16">
        <v>0</v>
      </c>
      <c r="BF154" s="16">
        <f>SUM(BG154:BH154)</f>
        <v>0</v>
      </c>
      <c r="BG154" s="16">
        <v>0</v>
      </c>
      <c r="BH154" s="16">
        <v>0</v>
      </c>
      <c r="BI154" s="16">
        <v>0</v>
      </c>
      <c r="BJ154" s="16">
        <v>0</v>
      </c>
      <c r="BK154" s="16">
        <f>SUM(BL154)</f>
        <v>0</v>
      </c>
      <c r="BL154" s="16">
        <v>0</v>
      </c>
      <c r="BM154" s="16">
        <f>SUM(BN154:BX154)</f>
        <v>0</v>
      </c>
      <c r="BN154" s="16">
        <v>0</v>
      </c>
      <c r="BO154" s="16">
        <v>0</v>
      </c>
      <c r="BP154" s="16">
        <v>0</v>
      </c>
      <c r="BQ154" s="16">
        <v>0</v>
      </c>
      <c r="BR154" s="16">
        <v>0</v>
      </c>
      <c r="BS154" s="16">
        <v>0</v>
      </c>
      <c r="BT154" s="16">
        <v>0</v>
      </c>
      <c r="BU154" s="16">
        <v>0</v>
      </c>
      <c r="BV154" s="16">
        <v>0</v>
      </c>
      <c r="BW154" s="16">
        <v>0</v>
      </c>
      <c r="BX154" s="16">
        <v>0</v>
      </c>
      <c r="BY154" s="16">
        <f>SUM(BZ154+CS154)</f>
        <v>0</v>
      </c>
      <c r="BZ154" s="16">
        <f>SUM(CA154+CD154+CK154)</f>
        <v>0</v>
      </c>
      <c r="CA154" s="16">
        <f>SUM(CB154:CC154)</f>
        <v>0</v>
      </c>
      <c r="CB154" s="16">
        <v>0</v>
      </c>
      <c r="CC154" s="16">
        <v>0</v>
      </c>
      <c r="CD154" s="16">
        <f>SUM(CE154:CI154)</f>
        <v>0</v>
      </c>
      <c r="CE154" s="16">
        <v>0</v>
      </c>
      <c r="CF154" s="16">
        <v>0</v>
      </c>
      <c r="CG154" s="16">
        <v>0</v>
      </c>
      <c r="CH154" s="16">
        <v>0</v>
      </c>
      <c r="CI154" s="16">
        <v>0</v>
      </c>
      <c r="CJ154" s="16">
        <v>0</v>
      </c>
      <c r="CK154" s="16">
        <f>SUM(CL154:CP154)</f>
        <v>0</v>
      </c>
      <c r="CL154" s="16">
        <v>0</v>
      </c>
      <c r="CM154" s="16">
        <v>0</v>
      </c>
      <c r="CN154" s="16">
        <v>0</v>
      </c>
      <c r="CO154" s="16">
        <v>0</v>
      </c>
      <c r="CP154" s="16">
        <v>0</v>
      </c>
      <c r="CQ154" s="16">
        <v>0</v>
      </c>
      <c r="CR154" s="16">
        <v>0</v>
      </c>
      <c r="CS154" s="16">
        <v>0</v>
      </c>
      <c r="CT154" s="16">
        <f>SUM(CU154)</f>
        <v>0</v>
      </c>
      <c r="CU154" s="16">
        <f>SUM(CV154:CW154)</f>
        <v>0</v>
      </c>
      <c r="CV154" s="16">
        <v>0</v>
      </c>
      <c r="CW154" s="17">
        <v>0</v>
      </c>
      <c r="CX154" s="40"/>
    </row>
    <row r="155" spans="1:102" ht="31.5" hidden="1" x14ac:dyDescent="0.25">
      <c r="A155" s="13" t="s">
        <v>1</v>
      </c>
      <c r="B155" s="14" t="s">
        <v>1</v>
      </c>
      <c r="C155" s="14" t="s">
        <v>33</v>
      </c>
      <c r="D155" s="30" t="s">
        <v>183</v>
      </c>
      <c r="E155" s="15">
        <f t="shared" si="252"/>
        <v>2092121</v>
      </c>
      <c r="F155" s="16">
        <f t="shared" si="253"/>
        <v>2092121</v>
      </c>
      <c r="G155" s="16">
        <f t="shared" si="254"/>
        <v>2092121</v>
      </c>
      <c r="H155" s="16">
        <v>0</v>
      </c>
      <c r="I155" s="16">
        <v>0</v>
      </c>
      <c r="J155" s="16">
        <f t="shared" ref="J155" si="261">SUM(K155:P155)</f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f t="shared" ref="Q155" si="262">SUM(R155:S155)</f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f t="shared" si="255"/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f t="shared" si="256"/>
        <v>2092121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16">
        <v>0</v>
      </c>
      <c r="AU155" s="16">
        <v>0</v>
      </c>
      <c r="AV155" s="16">
        <v>0</v>
      </c>
      <c r="AW155" s="16">
        <v>0</v>
      </c>
      <c r="AX155" s="16">
        <v>0</v>
      </c>
      <c r="AY155" s="16">
        <v>0</v>
      </c>
      <c r="AZ155" s="16">
        <v>2092121</v>
      </c>
      <c r="BA155" s="16">
        <f t="shared" si="257"/>
        <v>0</v>
      </c>
      <c r="BB155" s="16">
        <f t="shared" si="258"/>
        <v>0</v>
      </c>
      <c r="BC155" s="16">
        <v>0</v>
      </c>
      <c r="BD155" s="16">
        <v>0</v>
      </c>
      <c r="BE155" s="16">
        <v>0</v>
      </c>
      <c r="BF155" s="16">
        <f t="shared" ref="BF155" si="263">SUM(BG155:BH155)</f>
        <v>0</v>
      </c>
      <c r="BG155" s="16">
        <v>0</v>
      </c>
      <c r="BH155" s="16">
        <v>0</v>
      </c>
      <c r="BI155" s="16">
        <v>0</v>
      </c>
      <c r="BJ155" s="16">
        <v>0</v>
      </c>
      <c r="BK155" s="16">
        <f t="shared" ref="BK155" si="264">SUM(BL155)</f>
        <v>0</v>
      </c>
      <c r="BL155" s="16">
        <v>0</v>
      </c>
      <c r="BM155" s="16">
        <f t="shared" ref="BM155" si="265">SUM(BN155:BX155)</f>
        <v>0</v>
      </c>
      <c r="BN155" s="16">
        <v>0</v>
      </c>
      <c r="BO155" s="16">
        <v>0</v>
      </c>
      <c r="BP155" s="16">
        <v>0</v>
      </c>
      <c r="BQ155" s="16">
        <v>0</v>
      </c>
      <c r="BR155" s="16">
        <v>0</v>
      </c>
      <c r="BS155" s="16">
        <v>0</v>
      </c>
      <c r="BT155" s="16">
        <v>0</v>
      </c>
      <c r="BU155" s="16">
        <v>0</v>
      </c>
      <c r="BV155" s="16">
        <v>0</v>
      </c>
      <c r="BW155" s="16">
        <v>0</v>
      </c>
      <c r="BX155" s="16">
        <v>0</v>
      </c>
      <c r="BY155" s="16">
        <f t="shared" si="259"/>
        <v>0</v>
      </c>
      <c r="BZ155" s="16">
        <f t="shared" si="260"/>
        <v>0</v>
      </c>
      <c r="CA155" s="16">
        <f t="shared" ref="CA155" si="266">SUM(CB155:CC155)</f>
        <v>0</v>
      </c>
      <c r="CB155" s="16">
        <v>0</v>
      </c>
      <c r="CC155" s="16">
        <v>0</v>
      </c>
      <c r="CD155" s="16">
        <f t="shared" ref="CD155" si="267">SUM(CE155:CI155)</f>
        <v>0</v>
      </c>
      <c r="CE155" s="16">
        <v>0</v>
      </c>
      <c r="CF155" s="16">
        <v>0</v>
      </c>
      <c r="CG155" s="16">
        <v>0</v>
      </c>
      <c r="CH155" s="16">
        <v>0</v>
      </c>
      <c r="CI155" s="16">
        <v>0</v>
      </c>
      <c r="CJ155" s="16">
        <v>0</v>
      </c>
      <c r="CK155" s="16">
        <f t="shared" ref="CK155" si="268">SUM(CL155:CP155)</f>
        <v>0</v>
      </c>
      <c r="CL155" s="16">
        <v>0</v>
      </c>
      <c r="CM155" s="16">
        <v>0</v>
      </c>
      <c r="CN155" s="16">
        <v>0</v>
      </c>
      <c r="CO155" s="16">
        <v>0</v>
      </c>
      <c r="CP155" s="16">
        <v>0</v>
      </c>
      <c r="CQ155" s="16">
        <v>0</v>
      </c>
      <c r="CR155" s="16">
        <v>0</v>
      </c>
      <c r="CS155" s="16">
        <v>0</v>
      </c>
      <c r="CT155" s="16">
        <f t="shared" ref="CT155" si="269">SUM(CU155)</f>
        <v>0</v>
      </c>
      <c r="CU155" s="16">
        <f t="shared" ref="CU155" si="270">SUM(CV155:CW155)</f>
        <v>0</v>
      </c>
      <c r="CV155" s="16">
        <v>0</v>
      </c>
      <c r="CW155" s="17">
        <v>0</v>
      </c>
      <c r="CX155" s="40"/>
    </row>
    <row r="156" spans="1:102" ht="15.75" hidden="1" x14ac:dyDescent="0.25">
      <c r="A156" s="18" t="s">
        <v>184</v>
      </c>
      <c r="B156" s="19" t="s">
        <v>1</v>
      </c>
      <c r="C156" s="19" t="s">
        <v>1</v>
      </c>
      <c r="D156" s="31" t="s">
        <v>185</v>
      </c>
      <c r="E156" s="20">
        <f>SUM(E157+E160)</f>
        <v>44380361</v>
      </c>
      <c r="F156" s="21">
        <f t="shared" ref="F156:BS156" si="271">SUM(F157+F160)</f>
        <v>43963042</v>
      </c>
      <c r="G156" s="21">
        <f t="shared" si="271"/>
        <v>43963042</v>
      </c>
      <c r="H156" s="21">
        <f t="shared" si="271"/>
        <v>26681771</v>
      </c>
      <c r="I156" s="21">
        <f t="shared" si="271"/>
        <v>6384604</v>
      </c>
      <c r="J156" s="21">
        <f t="shared" si="271"/>
        <v>428827</v>
      </c>
      <c r="K156" s="21">
        <f t="shared" si="271"/>
        <v>0</v>
      </c>
      <c r="L156" s="21">
        <f t="shared" si="271"/>
        <v>0</v>
      </c>
      <c r="M156" s="21">
        <f t="shared" si="271"/>
        <v>0</v>
      </c>
      <c r="N156" s="21">
        <f t="shared" si="271"/>
        <v>0</v>
      </c>
      <c r="O156" s="21">
        <f t="shared" si="271"/>
        <v>406540</v>
      </c>
      <c r="P156" s="21">
        <f t="shared" si="271"/>
        <v>22287</v>
      </c>
      <c r="Q156" s="21">
        <f t="shared" si="271"/>
        <v>96891</v>
      </c>
      <c r="R156" s="21">
        <f t="shared" si="271"/>
        <v>6292</v>
      </c>
      <c r="S156" s="21">
        <f t="shared" si="271"/>
        <v>90599</v>
      </c>
      <c r="T156" s="21">
        <f t="shared" si="271"/>
        <v>0</v>
      </c>
      <c r="U156" s="21">
        <f t="shared" si="271"/>
        <v>196638</v>
      </c>
      <c r="V156" s="21">
        <f t="shared" si="271"/>
        <v>72385</v>
      </c>
      <c r="W156" s="21">
        <f t="shared" si="271"/>
        <v>0</v>
      </c>
      <c r="X156" s="21">
        <f t="shared" si="271"/>
        <v>0</v>
      </c>
      <c r="Y156" s="21">
        <f t="shared" si="271"/>
        <v>31981</v>
      </c>
      <c r="Z156" s="21">
        <f t="shared" si="271"/>
        <v>0</v>
      </c>
      <c r="AA156" s="21">
        <f t="shared" si="271"/>
        <v>0</v>
      </c>
      <c r="AB156" s="21">
        <f t="shared" si="271"/>
        <v>40404</v>
      </c>
      <c r="AC156" s="21">
        <f t="shared" si="271"/>
        <v>0</v>
      </c>
      <c r="AD156" s="21">
        <f t="shared" ref="AD156" si="272">SUM(AD157+AD160)</f>
        <v>0</v>
      </c>
      <c r="AE156" s="21">
        <f t="shared" si="271"/>
        <v>10101926</v>
      </c>
      <c r="AF156" s="21">
        <f t="shared" si="271"/>
        <v>0</v>
      </c>
      <c r="AG156" s="21">
        <f t="shared" si="271"/>
        <v>0</v>
      </c>
      <c r="AH156" s="21">
        <f t="shared" si="271"/>
        <v>6630</v>
      </c>
      <c r="AI156" s="21">
        <f t="shared" si="271"/>
        <v>0</v>
      </c>
      <c r="AJ156" s="21">
        <f t="shared" si="271"/>
        <v>0</v>
      </c>
      <c r="AK156" s="21">
        <f t="shared" si="271"/>
        <v>0</v>
      </c>
      <c r="AL156" s="21">
        <f t="shared" si="271"/>
        <v>235535</v>
      </c>
      <c r="AM156" s="21">
        <f t="shared" si="271"/>
        <v>1739000</v>
      </c>
      <c r="AN156" s="21">
        <f t="shared" si="271"/>
        <v>0</v>
      </c>
      <c r="AO156" s="21">
        <f t="shared" si="271"/>
        <v>0</v>
      </c>
      <c r="AP156" s="21">
        <f>SUM(AP157+AP160)</f>
        <v>0</v>
      </c>
      <c r="AQ156" s="21">
        <f t="shared" si="271"/>
        <v>0</v>
      </c>
      <c r="AR156" s="21">
        <f t="shared" si="271"/>
        <v>30733</v>
      </c>
      <c r="AS156" s="21">
        <f t="shared" si="271"/>
        <v>0</v>
      </c>
      <c r="AT156" s="21">
        <f t="shared" si="271"/>
        <v>0</v>
      </c>
      <c r="AU156" s="21">
        <f t="shared" si="271"/>
        <v>0</v>
      </c>
      <c r="AV156" s="21">
        <f t="shared" si="271"/>
        <v>0</v>
      </c>
      <c r="AW156" s="21">
        <f t="shared" si="271"/>
        <v>0</v>
      </c>
      <c r="AX156" s="21">
        <f t="shared" si="271"/>
        <v>0</v>
      </c>
      <c r="AY156" s="21">
        <f t="shared" si="271"/>
        <v>0</v>
      </c>
      <c r="AZ156" s="21">
        <f t="shared" si="271"/>
        <v>8090028</v>
      </c>
      <c r="BA156" s="21">
        <f t="shared" si="271"/>
        <v>0</v>
      </c>
      <c r="BB156" s="21">
        <f t="shared" si="271"/>
        <v>0</v>
      </c>
      <c r="BC156" s="21">
        <f t="shared" si="271"/>
        <v>0</v>
      </c>
      <c r="BD156" s="21">
        <f t="shared" si="271"/>
        <v>0</v>
      </c>
      <c r="BE156" s="21">
        <f t="shared" si="271"/>
        <v>0</v>
      </c>
      <c r="BF156" s="21">
        <f t="shared" si="271"/>
        <v>0</v>
      </c>
      <c r="BG156" s="21">
        <f t="shared" si="271"/>
        <v>0</v>
      </c>
      <c r="BH156" s="21">
        <f t="shared" si="271"/>
        <v>0</v>
      </c>
      <c r="BI156" s="21">
        <f t="shared" si="271"/>
        <v>0</v>
      </c>
      <c r="BJ156" s="21">
        <f t="shared" si="271"/>
        <v>0</v>
      </c>
      <c r="BK156" s="21">
        <f t="shared" si="271"/>
        <v>0</v>
      </c>
      <c r="BL156" s="21">
        <f t="shared" si="271"/>
        <v>0</v>
      </c>
      <c r="BM156" s="21">
        <f t="shared" si="271"/>
        <v>0</v>
      </c>
      <c r="BN156" s="21">
        <f t="shared" si="271"/>
        <v>0</v>
      </c>
      <c r="BO156" s="21">
        <f t="shared" si="271"/>
        <v>0</v>
      </c>
      <c r="BP156" s="21">
        <f t="shared" si="271"/>
        <v>0</v>
      </c>
      <c r="BQ156" s="21">
        <f t="shared" si="271"/>
        <v>0</v>
      </c>
      <c r="BR156" s="21">
        <f t="shared" si="271"/>
        <v>0</v>
      </c>
      <c r="BS156" s="21">
        <f t="shared" si="271"/>
        <v>0</v>
      </c>
      <c r="BT156" s="21">
        <f t="shared" ref="BT156:CW156" si="273">SUM(BT157+BT160)</f>
        <v>0</v>
      </c>
      <c r="BU156" s="21">
        <f t="shared" si="273"/>
        <v>0</v>
      </c>
      <c r="BV156" s="21">
        <f t="shared" si="273"/>
        <v>0</v>
      </c>
      <c r="BW156" s="21">
        <f t="shared" si="273"/>
        <v>0</v>
      </c>
      <c r="BX156" s="21">
        <f t="shared" si="273"/>
        <v>0</v>
      </c>
      <c r="BY156" s="21">
        <f t="shared" si="273"/>
        <v>417319</v>
      </c>
      <c r="BZ156" s="21">
        <f t="shared" si="273"/>
        <v>417319</v>
      </c>
      <c r="CA156" s="21">
        <f t="shared" si="273"/>
        <v>417319</v>
      </c>
      <c r="CB156" s="21">
        <f t="shared" si="273"/>
        <v>0</v>
      </c>
      <c r="CC156" s="21">
        <f t="shared" si="273"/>
        <v>417319</v>
      </c>
      <c r="CD156" s="21">
        <f t="shared" si="273"/>
        <v>0</v>
      </c>
      <c r="CE156" s="21">
        <f t="shared" si="273"/>
        <v>0</v>
      </c>
      <c r="CF156" s="21">
        <f>SUM(CF157+CF160)</f>
        <v>0</v>
      </c>
      <c r="CG156" s="21">
        <f t="shared" si="273"/>
        <v>0</v>
      </c>
      <c r="CH156" s="21">
        <f t="shared" si="273"/>
        <v>0</v>
      </c>
      <c r="CI156" s="21">
        <f t="shared" si="273"/>
        <v>0</v>
      </c>
      <c r="CJ156" s="21">
        <f t="shared" ref="CJ156" si="274">SUM(CJ157+CJ160)</f>
        <v>0</v>
      </c>
      <c r="CK156" s="21">
        <f t="shared" si="273"/>
        <v>0</v>
      </c>
      <c r="CL156" s="21">
        <f t="shared" si="273"/>
        <v>0</v>
      </c>
      <c r="CM156" s="21">
        <f>SUM(CM157+CM160)</f>
        <v>0</v>
      </c>
      <c r="CN156" s="21">
        <f t="shared" si="273"/>
        <v>0</v>
      </c>
      <c r="CO156" s="21">
        <f t="shared" si="273"/>
        <v>0</v>
      </c>
      <c r="CP156" s="21">
        <f t="shared" si="273"/>
        <v>0</v>
      </c>
      <c r="CQ156" s="21">
        <f t="shared" si="273"/>
        <v>0</v>
      </c>
      <c r="CR156" s="21">
        <f t="shared" si="273"/>
        <v>0</v>
      </c>
      <c r="CS156" s="21">
        <f t="shared" si="273"/>
        <v>0</v>
      </c>
      <c r="CT156" s="21">
        <f t="shared" si="273"/>
        <v>0</v>
      </c>
      <c r="CU156" s="21">
        <f t="shared" si="273"/>
        <v>0</v>
      </c>
      <c r="CV156" s="21">
        <f t="shared" si="273"/>
        <v>0</v>
      </c>
      <c r="CW156" s="22">
        <f t="shared" si="273"/>
        <v>0</v>
      </c>
      <c r="CX156" s="40"/>
    </row>
    <row r="157" spans="1:102" ht="15.75" hidden="1" x14ac:dyDescent="0.25">
      <c r="A157" s="13" t="s">
        <v>186</v>
      </c>
      <c r="B157" s="14" t="s">
        <v>3</v>
      </c>
      <c r="C157" s="14" t="s">
        <v>1</v>
      </c>
      <c r="D157" s="30" t="s">
        <v>187</v>
      </c>
      <c r="E157" s="15">
        <f>SUM(E158:E159)</f>
        <v>35332148</v>
      </c>
      <c r="F157" s="16">
        <f t="shared" ref="F157:BS157" si="275">SUM(F158:F159)</f>
        <v>34955753</v>
      </c>
      <c r="G157" s="16">
        <f t="shared" si="275"/>
        <v>34955753</v>
      </c>
      <c r="H157" s="16">
        <f t="shared" si="275"/>
        <v>20930566</v>
      </c>
      <c r="I157" s="16">
        <f t="shared" si="275"/>
        <v>5025610</v>
      </c>
      <c r="J157" s="16">
        <f t="shared" si="275"/>
        <v>371147</v>
      </c>
      <c r="K157" s="16">
        <f t="shared" si="275"/>
        <v>0</v>
      </c>
      <c r="L157" s="16">
        <f t="shared" si="275"/>
        <v>0</v>
      </c>
      <c r="M157" s="16">
        <f t="shared" si="275"/>
        <v>0</v>
      </c>
      <c r="N157" s="16">
        <f t="shared" si="275"/>
        <v>0</v>
      </c>
      <c r="O157" s="16">
        <f t="shared" si="275"/>
        <v>356078</v>
      </c>
      <c r="P157" s="16">
        <f t="shared" si="275"/>
        <v>15069</v>
      </c>
      <c r="Q157" s="16">
        <f t="shared" si="275"/>
        <v>90599</v>
      </c>
      <c r="R157" s="16">
        <f t="shared" si="275"/>
        <v>0</v>
      </c>
      <c r="S157" s="16">
        <f t="shared" si="275"/>
        <v>90599</v>
      </c>
      <c r="T157" s="16">
        <f t="shared" si="275"/>
        <v>0</v>
      </c>
      <c r="U157" s="16">
        <f t="shared" si="275"/>
        <v>149857</v>
      </c>
      <c r="V157" s="16">
        <f t="shared" si="275"/>
        <v>72385</v>
      </c>
      <c r="W157" s="16">
        <f t="shared" si="275"/>
        <v>0</v>
      </c>
      <c r="X157" s="16">
        <f t="shared" si="275"/>
        <v>0</v>
      </c>
      <c r="Y157" s="16">
        <f t="shared" si="275"/>
        <v>31981</v>
      </c>
      <c r="Z157" s="16">
        <f t="shared" si="275"/>
        <v>0</v>
      </c>
      <c r="AA157" s="16">
        <f t="shared" si="275"/>
        <v>0</v>
      </c>
      <c r="AB157" s="16">
        <f t="shared" si="275"/>
        <v>40404</v>
      </c>
      <c r="AC157" s="16">
        <f t="shared" si="275"/>
        <v>0</v>
      </c>
      <c r="AD157" s="16">
        <f t="shared" ref="AD157" si="276">SUM(AD158:AD159)</f>
        <v>0</v>
      </c>
      <c r="AE157" s="16">
        <f t="shared" si="275"/>
        <v>8315589</v>
      </c>
      <c r="AF157" s="16">
        <f t="shared" si="275"/>
        <v>0</v>
      </c>
      <c r="AG157" s="16">
        <f t="shared" si="275"/>
        <v>0</v>
      </c>
      <c r="AH157" s="16">
        <f t="shared" si="275"/>
        <v>6630</v>
      </c>
      <c r="AI157" s="16">
        <f t="shared" si="275"/>
        <v>0</v>
      </c>
      <c r="AJ157" s="16">
        <f t="shared" si="275"/>
        <v>0</v>
      </c>
      <c r="AK157" s="16">
        <f t="shared" si="275"/>
        <v>0</v>
      </c>
      <c r="AL157" s="16">
        <f t="shared" si="275"/>
        <v>188198</v>
      </c>
      <c r="AM157" s="16">
        <f t="shared" si="275"/>
        <v>0</v>
      </c>
      <c r="AN157" s="16">
        <f t="shared" si="275"/>
        <v>0</v>
      </c>
      <c r="AO157" s="16">
        <f t="shared" si="275"/>
        <v>0</v>
      </c>
      <c r="AP157" s="16">
        <f>SUM(AP158:AP159)</f>
        <v>0</v>
      </c>
      <c r="AQ157" s="16">
        <f t="shared" si="275"/>
        <v>0</v>
      </c>
      <c r="AR157" s="16">
        <f t="shared" si="275"/>
        <v>30733</v>
      </c>
      <c r="AS157" s="16">
        <f t="shared" si="275"/>
        <v>0</v>
      </c>
      <c r="AT157" s="16">
        <f t="shared" si="275"/>
        <v>0</v>
      </c>
      <c r="AU157" s="16">
        <f t="shared" si="275"/>
        <v>0</v>
      </c>
      <c r="AV157" s="16">
        <f t="shared" si="275"/>
        <v>0</v>
      </c>
      <c r="AW157" s="16">
        <f t="shared" si="275"/>
        <v>0</v>
      </c>
      <c r="AX157" s="16">
        <f t="shared" si="275"/>
        <v>0</v>
      </c>
      <c r="AY157" s="16">
        <f t="shared" si="275"/>
        <v>0</v>
      </c>
      <c r="AZ157" s="16">
        <f t="shared" si="275"/>
        <v>8090028</v>
      </c>
      <c r="BA157" s="16">
        <f t="shared" si="275"/>
        <v>0</v>
      </c>
      <c r="BB157" s="16">
        <f t="shared" si="275"/>
        <v>0</v>
      </c>
      <c r="BC157" s="16">
        <f t="shared" si="275"/>
        <v>0</v>
      </c>
      <c r="BD157" s="16">
        <f t="shared" si="275"/>
        <v>0</v>
      </c>
      <c r="BE157" s="16">
        <f t="shared" si="275"/>
        <v>0</v>
      </c>
      <c r="BF157" s="16">
        <f t="shared" si="275"/>
        <v>0</v>
      </c>
      <c r="BG157" s="16">
        <f t="shared" si="275"/>
        <v>0</v>
      </c>
      <c r="BH157" s="16">
        <f t="shared" si="275"/>
        <v>0</v>
      </c>
      <c r="BI157" s="16">
        <f t="shared" si="275"/>
        <v>0</v>
      </c>
      <c r="BJ157" s="16">
        <f t="shared" si="275"/>
        <v>0</v>
      </c>
      <c r="BK157" s="16">
        <f t="shared" si="275"/>
        <v>0</v>
      </c>
      <c r="BL157" s="16">
        <f t="shared" si="275"/>
        <v>0</v>
      </c>
      <c r="BM157" s="16">
        <f t="shared" si="275"/>
        <v>0</v>
      </c>
      <c r="BN157" s="16">
        <f t="shared" si="275"/>
        <v>0</v>
      </c>
      <c r="BO157" s="16">
        <f t="shared" si="275"/>
        <v>0</v>
      </c>
      <c r="BP157" s="16">
        <f t="shared" si="275"/>
        <v>0</v>
      </c>
      <c r="BQ157" s="16">
        <f t="shared" si="275"/>
        <v>0</v>
      </c>
      <c r="BR157" s="16">
        <f t="shared" si="275"/>
        <v>0</v>
      </c>
      <c r="BS157" s="16">
        <f t="shared" si="275"/>
        <v>0</v>
      </c>
      <c r="BT157" s="16">
        <f t="shared" ref="BT157:CW157" si="277">SUM(BT158:BT159)</f>
        <v>0</v>
      </c>
      <c r="BU157" s="16">
        <f t="shared" si="277"/>
        <v>0</v>
      </c>
      <c r="BV157" s="16">
        <f t="shared" si="277"/>
        <v>0</v>
      </c>
      <c r="BW157" s="16">
        <f t="shared" si="277"/>
        <v>0</v>
      </c>
      <c r="BX157" s="16">
        <f t="shared" si="277"/>
        <v>0</v>
      </c>
      <c r="BY157" s="16">
        <f t="shared" si="277"/>
        <v>376395</v>
      </c>
      <c r="BZ157" s="16">
        <f t="shared" si="277"/>
        <v>376395</v>
      </c>
      <c r="CA157" s="16">
        <f t="shared" si="277"/>
        <v>376395</v>
      </c>
      <c r="CB157" s="16">
        <f t="shared" si="277"/>
        <v>0</v>
      </c>
      <c r="CC157" s="16">
        <f t="shared" si="277"/>
        <v>376395</v>
      </c>
      <c r="CD157" s="16">
        <f t="shared" si="277"/>
        <v>0</v>
      </c>
      <c r="CE157" s="16">
        <f t="shared" si="277"/>
        <v>0</v>
      </c>
      <c r="CF157" s="16">
        <f>SUM(CF158:CF159)</f>
        <v>0</v>
      </c>
      <c r="CG157" s="16">
        <f t="shared" si="277"/>
        <v>0</v>
      </c>
      <c r="CH157" s="16">
        <f t="shared" si="277"/>
        <v>0</v>
      </c>
      <c r="CI157" s="16">
        <f t="shared" si="277"/>
        <v>0</v>
      </c>
      <c r="CJ157" s="16">
        <f t="shared" ref="CJ157" si="278">SUM(CJ158:CJ159)</f>
        <v>0</v>
      </c>
      <c r="CK157" s="16">
        <f t="shared" si="277"/>
        <v>0</v>
      </c>
      <c r="CL157" s="16">
        <f t="shared" si="277"/>
        <v>0</v>
      </c>
      <c r="CM157" s="16">
        <f>SUM(CM158:CM159)</f>
        <v>0</v>
      </c>
      <c r="CN157" s="16">
        <f t="shared" si="277"/>
        <v>0</v>
      </c>
      <c r="CO157" s="16">
        <f t="shared" si="277"/>
        <v>0</v>
      </c>
      <c r="CP157" s="16">
        <f t="shared" si="277"/>
        <v>0</v>
      </c>
      <c r="CQ157" s="16">
        <f t="shared" si="277"/>
        <v>0</v>
      </c>
      <c r="CR157" s="16">
        <f t="shared" si="277"/>
        <v>0</v>
      </c>
      <c r="CS157" s="16">
        <f t="shared" si="277"/>
        <v>0</v>
      </c>
      <c r="CT157" s="16">
        <f t="shared" si="277"/>
        <v>0</v>
      </c>
      <c r="CU157" s="16">
        <f t="shared" si="277"/>
        <v>0</v>
      </c>
      <c r="CV157" s="16">
        <f t="shared" si="277"/>
        <v>0</v>
      </c>
      <c r="CW157" s="17">
        <f t="shared" si="277"/>
        <v>0</v>
      </c>
      <c r="CX157" s="40"/>
    </row>
    <row r="158" spans="1:102" ht="15.75" hidden="1" x14ac:dyDescent="0.25">
      <c r="A158" s="13" t="s">
        <v>1</v>
      </c>
      <c r="B158" s="14" t="s">
        <v>1</v>
      </c>
      <c r="C158" s="14" t="s">
        <v>34</v>
      </c>
      <c r="D158" s="30" t="s">
        <v>188</v>
      </c>
      <c r="E158" s="15">
        <f>SUM(F158+BY158+CT158)</f>
        <v>27249649</v>
      </c>
      <c r="F158" s="16">
        <f>SUM(G158+BA158)</f>
        <v>26873254</v>
      </c>
      <c r="G158" s="16">
        <f>SUM(H158+I158+J158+Q158+T158+U158+V158+AE158)</f>
        <v>26873254</v>
      </c>
      <c r="H158" s="16">
        <v>20930566</v>
      </c>
      <c r="I158" s="16">
        <v>5025610</v>
      </c>
      <c r="J158" s="16">
        <f t="shared" si="238"/>
        <v>371147</v>
      </c>
      <c r="K158" s="16">
        <v>0</v>
      </c>
      <c r="L158" s="16">
        <v>0</v>
      </c>
      <c r="M158" s="16">
        <v>0</v>
      </c>
      <c r="N158" s="16">
        <v>0</v>
      </c>
      <c r="O158" s="16">
        <v>356078</v>
      </c>
      <c r="P158" s="16">
        <v>15069</v>
      </c>
      <c r="Q158" s="16">
        <f t="shared" si="239"/>
        <v>90599</v>
      </c>
      <c r="R158" s="16">
        <v>0</v>
      </c>
      <c r="S158" s="16">
        <v>90599</v>
      </c>
      <c r="T158" s="16">
        <v>0</v>
      </c>
      <c r="U158" s="16">
        <v>149857</v>
      </c>
      <c r="V158" s="16">
        <f>SUM(W158:AD158)</f>
        <v>72385</v>
      </c>
      <c r="W158" s="16">
        <v>0</v>
      </c>
      <c r="X158" s="16">
        <v>0</v>
      </c>
      <c r="Y158" s="16">
        <v>31981</v>
      </c>
      <c r="Z158" s="16">
        <v>0</v>
      </c>
      <c r="AA158" s="16">
        <v>0</v>
      </c>
      <c r="AB158" s="16">
        <v>40404</v>
      </c>
      <c r="AC158" s="16">
        <v>0</v>
      </c>
      <c r="AD158" s="16">
        <v>0</v>
      </c>
      <c r="AE158" s="16">
        <f>SUM(AF158:AZ158)</f>
        <v>233090</v>
      </c>
      <c r="AF158" s="16">
        <v>0</v>
      </c>
      <c r="AG158" s="16">
        <v>0</v>
      </c>
      <c r="AH158" s="16">
        <v>6630</v>
      </c>
      <c r="AI158" s="16">
        <v>0</v>
      </c>
      <c r="AJ158" s="16">
        <v>0</v>
      </c>
      <c r="AK158" s="16">
        <v>0</v>
      </c>
      <c r="AL158" s="16">
        <v>188198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30733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7529</v>
      </c>
      <c r="BA158" s="16">
        <f>SUM(BB158+BF158+BI158+BK158+BM158)</f>
        <v>0</v>
      </c>
      <c r="BB158" s="16">
        <f>SUM(BC158:BE158)</f>
        <v>0</v>
      </c>
      <c r="BC158" s="16">
        <v>0</v>
      </c>
      <c r="BD158" s="16">
        <v>0</v>
      </c>
      <c r="BE158" s="16">
        <v>0</v>
      </c>
      <c r="BF158" s="16">
        <f t="shared" si="240"/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f t="shared" si="241"/>
        <v>0</v>
      </c>
      <c r="BL158" s="16">
        <v>0</v>
      </c>
      <c r="BM158" s="16">
        <f t="shared" si="242"/>
        <v>0</v>
      </c>
      <c r="BN158" s="16">
        <v>0</v>
      </c>
      <c r="BO158" s="16">
        <v>0</v>
      </c>
      <c r="BP158" s="16">
        <v>0</v>
      </c>
      <c r="BQ158" s="16">
        <v>0</v>
      </c>
      <c r="BR158" s="16">
        <v>0</v>
      </c>
      <c r="BS158" s="16">
        <v>0</v>
      </c>
      <c r="BT158" s="16">
        <v>0</v>
      </c>
      <c r="BU158" s="16">
        <v>0</v>
      </c>
      <c r="BV158" s="16">
        <v>0</v>
      </c>
      <c r="BW158" s="16">
        <v>0</v>
      </c>
      <c r="BX158" s="16">
        <v>0</v>
      </c>
      <c r="BY158" s="16">
        <f>SUM(BZ158+CS158)</f>
        <v>376395</v>
      </c>
      <c r="BZ158" s="16">
        <f>SUM(CA158+CD158+CK158)</f>
        <v>376395</v>
      </c>
      <c r="CA158" s="16">
        <f t="shared" si="243"/>
        <v>376395</v>
      </c>
      <c r="CB158" s="16">
        <v>0</v>
      </c>
      <c r="CC158" s="16">
        <v>376395</v>
      </c>
      <c r="CD158" s="16">
        <f t="shared" si="244"/>
        <v>0</v>
      </c>
      <c r="CE158" s="16">
        <v>0</v>
      </c>
      <c r="CF158" s="16">
        <v>0</v>
      </c>
      <c r="CG158" s="16">
        <v>0</v>
      </c>
      <c r="CH158" s="16">
        <v>0</v>
      </c>
      <c r="CI158" s="16">
        <v>0</v>
      </c>
      <c r="CJ158" s="16">
        <v>0</v>
      </c>
      <c r="CK158" s="16">
        <f t="shared" si="245"/>
        <v>0</v>
      </c>
      <c r="CL158" s="16">
        <v>0</v>
      </c>
      <c r="CM158" s="16">
        <v>0</v>
      </c>
      <c r="CN158" s="16">
        <v>0</v>
      </c>
      <c r="CO158" s="16">
        <v>0</v>
      </c>
      <c r="CP158" s="16">
        <v>0</v>
      </c>
      <c r="CQ158" s="16">
        <v>0</v>
      </c>
      <c r="CR158" s="16">
        <v>0</v>
      </c>
      <c r="CS158" s="16">
        <v>0</v>
      </c>
      <c r="CT158" s="16">
        <f t="shared" si="246"/>
        <v>0</v>
      </c>
      <c r="CU158" s="16">
        <f t="shared" si="247"/>
        <v>0</v>
      </c>
      <c r="CV158" s="16">
        <v>0</v>
      </c>
      <c r="CW158" s="17">
        <v>0</v>
      </c>
      <c r="CX158" s="40"/>
    </row>
    <row r="159" spans="1:102" ht="15.75" hidden="1" x14ac:dyDescent="0.25">
      <c r="A159" s="13" t="s">
        <v>1</v>
      </c>
      <c r="B159" s="14" t="s">
        <v>1</v>
      </c>
      <c r="C159" s="14" t="s">
        <v>36</v>
      </c>
      <c r="D159" s="30" t="s">
        <v>189</v>
      </c>
      <c r="E159" s="15">
        <f>SUM(F159+BY159+CT159)</f>
        <v>8082499</v>
      </c>
      <c r="F159" s="16">
        <f>SUM(G159+BA159)</f>
        <v>8082499</v>
      </c>
      <c r="G159" s="16">
        <f>SUM(H159+I159+J159+Q159+T159+U159+V159+AE159)</f>
        <v>8082499</v>
      </c>
      <c r="H159" s="16">
        <v>0</v>
      </c>
      <c r="I159" s="16">
        <v>0</v>
      </c>
      <c r="J159" s="16">
        <f t="shared" si="238"/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f t="shared" si="239"/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f>SUM(W159:AD159)</f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f>SUM(AF159:AZ159)</f>
        <v>8082499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  <c r="AT159" s="16">
        <v>0</v>
      </c>
      <c r="AU159" s="16">
        <v>0</v>
      </c>
      <c r="AV159" s="16">
        <v>0</v>
      </c>
      <c r="AW159" s="16">
        <v>0</v>
      </c>
      <c r="AX159" s="16">
        <v>0</v>
      </c>
      <c r="AY159" s="16">
        <v>0</v>
      </c>
      <c r="AZ159" s="16">
        <f>8000000+82499</f>
        <v>8082499</v>
      </c>
      <c r="BA159" s="16">
        <f>SUM(BB159+BF159+BI159+BK159+BM159)</f>
        <v>0</v>
      </c>
      <c r="BB159" s="16">
        <f>SUM(BC159:BE159)</f>
        <v>0</v>
      </c>
      <c r="BC159" s="16">
        <v>0</v>
      </c>
      <c r="BD159" s="16">
        <v>0</v>
      </c>
      <c r="BE159" s="16">
        <v>0</v>
      </c>
      <c r="BF159" s="16">
        <f t="shared" si="240"/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f t="shared" si="241"/>
        <v>0</v>
      </c>
      <c r="BL159" s="16">
        <v>0</v>
      </c>
      <c r="BM159" s="16">
        <f t="shared" si="242"/>
        <v>0</v>
      </c>
      <c r="BN159" s="16">
        <v>0</v>
      </c>
      <c r="BO159" s="16">
        <v>0</v>
      </c>
      <c r="BP159" s="16">
        <v>0</v>
      </c>
      <c r="BQ159" s="16">
        <v>0</v>
      </c>
      <c r="BR159" s="16">
        <v>0</v>
      </c>
      <c r="BS159" s="16">
        <v>0</v>
      </c>
      <c r="BT159" s="16">
        <v>0</v>
      </c>
      <c r="BU159" s="16">
        <v>0</v>
      </c>
      <c r="BV159" s="16">
        <v>0</v>
      </c>
      <c r="BW159" s="16">
        <v>0</v>
      </c>
      <c r="BX159" s="16">
        <v>0</v>
      </c>
      <c r="BY159" s="16">
        <f>SUM(BZ159+CS159)</f>
        <v>0</v>
      </c>
      <c r="BZ159" s="16">
        <f>SUM(CA159+CD159+CK159)</f>
        <v>0</v>
      </c>
      <c r="CA159" s="16">
        <f t="shared" si="243"/>
        <v>0</v>
      </c>
      <c r="CB159" s="16">
        <v>0</v>
      </c>
      <c r="CC159" s="16">
        <v>0</v>
      </c>
      <c r="CD159" s="16">
        <f t="shared" si="244"/>
        <v>0</v>
      </c>
      <c r="CE159" s="16">
        <v>0</v>
      </c>
      <c r="CF159" s="16">
        <v>0</v>
      </c>
      <c r="CG159" s="16">
        <v>0</v>
      </c>
      <c r="CH159" s="16">
        <v>0</v>
      </c>
      <c r="CI159" s="16">
        <v>0</v>
      </c>
      <c r="CJ159" s="16">
        <v>0</v>
      </c>
      <c r="CK159" s="16">
        <f t="shared" si="245"/>
        <v>0</v>
      </c>
      <c r="CL159" s="16">
        <v>0</v>
      </c>
      <c r="CM159" s="16">
        <v>0</v>
      </c>
      <c r="CN159" s="16">
        <v>0</v>
      </c>
      <c r="CO159" s="16">
        <v>0</v>
      </c>
      <c r="CP159" s="16">
        <v>0</v>
      </c>
      <c r="CQ159" s="16">
        <v>0</v>
      </c>
      <c r="CR159" s="16">
        <v>0</v>
      </c>
      <c r="CS159" s="16">
        <v>0</v>
      </c>
      <c r="CT159" s="16">
        <f t="shared" si="246"/>
        <v>0</v>
      </c>
      <c r="CU159" s="16">
        <f t="shared" si="247"/>
        <v>0</v>
      </c>
      <c r="CV159" s="16">
        <v>0</v>
      </c>
      <c r="CW159" s="17">
        <v>0</v>
      </c>
      <c r="CX159" s="40"/>
    </row>
    <row r="160" spans="1:102" ht="15.75" hidden="1" x14ac:dyDescent="0.25">
      <c r="A160" s="13" t="s">
        <v>186</v>
      </c>
      <c r="B160" s="14" t="s">
        <v>7</v>
      </c>
      <c r="C160" s="14" t="s">
        <v>1</v>
      </c>
      <c r="D160" s="30" t="s">
        <v>190</v>
      </c>
      <c r="E160" s="15">
        <f t="shared" ref="E160:AJ160" si="279">SUM(E161:E162)</f>
        <v>9048213</v>
      </c>
      <c r="F160" s="16">
        <f t="shared" si="279"/>
        <v>9007289</v>
      </c>
      <c r="G160" s="16">
        <f t="shared" si="279"/>
        <v>9007289</v>
      </c>
      <c r="H160" s="16">
        <f t="shared" si="279"/>
        <v>5751205</v>
      </c>
      <c r="I160" s="16">
        <f t="shared" si="279"/>
        <v>1358994</v>
      </c>
      <c r="J160" s="16">
        <f t="shared" si="279"/>
        <v>57680</v>
      </c>
      <c r="K160" s="16">
        <f t="shared" si="279"/>
        <v>0</v>
      </c>
      <c r="L160" s="16">
        <f t="shared" si="279"/>
        <v>0</v>
      </c>
      <c r="M160" s="16">
        <f t="shared" si="279"/>
        <v>0</v>
      </c>
      <c r="N160" s="16">
        <f t="shared" si="279"/>
        <v>0</v>
      </c>
      <c r="O160" s="16">
        <f t="shared" si="279"/>
        <v>50462</v>
      </c>
      <c r="P160" s="16">
        <f t="shared" si="279"/>
        <v>7218</v>
      </c>
      <c r="Q160" s="16">
        <f t="shared" si="279"/>
        <v>6292</v>
      </c>
      <c r="R160" s="16">
        <f t="shared" si="279"/>
        <v>6292</v>
      </c>
      <c r="S160" s="16">
        <f t="shared" si="279"/>
        <v>0</v>
      </c>
      <c r="T160" s="16">
        <f t="shared" si="279"/>
        <v>0</v>
      </c>
      <c r="U160" s="16">
        <f t="shared" si="279"/>
        <v>46781</v>
      </c>
      <c r="V160" s="16">
        <f t="shared" si="279"/>
        <v>0</v>
      </c>
      <c r="W160" s="16">
        <f t="shared" si="279"/>
        <v>0</v>
      </c>
      <c r="X160" s="16">
        <f t="shared" si="279"/>
        <v>0</v>
      </c>
      <c r="Y160" s="16">
        <f t="shared" si="279"/>
        <v>0</v>
      </c>
      <c r="Z160" s="16">
        <f t="shared" si="279"/>
        <v>0</v>
      </c>
      <c r="AA160" s="16">
        <f t="shared" si="279"/>
        <v>0</v>
      </c>
      <c r="AB160" s="16">
        <f t="shared" si="279"/>
        <v>0</v>
      </c>
      <c r="AC160" s="16">
        <f t="shared" si="279"/>
        <v>0</v>
      </c>
      <c r="AD160" s="16">
        <f t="shared" ref="AD160" si="280">SUM(AD161:AD162)</f>
        <v>0</v>
      </c>
      <c r="AE160" s="16">
        <f t="shared" si="279"/>
        <v>1786337</v>
      </c>
      <c r="AF160" s="16">
        <f t="shared" si="279"/>
        <v>0</v>
      </c>
      <c r="AG160" s="16">
        <f t="shared" si="279"/>
        <v>0</v>
      </c>
      <c r="AH160" s="16">
        <f t="shared" si="279"/>
        <v>0</v>
      </c>
      <c r="AI160" s="16">
        <f t="shared" si="279"/>
        <v>0</v>
      </c>
      <c r="AJ160" s="16">
        <f t="shared" si="279"/>
        <v>0</v>
      </c>
      <c r="AK160" s="16">
        <f t="shared" ref="AK160:BR160" si="281">SUM(AK161:AK162)</f>
        <v>0</v>
      </c>
      <c r="AL160" s="16">
        <f t="shared" si="281"/>
        <v>47337</v>
      </c>
      <c r="AM160" s="16">
        <f t="shared" si="281"/>
        <v>1739000</v>
      </c>
      <c r="AN160" s="16">
        <f t="shared" si="281"/>
        <v>0</v>
      </c>
      <c r="AO160" s="16">
        <f t="shared" si="281"/>
        <v>0</v>
      </c>
      <c r="AP160" s="16">
        <f>SUM(AP161:AP162)</f>
        <v>0</v>
      </c>
      <c r="AQ160" s="16">
        <f t="shared" si="281"/>
        <v>0</v>
      </c>
      <c r="AR160" s="16">
        <f t="shared" si="281"/>
        <v>0</v>
      </c>
      <c r="AS160" s="16">
        <f t="shared" si="281"/>
        <v>0</v>
      </c>
      <c r="AT160" s="16">
        <f t="shared" si="281"/>
        <v>0</v>
      </c>
      <c r="AU160" s="16">
        <f t="shared" si="281"/>
        <v>0</v>
      </c>
      <c r="AV160" s="16">
        <f t="shared" si="281"/>
        <v>0</v>
      </c>
      <c r="AW160" s="16">
        <f t="shared" si="281"/>
        <v>0</v>
      </c>
      <c r="AX160" s="16">
        <f t="shared" si="281"/>
        <v>0</v>
      </c>
      <c r="AY160" s="16">
        <f t="shared" si="281"/>
        <v>0</v>
      </c>
      <c r="AZ160" s="16">
        <f t="shared" si="281"/>
        <v>0</v>
      </c>
      <c r="BA160" s="16">
        <f t="shared" si="281"/>
        <v>0</v>
      </c>
      <c r="BB160" s="16">
        <f t="shared" si="281"/>
        <v>0</v>
      </c>
      <c r="BC160" s="16">
        <f t="shared" si="281"/>
        <v>0</v>
      </c>
      <c r="BD160" s="16">
        <f t="shared" si="281"/>
        <v>0</v>
      </c>
      <c r="BE160" s="16">
        <f t="shared" si="281"/>
        <v>0</v>
      </c>
      <c r="BF160" s="16">
        <f t="shared" si="281"/>
        <v>0</v>
      </c>
      <c r="BG160" s="16">
        <f t="shared" si="281"/>
        <v>0</v>
      </c>
      <c r="BH160" s="16">
        <f t="shared" si="281"/>
        <v>0</v>
      </c>
      <c r="BI160" s="16">
        <f t="shared" si="281"/>
        <v>0</v>
      </c>
      <c r="BJ160" s="16">
        <f t="shared" si="281"/>
        <v>0</v>
      </c>
      <c r="BK160" s="16">
        <f t="shared" si="281"/>
        <v>0</v>
      </c>
      <c r="BL160" s="16">
        <f t="shared" si="281"/>
        <v>0</v>
      </c>
      <c r="BM160" s="16">
        <f t="shared" si="281"/>
        <v>0</v>
      </c>
      <c r="BN160" s="16">
        <f t="shared" si="281"/>
        <v>0</v>
      </c>
      <c r="BO160" s="16">
        <f t="shared" si="281"/>
        <v>0</v>
      </c>
      <c r="BP160" s="16">
        <f t="shared" si="281"/>
        <v>0</v>
      </c>
      <c r="BQ160" s="16">
        <f t="shared" si="281"/>
        <v>0</v>
      </c>
      <c r="BR160" s="16">
        <f t="shared" si="281"/>
        <v>0</v>
      </c>
      <c r="BS160" s="16">
        <f t="shared" ref="BS160:CW160" si="282">SUM(BS161:BS162)</f>
        <v>0</v>
      </c>
      <c r="BT160" s="16">
        <f t="shared" si="282"/>
        <v>0</v>
      </c>
      <c r="BU160" s="16">
        <f t="shared" si="282"/>
        <v>0</v>
      </c>
      <c r="BV160" s="16">
        <f t="shared" si="282"/>
        <v>0</v>
      </c>
      <c r="BW160" s="16">
        <f t="shared" si="282"/>
        <v>0</v>
      </c>
      <c r="BX160" s="16">
        <f t="shared" si="282"/>
        <v>0</v>
      </c>
      <c r="BY160" s="16">
        <f t="shared" si="282"/>
        <v>40924</v>
      </c>
      <c r="BZ160" s="16">
        <f t="shared" si="282"/>
        <v>40924</v>
      </c>
      <c r="CA160" s="16">
        <f t="shared" si="282"/>
        <v>40924</v>
      </c>
      <c r="CB160" s="16">
        <f t="shared" si="282"/>
        <v>0</v>
      </c>
      <c r="CC160" s="16">
        <f t="shared" si="282"/>
        <v>40924</v>
      </c>
      <c r="CD160" s="16">
        <f t="shared" si="282"/>
        <v>0</v>
      </c>
      <c r="CE160" s="16">
        <f t="shared" si="282"/>
        <v>0</v>
      </c>
      <c r="CF160" s="16">
        <f t="shared" si="282"/>
        <v>0</v>
      </c>
      <c r="CG160" s="16">
        <f t="shared" si="282"/>
        <v>0</v>
      </c>
      <c r="CH160" s="16">
        <f t="shared" si="282"/>
        <v>0</v>
      </c>
      <c r="CI160" s="16">
        <f t="shared" si="282"/>
        <v>0</v>
      </c>
      <c r="CJ160" s="16">
        <f t="shared" ref="CJ160" si="283">SUM(CJ161:CJ162)</f>
        <v>0</v>
      </c>
      <c r="CK160" s="16">
        <f t="shared" si="282"/>
        <v>0</v>
      </c>
      <c r="CL160" s="16">
        <f t="shared" si="282"/>
        <v>0</v>
      </c>
      <c r="CM160" s="16">
        <f t="shared" si="282"/>
        <v>0</v>
      </c>
      <c r="CN160" s="16">
        <f t="shared" si="282"/>
        <v>0</v>
      </c>
      <c r="CO160" s="16">
        <f t="shared" si="282"/>
        <v>0</v>
      </c>
      <c r="CP160" s="16">
        <f t="shared" si="282"/>
        <v>0</v>
      </c>
      <c r="CQ160" s="16">
        <f t="shared" si="282"/>
        <v>0</v>
      </c>
      <c r="CR160" s="16">
        <f t="shared" si="282"/>
        <v>0</v>
      </c>
      <c r="CS160" s="16">
        <f t="shared" si="282"/>
        <v>0</v>
      </c>
      <c r="CT160" s="16">
        <f t="shared" si="282"/>
        <v>0</v>
      </c>
      <c r="CU160" s="16">
        <f t="shared" si="282"/>
        <v>0</v>
      </c>
      <c r="CV160" s="16">
        <f t="shared" si="282"/>
        <v>0</v>
      </c>
      <c r="CW160" s="17">
        <f t="shared" si="282"/>
        <v>0</v>
      </c>
      <c r="CX160" s="40"/>
    </row>
    <row r="161" spans="1:102" ht="15.75" hidden="1" x14ac:dyDescent="0.25">
      <c r="A161" s="13" t="s">
        <v>1</v>
      </c>
      <c r="B161" s="14" t="s">
        <v>1</v>
      </c>
      <c r="C161" s="14" t="s">
        <v>17</v>
      </c>
      <c r="D161" s="30" t="s">
        <v>191</v>
      </c>
      <c r="E161" s="15">
        <f>SUM(F161+BY161+CT161)</f>
        <v>234692</v>
      </c>
      <c r="F161" s="16">
        <f>SUM(G161+BA161)</f>
        <v>234692</v>
      </c>
      <c r="G161" s="16">
        <f>SUM(H161+I161+J161+Q161+T161+U161+V161+AE161)</f>
        <v>234692</v>
      </c>
      <c r="H161" s="16">
        <f>149367+40230</f>
        <v>189597</v>
      </c>
      <c r="I161" s="16">
        <f>35037+10058</f>
        <v>45095</v>
      </c>
      <c r="J161" s="16">
        <f t="shared" si="238"/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f t="shared" si="239"/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f>SUM(W161:AD161)</f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f>SUM(AF161:AZ161)</f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6">
        <v>0</v>
      </c>
      <c r="AW161" s="16">
        <v>0</v>
      </c>
      <c r="AX161" s="16">
        <v>0</v>
      </c>
      <c r="AY161" s="16">
        <v>0</v>
      </c>
      <c r="AZ161" s="16">
        <v>0</v>
      </c>
      <c r="BA161" s="16">
        <f>SUM(BB161+BF161+BI161+BK161+BM161)</f>
        <v>0</v>
      </c>
      <c r="BB161" s="16">
        <f>SUM(BC161:BE161)</f>
        <v>0</v>
      </c>
      <c r="BC161" s="16">
        <v>0</v>
      </c>
      <c r="BD161" s="16">
        <v>0</v>
      </c>
      <c r="BE161" s="16">
        <v>0</v>
      </c>
      <c r="BF161" s="16">
        <f t="shared" si="240"/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f t="shared" si="241"/>
        <v>0</v>
      </c>
      <c r="BL161" s="16">
        <v>0</v>
      </c>
      <c r="BM161" s="16">
        <f t="shared" si="242"/>
        <v>0</v>
      </c>
      <c r="BN161" s="16">
        <v>0</v>
      </c>
      <c r="BO161" s="16">
        <v>0</v>
      </c>
      <c r="BP161" s="16">
        <v>0</v>
      </c>
      <c r="BQ161" s="16">
        <v>0</v>
      </c>
      <c r="BR161" s="16">
        <v>0</v>
      </c>
      <c r="BS161" s="16">
        <v>0</v>
      </c>
      <c r="BT161" s="16">
        <v>0</v>
      </c>
      <c r="BU161" s="16">
        <v>0</v>
      </c>
      <c r="BV161" s="16">
        <v>0</v>
      </c>
      <c r="BW161" s="16">
        <v>0</v>
      </c>
      <c r="BX161" s="16">
        <v>0</v>
      </c>
      <c r="BY161" s="16">
        <f>SUM(BZ161+CS161)</f>
        <v>0</v>
      </c>
      <c r="BZ161" s="16">
        <f>SUM(CA161+CD161+CK161)</f>
        <v>0</v>
      </c>
      <c r="CA161" s="16">
        <f t="shared" si="243"/>
        <v>0</v>
      </c>
      <c r="CB161" s="16">
        <v>0</v>
      </c>
      <c r="CC161" s="16">
        <v>0</v>
      </c>
      <c r="CD161" s="16">
        <f t="shared" si="244"/>
        <v>0</v>
      </c>
      <c r="CE161" s="16">
        <v>0</v>
      </c>
      <c r="CF161" s="16">
        <v>0</v>
      </c>
      <c r="CG161" s="16">
        <v>0</v>
      </c>
      <c r="CH161" s="16">
        <v>0</v>
      </c>
      <c r="CI161" s="16">
        <v>0</v>
      </c>
      <c r="CJ161" s="16">
        <v>0</v>
      </c>
      <c r="CK161" s="16">
        <f t="shared" si="245"/>
        <v>0</v>
      </c>
      <c r="CL161" s="16">
        <v>0</v>
      </c>
      <c r="CM161" s="16">
        <v>0</v>
      </c>
      <c r="CN161" s="16">
        <v>0</v>
      </c>
      <c r="CO161" s="16">
        <v>0</v>
      </c>
      <c r="CP161" s="16">
        <v>0</v>
      </c>
      <c r="CQ161" s="16">
        <v>0</v>
      </c>
      <c r="CR161" s="16">
        <v>0</v>
      </c>
      <c r="CS161" s="16">
        <v>0</v>
      </c>
      <c r="CT161" s="16">
        <f t="shared" si="246"/>
        <v>0</v>
      </c>
      <c r="CU161" s="16">
        <f t="shared" si="247"/>
        <v>0</v>
      </c>
      <c r="CV161" s="16">
        <v>0</v>
      </c>
      <c r="CW161" s="17">
        <v>0</v>
      </c>
      <c r="CX161" s="40"/>
    </row>
    <row r="162" spans="1:102" ht="15.75" hidden="1" x14ac:dyDescent="0.25">
      <c r="A162" s="13" t="s">
        <v>1</v>
      </c>
      <c r="B162" s="14" t="s">
        <v>1</v>
      </c>
      <c r="C162" s="14" t="s">
        <v>34</v>
      </c>
      <c r="D162" s="30" t="s">
        <v>192</v>
      </c>
      <c r="E162" s="15">
        <f>SUM(F162+BY162+CT162)</f>
        <v>8813521</v>
      </c>
      <c r="F162" s="16">
        <f>SUM(G162+BA162)</f>
        <v>8772597</v>
      </c>
      <c r="G162" s="16">
        <f>SUM(H162+I162+J162+Q162+T162+U162+V162+AE162)</f>
        <v>8772597</v>
      </c>
      <c r="H162" s="16">
        <v>5561608</v>
      </c>
      <c r="I162" s="16">
        <v>1313899</v>
      </c>
      <c r="J162" s="16">
        <f t="shared" si="238"/>
        <v>57680</v>
      </c>
      <c r="K162" s="16">
        <v>0</v>
      </c>
      <c r="L162" s="16">
        <v>0</v>
      </c>
      <c r="M162" s="16">
        <v>0</v>
      </c>
      <c r="N162" s="16">
        <v>0</v>
      </c>
      <c r="O162" s="16">
        <v>50462</v>
      </c>
      <c r="P162" s="16">
        <v>7218</v>
      </c>
      <c r="Q162" s="16">
        <f t="shared" si="239"/>
        <v>6292</v>
      </c>
      <c r="R162" s="16">
        <v>6292</v>
      </c>
      <c r="S162" s="16">
        <v>0</v>
      </c>
      <c r="T162" s="16">
        <v>0</v>
      </c>
      <c r="U162" s="16">
        <v>46781</v>
      </c>
      <c r="V162" s="16">
        <f>SUM(W162:AD162)</f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f>SUM(AF162:AZ162)</f>
        <v>1786337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47337</v>
      </c>
      <c r="AM162" s="16">
        <v>1739000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6">
        <v>0</v>
      </c>
      <c r="AW162" s="16">
        <v>0</v>
      </c>
      <c r="AX162" s="16">
        <v>0</v>
      </c>
      <c r="AY162" s="16">
        <v>0</v>
      </c>
      <c r="AZ162" s="16">
        <v>0</v>
      </c>
      <c r="BA162" s="16">
        <f>SUM(BB162+BF162+BI162+BK162+BM162)</f>
        <v>0</v>
      </c>
      <c r="BB162" s="16">
        <f>SUM(BC162:BE162)</f>
        <v>0</v>
      </c>
      <c r="BC162" s="16">
        <v>0</v>
      </c>
      <c r="BD162" s="16">
        <v>0</v>
      </c>
      <c r="BE162" s="16">
        <v>0</v>
      </c>
      <c r="BF162" s="16">
        <f t="shared" si="240"/>
        <v>0</v>
      </c>
      <c r="BG162" s="16">
        <v>0</v>
      </c>
      <c r="BH162" s="16">
        <v>0</v>
      </c>
      <c r="BI162" s="16">
        <v>0</v>
      </c>
      <c r="BJ162" s="16">
        <v>0</v>
      </c>
      <c r="BK162" s="16">
        <f t="shared" si="241"/>
        <v>0</v>
      </c>
      <c r="BL162" s="16">
        <v>0</v>
      </c>
      <c r="BM162" s="16">
        <f t="shared" si="242"/>
        <v>0</v>
      </c>
      <c r="BN162" s="16">
        <v>0</v>
      </c>
      <c r="BO162" s="16">
        <v>0</v>
      </c>
      <c r="BP162" s="16">
        <v>0</v>
      </c>
      <c r="BQ162" s="16">
        <v>0</v>
      </c>
      <c r="BR162" s="16">
        <v>0</v>
      </c>
      <c r="BS162" s="16">
        <v>0</v>
      </c>
      <c r="BT162" s="16">
        <v>0</v>
      </c>
      <c r="BU162" s="16">
        <v>0</v>
      </c>
      <c r="BV162" s="16">
        <v>0</v>
      </c>
      <c r="BW162" s="16">
        <v>0</v>
      </c>
      <c r="BX162" s="16">
        <v>0</v>
      </c>
      <c r="BY162" s="16">
        <f>SUM(BZ162+CS162)</f>
        <v>40924</v>
      </c>
      <c r="BZ162" s="16">
        <f>SUM(CA162+CD162+CK162)</f>
        <v>40924</v>
      </c>
      <c r="CA162" s="16">
        <f t="shared" si="243"/>
        <v>40924</v>
      </c>
      <c r="CB162" s="16">
        <v>0</v>
      </c>
      <c r="CC162" s="16">
        <v>40924</v>
      </c>
      <c r="CD162" s="16">
        <f t="shared" si="244"/>
        <v>0</v>
      </c>
      <c r="CE162" s="16">
        <v>0</v>
      </c>
      <c r="CF162" s="16">
        <v>0</v>
      </c>
      <c r="CG162" s="16">
        <v>0</v>
      </c>
      <c r="CH162" s="16">
        <v>0</v>
      </c>
      <c r="CI162" s="16">
        <v>0</v>
      </c>
      <c r="CJ162" s="16">
        <v>0</v>
      </c>
      <c r="CK162" s="16">
        <f t="shared" si="245"/>
        <v>0</v>
      </c>
      <c r="CL162" s="16">
        <v>0</v>
      </c>
      <c r="CM162" s="16">
        <v>0</v>
      </c>
      <c r="CN162" s="16">
        <v>0</v>
      </c>
      <c r="CO162" s="16">
        <v>0</v>
      </c>
      <c r="CP162" s="16">
        <v>0</v>
      </c>
      <c r="CQ162" s="16">
        <v>0</v>
      </c>
      <c r="CR162" s="16">
        <v>0</v>
      </c>
      <c r="CS162" s="16">
        <v>0</v>
      </c>
      <c r="CT162" s="16">
        <f t="shared" si="246"/>
        <v>0</v>
      </c>
      <c r="CU162" s="16">
        <f t="shared" si="247"/>
        <v>0</v>
      </c>
      <c r="CV162" s="16">
        <v>0</v>
      </c>
      <c r="CW162" s="17">
        <v>0</v>
      </c>
      <c r="CX162" s="40"/>
    </row>
    <row r="163" spans="1:102" ht="15.75" hidden="1" x14ac:dyDescent="0.25">
      <c r="A163" s="18" t="s">
        <v>193</v>
      </c>
      <c r="B163" s="19" t="s">
        <v>1</v>
      </c>
      <c r="C163" s="19" t="s">
        <v>1</v>
      </c>
      <c r="D163" s="31" t="s">
        <v>194</v>
      </c>
      <c r="E163" s="20">
        <f>SUM(E164+E166+E169+E172+E174)</f>
        <v>743948192</v>
      </c>
      <c r="F163" s="21">
        <f t="shared" ref="F163:BS163" si="284">SUM(F164+F166+F169+F172+F174)</f>
        <v>739977072</v>
      </c>
      <c r="G163" s="21">
        <f t="shared" si="284"/>
        <v>739668398</v>
      </c>
      <c r="H163" s="21">
        <f t="shared" si="284"/>
        <v>439567646</v>
      </c>
      <c r="I163" s="21">
        <f t="shared" si="284"/>
        <v>100972492</v>
      </c>
      <c r="J163" s="21">
        <f t="shared" si="284"/>
        <v>144210172</v>
      </c>
      <c r="K163" s="21">
        <f t="shared" si="284"/>
        <v>117453725</v>
      </c>
      <c r="L163" s="21">
        <f t="shared" si="284"/>
        <v>1576161</v>
      </c>
      <c r="M163" s="21">
        <f t="shared" si="284"/>
        <v>23040891</v>
      </c>
      <c r="N163" s="21">
        <f t="shared" si="284"/>
        <v>206301</v>
      </c>
      <c r="O163" s="21">
        <f t="shared" si="284"/>
        <v>1164340</v>
      </c>
      <c r="P163" s="21">
        <f t="shared" si="284"/>
        <v>768754</v>
      </c>
      <c r="Q163" s="21">
        <f t="shared" si="284"/>
        <v>5925</v>
      </c>
      <c r="R163" s="21">
        <f t="shared" si="284"/>
        <v>0</v>
      </c>
      <c r="S163" s="21">
        <f t="shared" si="284"/>
        <v>5925</v>
      </c>
      <c r="T163" s="21">
        <f t="shared" si="284"/>
        <v>0</v>
      </c>
      <c r="U163" s="21">
        <f t="shared" si="284"/>
        <v>2188296</v>
      </c>
      <c r="V163" s="21">
        <f t="shared" si="284"/>
        <v>15516839</v>
      </c>
      <c r="W163" s="21">
        <f t="shared" si="284"/>
        <v>5789612</v>
      </c>
      <c r="X163" s="21">
        <f t="shared" si="284"/>
        <v>4616634</v>
      </c>
      <c r="Y163" s="21">
        <f t="shared" si="284"/>
        <v>2521819</v>
      </c>
      <c r="Z163" s="21">
        <f t="shared" si="284"/>
        <v>1814235</v>
      </c>
      <c r="AA163" s="21">
        <f t="shared" si="284"/>
        <v>681163</v>
      </c>
      <c r="AB163" s="21">
        <f t="shared" si="284"/>
        <v>971</v>
      </c>
      <c r="AC163" s="21">
        <f t="shared" si="284"/>
        <v>0</v>
      </c>
      <c r="AD163" s="21">
        <f t="shared" ref="AD163" si="285">SUM(AD164+AD166+AD169+AD172+AD174)</f>
        <v>92405</v>
      </c>
      <c r="AE163" s="21">
        <f t="shared" si="284"/>
        <v>37207028</v>
      </c>
      <c r="AF163" s="21">
        <f t="shared" si="284"/>
        <v>0</v>
      </c>
      <c r="AG163" s="21">
        <f t="shared" si="284"/>
        <v>14970</v>
      </c>
      <c r="AH163" s="21">
        <f t="shared" si="284"/>
        <v>4209983</v>
      </c>
      <c r="AI163" s="21">
        <f t="shared" si="284"/>
        <v>0</v>
      </c>
      <c r="AJ163" s="21">
        <f t="shared" si="284"/>
        <v>216391</v>
      </c>
      <c r="AK163" s="21">
        <f t="shared" si="284"/>
        <v>0</v>
      </c>
      <c r="AL163" s="21">
        <f t="shared" si="284"/>
        <v>1034254</v>
      </c>
      <c r="AM163" s="21">
        <f t="shared" si="284"/>
        <v>337538</v>
      </c>
      <c r="AN163" s="21">
        <f t="shared" si="284"/>
        <v>0</v>
      </c>
      <c r="AO163" s="21">
        <f t="shared" si="284"/>
        <v>3751</v>
      </c>
      <c r="AP163" s="21">
        <f>SUM(AP164+AP166+AP169+AP172+AP174)</f>
        <v>0</v>
      </c>
      <c r="AQ163" s="21">
        <f t="shared" si="284"/>
        <v>0</v>
      </c>
      <c r="AR163" s="21">
        <f t="shared" si="284"/>
        <v>480254</v>
      </c>
      <c r="AS163" s="21">
        <f t="shared" si="284"/>
        <v>54400</v>
      </c>
      <c r="AT163" s="21">
        <f t="shared" si="284"/>
        <v>0</v>
      </c>
      <c r="AU163" s="21">
        <f t="shared" si="284"/>
        <v>2764383</v>
      </c>
      <c r="AV163" s="21">
        <f t="shared" si="284"/>
        <v>4387320</v>
      </c>
      <c r="AW163" s="21">
        <f t="shared" si="284"/>
        <v>0</v>
      </c>
      <c r="AX163" s="21">
        <f t="shared" si="284"/>
        <v>0</v>
      </c>
      <c r="AY163" s="21">
        <f t="shared" si="284"/>
        <v>0</v>
      </c>
      <c r="AZ163" s="21">
        <f t="shared" si="284"/>
        <v>23703784</v>
      </c>
      <c r="BA163" s="21">
        <f t="shared" si="284"/>
        <v>308674</v>
      </c>
      <c r="BB163" s="21">
        <f t="shared" si="284"/>
        <v>0</v>
      </c>
      <c r="BC163" s="21">
        <f t="shared" si="284"/>
        <v>0</v>
      </c>
      <c r="BD163" s="21">
        <f t="shared" si="284"/>
        <v>0</v>
      </c>
      <c r="BE163" s="21">
        <f t="shared" si="284"/>
        <v>0</v>
      </c>
      <c r="BF163" s="21">
        <f t="shared" si="284"/>
        <v>0</v>
      </c>
      <c r="BG163" s="21">
        <f t="shared" si="284"/>
        <v>0</v>
      </c>
      <c r="BH163" s="21">
        <f t="shared" si="284"/>
        <v>0</v>
      </c>
      <c r="BI163" s="21">
        <f t="shared" si="284"/>
        <v>0</v>
      </c>
      <c r="BJ163" s="21">
        <f t="shared" si="284"/>
        <v>0</v>
      </c>
      <c r="BK163" s="21">
        <f t="shared" si="284"/>
        <v>0</v>
      </c>
      <c r="BL163" s="21">
        <f t="shared" si="284"/>
        <v>0</v>
      </c>
      <c r="BM163" s="21">
        <f t="shared" si="284"/>
        <v>308674</v>
      </c>
      <c r="BN163" s="21">
        <f t="shared" si="284"/>
        <v>0</v>
      </c>
      <c r="BO163" s="21">
        <f t="shared" si="284"/>
        <v>0</v>
      </c>
      <c r="BP163" s="21">
        <f t="shared" si="284"/>
        <v>0</v>
      </c>
      <c r="BQ163" s="21">
        <f t="shared" si="284"/>
        <v>0</v>
      </c>
      <c r="BR163" s="21">
        <f t="shared" si="284"/>
        <v>0</v>
      </c>
      <c r="BS163" s="21">
        <f t="shared" si="284"/>
        <v>0</v>
      </c>
      <c r="BT163" s="21">
        <f t="shared" ref="BT163:CW163" si="286">SUM(BT164+BT166+BT169+BT172+BT174)</f>
        <v>0</v>
      </c>
      <c r="BU163" s="21">
        <f t="shared" si="286"/>
        <v>0</v>
      </c>
      <c r="BV163" s="21">
        <f t="shared" si="286"/>
        <v>0</v>
      </c>
      <c r="BW163" s="21">
        <f t="shared" si="286"/>
        <v>0</v>
      </c>
      <c r="BX163" s="21">
        <f t="shared" si="286"/>
        <v>308674</v>
      </c>
      <c r="BY163" s="21">
        <f t="shared" si="286"/>
        <v>3971120</v>
      </c>
      <c r="BZ163" s="21">
        <f t="shared" si="286"/>
        <v>3971120</v>
      </c>
      <c r="CA163" s="21">
        <f t="shared" si="286"/>
        <v>3971120</v>
      </c>
      <c r="CB163" s="21">
        <f t="shared" si="286"/>
        <v>0</v>
      </c>
      <c r="CC163" s="21">
        <f t="shared" si="286"/>
        <v>3971120</v>
      </c>
      <c r="CD163" s="21">
        <f t="shared" si="286"/>
        <v>0</v>
      </c>
      <c r="CE163" s="21">
        <f t="shared" si="286"/>
        <v>0</v>
      </c>
      <c r="CF163" s="21">
        <f>SUM(CF164+CF166+CF169+CF172+CF174)</f>
        <v>0</v>
      </c>
      <c r="CG163" s="21">
        <f t="shared" si="286"/>
        <v>0</v>
      </c>
      <c r="CH163" s="21">
        <f t="shared" si="286"/>
        <v>0</v>
      </c>
      <c r="CI163" s="21">
        <f t="shared" si="286"/>
        <v>0</v>
      </c>
      <c r="CJ163" s="21">
        <f t="shared" ref="CJ163" si="287">SUM(CJ164+CJ166+CJ169+CJ172+CJ174)</f>
        <v>0</v>
      </c>
      <c r="CK163" s="21">
        <f t="shared" si="286"/>
        <v>0</v>
      </c>
      <c r="CL163" s="21">
        <f t="shared" si="286"/>
        <v>0</v>
      </c>
      <c r="CM163" s="21">
        <f>SUM(CM164+CM166+CM169+CM172+CM174)</f>
        <v>0</v>
      </c>
      <c r="CN163" s="21">
        <f t="shared" si="286"/>
        <v>0</v>
      </c>
      <c r="CO163" s="21">
        <f t="shared" si="286"/>
        <v>0</v>
      </c>
      <c r="CP163" s="21">
        <f t="shared" si="286"/>
        <v>0</v>
      </c>
      <c r="CQ163" s="21">
        <f t="shared" si="286"/>
        <v>0</v>
      </c>
      <c r="CR163" s="21">
        <f t="shared" si="286"/>
        <v>0</v>
      </c>
      <c r="CS163" s="21">
        <f t="shared" si="286"/>
        <v>0</v>
      </c>
      <c r="CT163" s="21">
        <f t="shared" si="286"/>
        <v>0</v>
      </c>
      <c r="CU163" s="21">
        <f t="shared" si="286"/>
        <v>0</v>
      </c>
      <c r="CV163" s="21">
        <f t="shared" si="286"/>
        <v>0</v>
      </c>
      <c r="CW163" s="22">
        <f t="shared" si="286"/>
        <v>0</v>
      </c>
      <c r="CX163" s="40"/>
    </row>
    <row r="164" spans="1:102" ht="15.75" hidden="1" x14ac:dyDescent="0.25">
      <c r="A164" s="13" t="s">
        <v>195</v>
      </c>
      <c r="B164" s="14" t="s">
        <v>3</v>
      </c>
      <c r="C164" s="14" t="s">
        <v>1</v>
      </c>
      <c r="D164" s="30" t="s">
        <v>196</v>
      </c>
      <c r="E164" s="15">
        <f>SUM(E165)</f>
        <v>526980033</v>
      </c>
      <c r="F164" s="16">
        <f t="shared" ref="F164:BS164" si="288">SUM(F165)</f>
        <v>524667218</v>
      </c>
      <c r="G164" s="16">
        <f t="shared" si="288"/>
        <v>524563707</v>
      </c>
      <c r="H164" s="16">
        <f t="shared" si="288"/>
        <v>321378715</v>
      </c>
      <c r="I164" s="16">
        <f t="shared" si="288"/>
        <v>73207414</v>
      </c>
      <c r="J164" s="16">
        <f t="shared" si="288"/>
        <v>93058405</v>
      </c>
      <c r="K164" s="16">
        <f t="shared" si="288"/>
        <v>68115002</v>
      </c>
      <c r="L164" s="16">
        <f t="shared" si="288"/>
        <v>1228893</v>
      </c>
      <c r="M164" s="16">
        <f t="shared" si="288"/>
        <v>22493701</v>
      </c>
      <c r="N164" s="16">
        <f t="shared" si="288"/>
        <v>206301</v>
      </c>
      <c r="O164" s="16">
        <f t="shared" si="288"/>
        <v>426013</v>
      </c>
      <c r="P164" s="16">
        <f t="shared" si="288"/>
        <v>588495</v>
      </c>
      <c r="Q164" s="16">
        <f t="shared" si="288"/>
        <v>4632</v>
      </c>
      <c r="R164" s="16">
        <f t="shared" si="288"/>
        <v>0</v>
      </c>
      <c r="S164" s="16">
        <f t="shared" si="288"/>
        <v>4632</v>
      </c>
      <c r="T164" s="16">
        <f t="shared" si="288"/>
        <v>0</v>
      </c>
      <c r="U164" s="16">
        <f t="shared" si="288"/>
        <v>1446468</v>
      </c>
      <c r="V164" s="16">
        <f t="shared" si="288"/>
        <v>10748031</v>
      </c>
      <c r="W164" s="16">
        <f t="shared" si="288"/>
        <v>2407880</v>
      </c>
      <c r="X164" s="16">
        <f t="shared" si="288"/>
        <v>3821060</v>
      </c>
      <c r="Y164" s="16">
        <f t="shared" si="288"/>
        <v>2271418</v>
      </c>
      <c r="Z164" s="16">
        <f t="shared" si="288"/>
        <v>1646895</v>
      </c>
      <c r="AA164" s="16">
        <f t="shared" si="288"/>
        <v>544486</v>
      </c>
      <c r="AB164" s="16">
        <f t="shared" si="288"/>
        <v>0</v>
      </c>
      <c r="AC164" s="16">
        <f t="shared" si="288"/>
        <v>0</v>
      </c>
      <c r="AD164" s="16">
        <f t="shared" si="288"/>
        <v>56292</v>
      </c>
      <c r="AE164" s="16">
        <f t="shared" si="288"/>
        <v>24720042</v>
      </c>
      <c r="AF164" s="16">
        <f t="shared" si="288"/>
        <v>0</v>
      </c>
      <c r="AG164" s="16">
        <f t="shared" si="288"/>
        <v>13513</v>
      </c>
      <c r="AH164" s="16">
        <f t="shared" si="288"/>
        <v>3579491</v>
      </c>
      <c r="AI164" s="16">
        <f t="shared" si="288"/>
        <v>0</v>
      </c>
      <c r="AJ164" s="16">
        <f t="shared" si="288"/>
        <v>151155</v>
      </c>
      <c r="AK164" s="16">
        <f t="shared" si="288"/>
        <v>0</v>
      </c>
      <c r="AL164" s="16">
        <f t="shared" si="288"/>
        <v>739522</v>
      </c>
      <c r="AM164" s="16">
        <f t="shared" si="288"/>
        <v>270000</v>
      </c>
      <c r="AN164" s="16">
        <f t="shared" si="288"/>
        <v>0</v>
      </c>
      <c r="AO164" s="16">
        <f t="shared" si="288"/>
        <v>3535</v>
      </c>
      <c r="AP164" s="16">
        <f t="shared" si="288"/>
        <v>0</v>
      </c>
      <c r="AQ164" s="16">
        <f t="shared" si="288"/>
        <v>0</v>
      </c>
      <c r="AR164" s="16">
        <f t="shared" si="288"/>
        <v>426662</v>
      </c>
      <c r="AS164" s="16">
        <f t="shared" si="288"/>
        <v>0</v>
      </c>
      <c r="AT164" s="16">
        <f t="shared" si="288"/>
        <v>0</v>
      </c>
      <c r="AU164" s="16">
        <f t="shared" si="288"/>
        <v>1512218</v>
      </c>
      <c r="AV164" s="16">
        <f t="shared" si="288"/>
        <v>0</v>
      </c>
      <c r="AW164" s="16">
        <f t="shared" si="288"/>
        <v>0</v>
      </c>
      <c r="AX164" s="16">
        <f t="shared" si="288"/>
        <v>0</v>
      </c>
      <c r="AY164" s="16">
        <f t="shared" si="288"/>
        <v>0</v>
      </c>
      <c r="AZ164" s="16">
        <f t="shared" si="288"/>
        <v>18023946</v>
      </c>
      <c r="BA164" s="16">
        <f t="shared" si="288"/>
        <v>103511</v>
      </c>
      <c r="BB164" s="16">
        <f t="shared" si="288"/>
        <v>0</v>
      </c>
      <c r="BC164" s="16">
        <f t="shared" si="288"/>
        <v>0</v>
      </c>
      <c r="BD164" s="16">
        <f t="shared" si="288"/>
        <v>0</v>
      </c>
      <c r="BE164" s="16">
        <f t="shared" si="288"/>
        <v>0</v>
      </c>
      <c r="BF164" s="16">
        <f t="shared" si="288"/>
        <v>0</v>
      </c>
      <c r="BG164" s="16">
        <f t="shared" si="288"/>
        <v>0</v>
      </c>
      <c r="BH164" s="16">
        <f t="shared" si="288"/>
        <v>0</v>
      </c>
      <c r="BI164" s="16">
        <f t="shared" si="288"/>
        <v>0</v>
      </c>
      <c r="BJ164" s="16">
        <f t="shared" si="288"/>
        <v>0</v>
      </c>
      <c r="BK164" s="16">
        <f t="shared" si="288"/>
        <v>0</v>
      </c>
      <c r="BL164" s="16">
        <f t="shared" si="288"/>
        <v>0</v>
      </c>
      <c r="BM164" s="16">
        <f t="shared" si="288"/>
        <v>103511</v>
      </c>
      <c r="BN164" s="16">
        <f t="shared" si="288"/>
        <v>0</v>
      </c>
      <c r="BO164" s="16">
        <f t="shared" si="288"/>
        <v>0</v>
      </c>
      <c r="BP164" s="16">
        <f t="shared" si="288"/>
        <v>0</v>
      </c>
      <c r="BQ164" s="16">
        <f t="shared" si="288"/>
        <v>0</v>
      </c>
      <c r="BR164" s="16">
        <f t="shared" si="288"/>
        <v>0</v>
      </c>
      <c r="BS164" s="16">
        <f t="shared" si="288"/>
        <v>0</v>
      </c>
      <c r="BT164" s="16">
        <f t="shared" ref="BT164:CW164" si="289">SUM(BT165)</f>
        <v>0</v>
      </c>
      <c r="BU164" s="16">
        <f t="shared" si="289"/>
        <v>0</v>
      </c>
      <c r="BV164" s="16">
        <f t="shared" si="289"/>
        <v>0</v>
      </c>
      <c r="BW164" s="16">
        <f t="shared" si="289"/>
        <v>0</v>
      </c>
      <c r="BX164" s="16">
        <f t="shared" si="289"/>
        <v>103511</v>
      </c>
      <c r="BY164" s="16">
        <f t="shared" si="289"/>
        <v>2312815</v>
      </c>
      <c r="BZ164" s="16">
        <f t="shared" si="289"/>
        <v>2312815</v>
      </c>
      <c r="CA164" s="16">
        <f t="shared" si="289"/>
        <v>2312815</v>
      </c>
      <c r="CB164" s="16">
        <f t="shared" si="289"/>
        <v>0</v>
      </c>
      <c r="CC164" s="16">
        <f t="shared" si="289"/>
        <v>2312815</v>
      </c>
      <c r="CD164" s="16">
        <f t="shared" si="289"/>
        <v>0</v>
      </c>
      <c r="CE164" s="16">
        <f t="shared" si="289"/>
        <v>0</v>
      </c>
      <c r="CF164" s="16">
        <f t="shared" si="289"/>
        <v>0</v>
      </c>
      <c r="CG164" s="16">
        <f t="shared" si="289"/>
        <v>0</v>
      </c>
      <c r="CH164" s="16">
        <f t="shared" si="289"/>
        <v>0</v>
      </c>
      <c r="CI164" s="16">
        <f t="shared" si="289"/>
        <v>0</v>
      </c>
      <c r="CJ164" s="16">
        <f t="shared" si="289"/>
        <v>0</v>
      </c>
      <c r="CK164" s="16">
        <f t="shared" si="289"/>
        <v>0</v>
      </c>
      <c r="CL164" s="16">
        <f t="shared" si="289"/>
        <v>0</v>
      </c>
      <c r="CM164" s="16">
        <f t="shared" si="289"/>
        <v>0</v>
      </c>
      <c r="CN164" s="16">
        <f t="shared" si="289"/>
        <v>0</v>
      </c>
      <c r="CO164" s="16">
        <f t="shared" si="289"/>
        <v>0</v>
      </c>
      <c r="CP164" s="16">
        <f t="shared" si="289"/>
        <v>0</v>
      </c>
      <c r="CQ164" s="16">
        <f t="shared" si="289"/>
        <v>0</v>
      </c>
      <c r="CR164" s="16">
        <f t="shared" si="289"/>
        <v>0</v>
      </c>
      <c r="CS164" s="16">
        <f t="shared" si="289"/>
        <v>0</v>
      </c>
      <c r="CT164" s="16">
        <f t="shared" si="289"/>
        <v>0</v>
      </c>
      <c r="CU164" s="16">
        <f t="shared" si="289"/>
        <v>0</v>
      </c>
      <c r="CV164" s="16">
        <f t="shared" si="289"/>
        <v>0</v>
      </c>
      <c r="CW164" s="17">
        <f t="shared" si="289"/>
        <v>0</v>
      </c>
      <c r="CX164" s="40"/>
    </row>
    <row r="165" spans="1:102" ht="15.75" hidden="1" x14ac:dyDescent="0.25">
      <c r="A165" s="13" t="s">
        <v>1</v>
      </c>
      <c r="B165" s="14" t="s">
        <v>1</v>
      </c>
      <c r="C165" s="14" t="s">
        <v>21</v>
      </c>
      <c r="D165" s="30" t="s">
        <v>196</v>
      </c>
      <c r="E165" s="15">
        <f>SUM(F165+BY165+CT165)</f>
        <v>526980033</v>
      </c>
      <c r="F165" s="16">
        <f>SUM(G165+BA165)</f>
        <v>524667218</v>
      </c>
      <c r="G165" s="16">
        <f>SUM(H165+I165+J165+Q165+T165+U165+V165+AE165)</f>
        <v>524563707</v>
      </c>
      <c r="H165" s="16">
        <f>273424676+30736971+17217068</f>
        <v>321378715</v>
      </c>
      <c r="I165" s="16">
        <f>63371979+5701698+4133737</f>
        <v>73207414</v>
      </c>
      <c r="J165" s="16">
        <f t="shared" si="238"/>
        <v>93058405</v>
      </c>
      <c r="K165" s="16">
        <f>64183720+3931282</f>
        <v>68115002</v>
      </c>
      <c r="L165" s="16">
        <v>1228893</v>
      </c>
      <c r="M165" s="16">
        <f>16854983+5638718</f>
        <v>22493701</v>
      </c>
      <c r="N165" s="16">
        <v>206301</v>
      </c>
      <c r="O165" s="16">
        <v>426013</v>
      </c>
      <c r="P165" s="16">
        <v>588495</v>
      </c>
      <c r="Q165" s="16">
        <f t="shared" si="239"/>
        <v>4632</v>
      </c>
      <c r="R165" s="16">
        <v>0</v>
      </c>
      <c r="S165" s="16">
        <v>4632</v>
      </c>
      <c r="T165" s="16">
        <v>0</v>
      </c>
      <c r="U165" s="16">
        <v>1446468</v>
      </c>
      <c r="V165" s="16">
        <f>SUM(W165:AD165)</f>
        <v>10748031</v>
      </c>
      <c r="W165" s="16">
        <v>2407880</v>
      </c>
      <c r="X165" s="16">
        <v>3821060</v>
      </c>
      <c r="Y165" s="16">
        <v>2271418</v>
      </c>
      <c r="Z165" s="16">
        <v>1646895</v>
      </c>
      <c r="AA165" s="16">
        <v>544486</v>
      </c>
      <c r="AB165" s="16">
        <v>0</v>
      </c>
      <c r="AC165" s="16">
        <v>0</v>
      </c>
      <c r="AD165" s="16">
        <v>56292</v>
      </c>
      <c r="AE165" s="16">
        <f>SUM(AF165:AZ165)</f>
        <v>24720042</v>
      </c>
      <c r="AF165" s="16">
        <v>0</v>
      </c>
      <c r="AG165" s="16">
        <v>13513</v>
      </c>
      <c r="AH165" s="16">
        <v>3579491</v>
      </c>
      <c r="AI165" s="16">
        <v>0</v>
      </c>
      <c r="AJ165" s="16">
        <v>151155</v>
      </c>
      <c r="AK165" s="16">
        <v>0</v>
      </c>
      <c r="AL165" s="16">
        <v>739522</v>
      </c>
      <c r="AM165" s="16">
        <v>270000</v>
      </c>
      <c r="AN165" s="16">
        <v>0</v>
      </c>
      <c r="AO165" s="16">
        <v>3535</v>
      </c>
      <c r="AP165" s="16"/>
      <c r="AQ165" s="16">
        <v>0</v>
      </c>
      <c r="AR165" s="16">
        <v>426662</v>
      </c>
      <c r="AS165" s="16">
        <v>0</v>
      </c>
      <c r="AT165" s="16">
        <v>0</v>
      </c>
      <c r="AU165" s="16">
        <f>3307338-1795120</f>
        <v>1512218</v>
      </c>
      <c r="AV165" s="16">
        <v>0</v>
      </c>
      <c r="AW165" s="16">
        <v>0</v>
      </c>
      <c r="AX165" s="16">
        <v>0</v>
      </c>
      <c r="AY165" s="16"/>
      <c r="AZ165" s="16">
        <f>12228826+5795120</f>
        <v>18023946</v>
      </c>
      <c r="BA165" s="16">
        <f>SUM(BB165+BF165+BI165+BK165+BM165)</f>
        <v>103511</v>
      </c>
      <c r="BB165" s="16">
        <f>SUM(BC165:BE165)</f>
        <v>0</v>
      </c>
      <c r="BC165" s="16">
        <v>0</v>
      </c>
      <c r="BD165" s="16">
        <v>0</v>
      </c>
      <c r="BE165" s="16">
        <v>0</v>
      </c>
      <c r="BF165" s="16">
        <f t="shared" si="240"/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f t="shared" si="241"/>
        <v>0</v>
      </c>
      <c r="BL165" s="16">
        <v>0</v>
      </c>
      <c r="BM165" s="16">
        <f t="shared" si="242"/>
        <v>103511</v>
      </c>
      <c r="BN165" s="16">
        <v>0</v>
      </c>
      <c r="BO165" s="16">
        <v>0</v>
      </c>
      <c r="BP165" s="16">
        <v>0</v>
      </c>
      <c r="BQ165" s="16">
        <v>0</v>
      </c>
      <c r="BR165" s="16">
        <v>0</v>
      </c>
      <c r="BS165" s="16">
        <v>0</v>
      </c>
      <c r="BT165" s="16">
        <v>0</v>
      </c>
      <c r="BU165" s="16">
        <v>0</v>
      </c>
      <c r="BV165" s="16">
        <v>0</v>
      </c>
      <c r="BW165" s="16">
        <v>0</v>
      </c>
      <c r="BX165" s="16">
        <v>103511</v>
      </c>
      <c r="BY165" s="16">
        <f>SUM(BZ165+CS165)</f>
        <v>2312815</v>
      </c>
      <c r="BZ165" s="16">
        <f>SUM(CA165+CD165+CK165)</f>
        <v>2312815</v>
      </c>
      <c r="CA165" s="16">
        <f t="shared" si="243"/>
        <v>2312815</v>
      </c>
      <c r="CB165" s="16">
        <v>0</v>
      </c>
      <c r="CC165" s="16">
        <f>1249542+1063273</f>
        <v>2312815</v>
      </c>
      <c r="CD165" s="16">
        <f t="shared" si="244"/>
        <v>0</v>
      </c>
      <c r="CE165" s="16">
        <v>0</v>
      </c>
      <c r="CF165" s="16">
        <v>0</v>
      </c>
      <c r="CG165" s="16">
        <v>0</v>
      </c>
      <c r="CH165" s="16">
        <v>0</v>
      </c>
      <c r="CI165" s="16">
        <v>0</v>
      </c>
      <c r="CJ165" s="16">
        <v>0</v>
      </c>
      <c r="CK165" s="16">
        <f t="shared" si="245"/>
        <v>0</v>
      </c>
      <c r="CL165" s="16">
        <v>0</v>
      </c>
      <c r="CM165" s="16">
        <v>0</v>
      </c>
      <c r="CN165" s="16">
        <v>0</v>
      </c>
      <c r="CO165" s="16">
        <v>0</v>
      </c>
      <c r="CP165" s="16">
        <v>0</v>
      </c>
      <c r="CQ165" s="16"/>
      <c r="CR165" s="16"/>
      <c r="CS165" s="16">
        <v>0</v>
      </c>
      <c r="CT165" s="16">
        <f t="shared" si="246"/>
        <v>0</v>
      </c>
      <c r="CU165" s="16">
        <f t="shared" si="247"/>
        <v>0</v>
      </c>
      <c r="CV165" s="16">
        <v>0</v>
      </c>
      <c r="CW165" s="17">
        <v>0</v>
      </c>
      <c r="CX165" s="40"/>
    </row>
    <row r="166" spans="1:102" ht="31.5" hidden="1" x14ac:dyDescent="0.25">
      <c r="A166" s="13" t="s">
        <v>195</v>
      </c>
      <c r="B166" s="14" t="s">
        <v>7</v>
      </c>
      <c r="C166" s="14" t="s">
        <v>1</v>
      </c>
      <c r="D166" s="30" t="s">
        <v>197</v>
      </c>
      <c r="E166" s="15">
        <f>SUM(E167:E168)</f>
        <v>141194954</v>
      </c>
      <c r="F166" s="16">
        <f t="shared" ref="F166:BS166" si="290">SUM(F167:F168)</f>
        <v>139625173</v>
      </c>
      <c r="G166" s="16">
        <f t="shared" si="290"/>
        <v>139621673</v>
      </c>
      <c r="H166" s="16">
        <f t="shared" si="290"/>
        <v>96156071</v>
      </c>
      <c r="I166" s="16">
        <f t="shared" si="290"/>
        <v>22658709</v>
      </c>
      <c r="J166" s="16">
        <f t="shared" si="290"/>
        <v>8195513</v>
      </c>
      <c r="K166" s="16">
        <f t="shared" si="290"/>
        <v>7629151</v>
      </c>
      <c r="L166" s="16">
        <f t="shared" si="290"/>
        <v>132942</v>
      </c>
      <c r="M166" s="16">
        <f t="shared" si="290"/>
        <v>0</v>
      </c>
      <c r="N166" s="16">
        <f t="shared" si="290"/>
        <v>0</v>
      </c>
      <c r="O166" s="16">
        <f t="shared" si="290"/>
        <v>340287</v>
      </c>
      <c r="P166" s="16">
        <f t="shared" si="290"/>
        <v>93133</v>
      </c>
      <c r="Q166" s="16">
        <f t="shared" si="290"/>
        <v>271</v>
      </c>
      <c r="R166" s="16">
        <f t="shared" si="290"/>
        <v>0</v>
      </c>
      <c r="S166" s="16">
        <f t="shared" si="290"/>
        <v>271</v>
      </c>
      <c r="T166" s="16">
        <f t="shared" si="290"/>
        <v>0</v>
      </c>
      <c r="U166" s="16">
        <f t="shared" si="290"/>
        <v>512591</v>
      </c>
      <c r="V166" s="16">
        <f t="shared" si="290"/>
        <v>4416032</v>
      </c>
      <c r="W166" s="16">
        <f t="shared" si="290"/>
        <v>3362112</v>
      </c>
      <c r="X166" s="16">
        <f t="shared" si="290"/>
        <v>594029</v>
      </c>
      <c r="Y166" s="16">
        <f t="shared" si="290"/>
        <v>200455</v>
      </c>
      <c r="Z166" s="16">
        <f t="shared" si="290"/>
        <v>128128</v>
      </c>
      <c r="AA166" s="16">
        <f t="shared" si="290"/>
        <v>108889</v>
      </c>
      <c r="AB166" s="16">
        <f t="shared" si="290"/>
        <v>971</v>
      </c>
      <c r="AC166" s="16">
        <f t="shared" si="290"/>
        <v>0</v>
      </c>
      <c r="AD166" s="16">
        <f t="shared" ref="AD166" si="291">SUM(AD167:AD168)</f>
        <v>21448</v>
      </c>
      <c r="AE166" s="16">
        <f t="shared" si="290"/>
        <v>7682486</v>
      </c>
      <c r="AF166" s="16">
        <f t="shared" si="290"/>
        <v>0</v>
      </c>
      <c r="AG166" s="16">
        <f t="shared" si="290"/>
        <v>832</v>
      </c>
      <c r="AH166" s="16">
        <f t="shared" si="290"/>
        <v>506287</v>
      </c>
      <c r="AI166" s="16">
        <f t="shared" si="290"/>
        <v>0</v>
      </c>
      <c r="AJ166" s="16">
        <f t="shared" si="290"/>
        <v>44551</v>
      </c>
      <c r="AK166" s="16">
        <f t="shared" si="290"/>
        <v>0</v>
      </c>
      <c r="AL166" s="16">
        <f t="shared" si="290"/>
        <v>212776</v>
      </c>
      <c r="AM166" s="16">
        <f t="shared" si="290"/>
        <v>28538</v>
      </c>
      <c r="AN166" s="16">
        <f t="shared" si="290"/>
        <v>0</v>
      </c>
      <c r="AO166" s="16">
        <f t="shared" si="290"/>
        <v>216</v>
      </c>
      <c r="AP166" s="16">
        <f>SUM(AP167:AP168)</f>
        <v>0</v>
      </c>
      <c r="AQ166" s="16">
        <f t="shared" si="290"/>
        <v>0</v>
      </c>
      <c r="AR166" s="16">
        <f t="shared" si="290"/>
        <v>53592</v>
      </c>
      <c r="AS166" s="16">
        <f t="shared" si="290"/>
        <v>40000</v>
      </c>
      <c r="AT166" s="16">
        <f t="shared" si="290"/>
        <v>0</v>
      </c>
      <c r="AU166" s="16">
        <f t="shared" si="290"/>
        <v>1148381</v>
      </c>
      <c r="AV166" s="16">
        <f t="shared" si="290"/>
        <v>0</v>
      </c>
      <c r="AW166" s="16">
        <f t="shared" si="290"/>
        <v>0</v>
      </c>
      <c r="AX166" s="16">
        <f t="shared" si="290"/>
        <v>0</v>
      </c>
      <c r="AY166" s="16">
        <f t="shared" si="290"/>
        <v>0</v>
      </c>
      <c r="AZ166" s="16">
        <f t="shared" si="290"/>
        <v>5647313</v>
      </c>
      <c r="BA166" s="16">
        <f t="shared" si="290"/>
        <v>3500</v>
      </c>
      <c r="BB166" s="16">
        <f t="shared" si="290"/>
        <v>0</v>
      </c>
      <c r="BC166" s="16">
        <f t="shared" si="290"/>
        <v>0</v>
      </c>
      <c r="BD166" s="16">
        <f t="shared" si="290"/>
        <v>0</v>
      </c>
      <c r="BE166" s="16">
        <f t="shared" si="290"/>
        <v>0</v>
      </c>
      <c r="BF166" s="16">
        <f t="shared" si="290"/>
        <v>0</v>
      </c>
      <c r="BG166" s="16">
        <f t="shared" si="290"/>
        <v>0</v>
      </c>
      <c r="BH166" s="16">
        <f t="shared" si="290"/>
        <v>0</v>
      </c>
      <c r="BI166" s="16">
        <f t="shared" si="290"/>
        <v>0</v>
      </c>
      <c r="BJ166" s="16">
        <f t="shared" si="290"/>
        <v>0</v>
      </c>
      <c r="BK166" s="16">
        <f t="shared" si="290"/>
        <v>0</v>
      </c>
      <c r="BL166" s="16">
        <f t="shared" si="290"/>
        <v>0</v>
      </c>
      <c r="BM166" s="16">
        <f t="shared" si="290"/>
        <v>3500</v>
      </c>
      <c r="BN166" s="16">
        <f t="shared" si="290"/>
        <v>0</v>
      </c>
      <c r="BO166" s="16">
        <f t="shared" si="290"/>
        <v>0</v>
      </c>
      <c r="BP166" s="16">
        <f t="shared" si="290"/>
        <v>0</v>
      </c>
      <c r="BQ166" s="16">
        <f t="shared" si="290"/>
        <v>0</v>
      </c>
      <c r="BR166" s="16">
        <f t="shared" si="290"/>
        <v>0</v>
      </c>
      <c r="BS166" s="16">
        <f t="shared" si="290"/>
        <v>0</v>
      </c>
      <c r="BT166" s="16">
        <f t="shared" ref="BT166:CW166" si="292">SUM(BT167:BT168)</f>
        <v>0</v>
      </c>
      <c r="BU166" s="16">
        <f t="shared" si="292"/>
        <v>0</v>
      </c>
      <c r="BV166" s="16">
        <f t="shared" si="292"/>
        <v>0</v>
      </c>
      <c r="BW166" s="16">
        <f t="shared" si="292"/>
        <v>0</v>
      </c>
      <c r="BX166" s="16">
        <f t="shared" si="292"/>
        <v>3500</v>
      </c>
      <c r="BY166" s="16">
        <f t="shared" si="292"/>
        <v>1569781</v>
      </c>
      <c r="BZ166" s="16">
        <f t="shared" si="292"/>
        <v>1569781</v>
      </c>
      <c r="CA166" s="16">
        <f t="shared" si="292"/>
        <v>1569781</v>
      </c>
      <c r="CB166" s="16">
        <f t="shared" si="292"/>
        <v>0</v>
      </c>
      <c r="CC166" s="16">
        <f t="shared" si="292"/>
        <v>1569781</v>
      </c>
      <c r="CD166" s="16">
        <f t="shared" si="292"/>
        <v>0</v>
      </c>
      <c r="CE166" s="16">
        <f t="shared" si="292"/>
        <v>0</v>
      </c>
      <c r="CF166" s="16">
        <f>SUM(CF167:CF168)</f>
        <v>0</v>
      </c>
      <c r="CG166" s="16">
        <f t="shared" si="292"/>
        <v>0</v>
      </c>
      <c r="CH166" s="16">
        <f t="shared" si="292"/>
        <v>0</v>
      </c>
      <c r="CI166" s="16">
        <f t="shared" si="292"/>
        <v>0</v>
      </c>
      <c r="CJ166" s="16">
        <f t="shared" ref="CJ166" si="293">SUM(CJ167:CJ168)</f>
        <v>0</v>
      </c>
      <c r="CK166" s="16">
        <f t="shared" si="292"/>
        <v>0</v>
      </c>
      <c r="CL166" s="16">
        <f t="shared" si="292"/>
        <v>0</v>
      </c>
      <c r="CM166" s="16">
        <f>SUM(CM167:CM168)</f>
        <v>0</v>
      </c>
      <c r="CN166" s="16">
        <f t="shared" si="292"/>
        <v>0</v>
      </c>
      <c r="CO166" s="16">
        <f t="shared" si="292"/>
        <v>0</v>
      </c>
      <c r="CP166" s="16">
        <f t="shared" si="292"/>
        <v>0</v>
      </c>
      <c r="CQ166" s="16">
        <f t="shared" si="292"/>
        <v>0</v>
      </c>
      <c r="CR166" s="16">
        <f t="shared" si="292"/>
        <v>0</v>
      </c>
      <c r="CS166" s="16">
        <f t="shared" si="292"/>
        <v>0</v>
      </c>
      <c r="CT166" s="16">
        <f t="shared" si="292"/>
        <v>0</v>
      </c>
      <c r="CU166" s="16">
        <f t="shared" si="292"/>
        <v>0</v>
      </c>
      <c r="CV166" s="16">
        <f t="shared" si="292"/>
        <v>0</v>
      </c>
      <c r="CW166" s="17">
        <f t="shared" si="292"/>
        <v>0</v>
      </c>
      <c r="CX166" s="40"/>
    </row>
    <row r="167" spans="1:102" ht="15.75" hidden="1" x14ac:dyDescent="0.25">
      <c r="A167" s="13" t="s">
        <v>1</v>
      </c>
      <c r="B167" s="14" t="s">
        <v>1</v>
      </c>
      <c r="C167" s="14" t="s">
        <v>21</v>
      </c>
      <c r="D167" s="30" t="s">
        <v>198</v>
      </c>
      <c r="E167" s="15">
        <f>SUM(F167+BY167+CT167)</f>
        <v>105821051</v>
      </c>
      <c r="F167" s="16">
        <f>SUM(G167+BA167)</f>
        <v>105089964</v>
      </c>
      <c r="G167" s="16">
        <f>SUM(H167+I167+J167+Q167+T167+U167+V167+AE167)</f>
        <v>105089964</v>
      </c>
      <c r="H167" s="16">
        <f>66915844+2068835+541812</f>
        <v>69526491</v>
      </c>
      <c r="I167" s="16">
        <f>16351069+175500+137810</f>
        <v>16664379</v>
      </c>
      <c r="J167" s="16">
        <f t="shared" si="238"/>
        <v>6685152</v>
      </c>
      <c r="K167" s="16">
        <f>4417724+1740564</f>
        <v>6158288</v>
      </c>
      <c r="L167" s="16">
        <v>117377</v>
      </c>
      <c r="M167" s="16">
        <v>0</v>
      </c>
      <c r="N167" s="16">
        <v>0</v>
      </c>
      <c r="O167" s="16">
        <v>340287</v>
      </c>
      <c r="P167" s="16">
        <v>69200</v>
      </c>
      <c r="Q167" s="16">
        <f t="shared" si="239"/>
        <v>271</v>
      </c>
      <c r="R167" s="16">
        <v>0</v>
      </c>
      <c r="S167" s="16">
        <v>271</v>
      </c>
      <c r="T167" s="16">
        <v>0</v>
      </c>
      <c r="U167" s="16">
        <v>450444</v>
      </c>
      <c r="V167" s="16">
        <f>SUM(W167:AD167)</f>
        <v>4304872</v>
      </c>
      <c r="W167" s="16">
        <v>3362112</v>
      </c>
      <c r="X167" s="16">
        <v>542725</v>
      </c>
      <c r="Y167" s="16">
        <v>160540</v>
      </c>
      <c r="Z167" s="16">
        <v>117695</v>
      </c>
      <c r="AA167" s="16">
        <v>99381</v>
      </c>
      <c r="AB167" s="16">
        <v>971</v>
      </c>
      <c r="AC167" s="16">
        <v>0</v>
      </c>
      <c r="AD167" s="16">
        <v>21448</v>
      </c>
      <c r="AE167" s="16">
        <f>SUM(AF167:AZ167)</f>
        <v>7458355</v>
      </c>
      <c r="AF167" s="16">
        <v>0</v>
      </c>
      <c r="AG167" s="16">
        <v>0</v>
      </c>
      <c r="AH167" s="16">
        <v>487070</v>
      </c>
      <c r="AI167" s="16">
        <v>0</v>
      </c>
      <c r="AJ167" s="16">
        <v>41369</v>
      </c>
      <c r="AK167" s="16">
        <v>0</v>
      </c>
      <c r="AL167" s="16">
        <v>158278</v>
      </c>
      <c r="AM167" s="16">
        <v>0</v>
      </c>
      <c r="AN167" s="16">
        <v>0</v>
      </c>
      <c r="AO167" s="16">
        <v>216</v>
      </c>
      <c r="AP167" s="16"/>
      <c r="AQ167" s="16">
        <v>0</v>
      </c>
      <c r="AR167" s="16">
        <v>34728</v>
      </c>
      <c r="AS167" s="16">
        <v>0</v>
      </c>
      <c r="AT167" s="16">
        <v>0</v>
      </c>
      <c r="AU167" s="16">
        <v>1148381</v>
      </c>
      <c r="AV167" s="16">
        <v>0</v>
      </c>
      <c r="AW167" s="16">
        <v>0</v>
      </c>
      <c r="AX167" s="16">
        <v>0</v>
      </c>
      <c r="AY167" s="16"/>
      <c r="AZ167" s="16">
        <f>5375975+212338</f>
        <v>5588313</v>
      </c>
      <c r="BA167" s="16">
        <f>SUM(BB167+BF167+BI167+BK167+BM167)</f>
        <v>0</v>
      </c>
      <c r="BB167" s="16">
        <f>SUM(BC167:BE167)</f>
        <v>0</v>
      </c>
      <c r="BC167" s="16">
        <v>0</v>
      </c>
      <c r="BD167" s="16">
        <v>0</v>
      </c>
      <c r="BE167" s="16">
        <v>0</v>
      </c>
      <c r="BF167" s="16">
        <f t="shared" si="240"/>
        <v>0</v>
      </c>
      <c r="BG167" s="16">
        <v>0</v>
      </c>
      <c r="BH167" s="16">
        <v>0</v>
      </c>
      <c r="BI167" s="16">
        <v>0</v>
      </c>
      <c r="BJ167" s="16">
        <v>0</v>
      </c>
      <c r="BK167" s="16">
        <f t="shared" si="241"/>
        <v>0</v>
      </c>
      <c r="BL167" s="16">
        <v>0</v>
      </c>
      <c r="BM167" s="16">
        <f t="shared" si="242"/>
        <v>0</v>
      </c>
      <c r="BN167" s="16">
        <v>0</v>
      </c>
      <c r="BO167" s="16">
        <v>0</v>
      </c>
      <c r="BP167" s="16">
        <v>0</v>
      </c>
      <c r="BQ167" s="16">
        <v>0</v>
      </c>
      <c r="BR167" s="16">
        <v>0</v>
      </c>
      <c r="BS167" s="16">
        <v>0</v>
      </c>
      <c r="BT167" s="16">
        <v>0</v>
      </c>
      <c r="BU167" s="16">
        <v>0</v>
      </c>
      <c r="BV167" s="16">
        <v>0</v>
      </c>
      <c r="BW167" s="16">
        <v>0</v>
      </c>
      <c r="BX167" s="16">
        <v>0</v>
      </c>
      <c r="BY167" s="16">
        <f>SUM(BZ167+CS167)</f>
        <v>731087</v>
      </c>
      <c r="BZ167" s="16">
        <f>SUM(CA167+CD167+CK167)</f>
        <v>731087</v>
      </c>
      <c r="CA167" s="16">
        <f t="shared" si="243"/>
        <v>731087</v>
      </c>
      <c r="CB167" s="16">
        <v>0</v>
      </c>
      <c r="CC167" s="16">
        <f>26478+18796+685813</f>
        <v>731087</v>
      </c>
      <c r="CD167" s="16">
        <f t="shared" si="244"/>
        <v>0</v>
      </c>
      <c r="CE167" s="16">
        <v>0</v>
      </c>
      <c r="CF167" s="16">
        <v>0</v>
      </c>
      <c r="CG167" s="16">
        <v>0</v>
      </c>
      <c r="CH167" s="16">
        <v>0</v>
      </c>
      <c r="CI167" s="16">
        <v>0</v>
      </c>
      <c r="CJ167" s="16">
        <v>0</v>
      </c>
      <c r="CK167" s="16">
        <f t="shared" si="245"/>
        <v>0</v>
      </c>
      <c r="CL167" s="16">
        <v>0</v>
      </c>
      <c r="CM167" s="16">
        <v>0</v>
      </c>
      <c r="CN167" s="16">
        <v>0</v>
      </c>
      <c r="CO167" s="16">
        <v>0</v>
      </c>
      <c r="CP167" s="16">
        <v>0</v>
      </c>
      <c r="CQ167" s="16"/>
      <c r="CR167" s="16"/>
      <c r="CS167" s="16">
        <v>0</v>
      </c>
      <c r="CT167" s="16">
        <f t="shared" si="246"/>
        <v>0</v>
      </c>
      <c r="CU167" s="16">
        <f t="shared" si="247"/>
        <v>0</v>
      </c>
      <c r="CV167" s="16">
        <v>0</v>
      </c>
      <c r="CW167" s="17">
        <v>0</v>
      </c>
      <c r="CX167" s="40"/>
    </row>
    <row r="168" spans="1:102" ht="15.75" hidden="1" x14ac:dyDescent="0.25">
      <c r="A168" s="13" t="s">
        <v>1</v>
      </c>
      <c r="B168" s="14" t="s">
        <v>1</v>
      </c>
      <c r="C168" s="14" t="s">
        <v>21</v>
      </c>
      <c r="D168" s="30" t="s">
        <v>199</v>
      </c>
      <c r="E168" s="15">
        <f>SUM(F168+BY168+CT168)</f>
        <v>35373903</v>
      </c>
      <c r="F168" s="16">
        <f>SUM(G168+BA168)</f>
        <v>34535209</v>
      </c>
      <c r="G168" s="16">
        <f>SUM(H168+I168+J168+Q168+T168+U168+V168+AE168)</f>
        <v>34531709</v>
      </c>
      <c r="H168" s="16">
        <f>20671741+1415800+4542039</f>
        <v>26629580</v>
      </c>
      <c r="I168" s="16">
        <f>4867013+1127317</f>
        <v>5994330</v>
      </c>
      <c r="J168" s="16">
        <f t="shared" si="238"/>
        <v>1510361</v>
      </c>
      <c r="K168" s="16">
        <v>1470863</v>
      </c>
      <c r="L168" s="16">
        <v>15565</v>
      </c>
      <c r="M168" s="16">
        <v>0</v>
      </c>
      <c r="N168" s="16">
        <v>0</v>
      </c>
      <c r="O168" s="16">
        <v>0</v>
      </c>
      <c r="P168" s="16">
        <v>23933</v>
      </c>
      <c r="Q168" s="16">
        <f t="shared" si="239"/>
        <v>0</v>
      </c>
      <c r="R168" s="16">
        <v>0</v>
      </c>
      <c r="S168" s="16">
        <v>0</v>
      </c>
      <c r="T168" s="16">
        <v>0</v>
      </c>
      <c r="U168" s="16">
        <v>62147</v>
      </c>
      <c r="V168" s="16">
        <f>SUM(W168:AD168)</f>
        <v>111160</v>
      </c>
      <c r="W168" s="16">
        <v>0</v>
      </c>
      <c r="X168" s="16">
        <v>51304</v>
      </c>
      <c r="Y168" s="16">
        <v>39915</v>
      </c>
      <c r="Z168" s="16">
        <v>10433</v>
      </c>
      <c r="AA168" s="16">
        <f>10009-501</f>
        <v>9508</v>
      </c>
      <c r="AB168" s="16">
        <v>0</v>
      </c>
      <c r="AC168" s="16">
        <v>0</v>
      </c>
      <c r="AD168" s="16">
        <v>0</v>
      </c>
      <c r="AE168" s="16">
        <f>SUM(AF168:AZ168)</f>
        <v>224131</v>
      </c>
      <c r="AF168" s="16">
        <v>0</v>
      </c>
      <c r="AG168" s="16">
        <v>832</v>
      </c>
      <c r="AH168" s="16">
        <v>19217</v>
      </c>
      <c r="AI168" s="16">
        <v>0</v>
      </c>
      <c r="AJ168" s="16">
        <v>3182</v>
      </c>
      <c r="AK168" s="16">
        <v>0</v>
      </c>
      <c r="AL168" s="16">
        <v>54498</v>
      </c>
      <c r="AM168" s="16">
        <v>28538</v>
      </c>
      <c r="AN168" s="16">
        <v>0</v>
      </c>
      <c r="AO168" s="16">
        <v>0</v>
      </c>
      <c r="AP168" s="16">
        <v>0</v>
      </c>
      <c r="AQ168" s="16">
        <v>0</v>
      </c>
      <c r="AR168" s="16">
        <v>18864</v>
      </c>
      <c r="AS168" s="16">
        <v>40000</v>
      </c>
      <c r="AT168" s="16">
        <v>0</v>
      </c>
      <c r="AU168" s="16">
        <v>0</v>
      </c>
      <c r="AV168" s="16">
        <v>0</v>
      </c>
      <c r="AW168" s="16">
        <v>0</v>
      </c>
      <c r="AX168" s="16">
        <v>0</v>
      </c>
      <c r="AY168" s="16">
        <v>0</v>
      </c>
      <c r="AZ168" s="16">
        <v>59000</v>
      </c>
      <c r="BA168" s="16">
        <f>SUM(BB168+BF168+BI168+BK168+BM168)</f>
        <v>3500</v>
      </c>
      <c r="BB168" s="16">
        <f>SUM(BC168:BE168)</f>
        <v>0</v>
      </c>
      <c r="BC168" s="16">
        <v>0</v>
      </c>
      <c r="BD168" s="16">
        <v>0</v>
      </c>
      <c r="BE168" s="16">
        <v>0</v>
      </c>
      <c r="BF168" s="16">
        <f t="shared" si="240"/>
        <v>0</v>
      </c>
      <c r="BG168" s="16">
        <v>0</v>
      </c>
      <c r="BH168" s="16">
        <v>0</v>
      </c>
      <c r="BI168" s="16">
        <v>0</v>
      </c>
      <c r="BJ168" s="16">
        <v>0</v>
      </c>
      <c r="BK168" s="16">
        <f t="shared" si="241"/>
        <v>0</v>
      </c>
      <c r="BL168" s="16">
        <v>0</v>
      </c>
      <c r="BM168" s="16">
        <f t="shared" si="242"/>
        <v>3500</v>
      </c>
      <c r="BN168" s="16">
        <v>0</v>
      </c>
      <c r="BO168" s="16">
        <v>0</v>
      </c>
      <c r="BP168" s="16">
        <v>0</v>
      </c>
      <c r="BQ168" s="16">
        <v>0</v>
      </c>
      <c r="BR168" s="16">
        <v>0</v>
      </c>
      <c r="BS168" s="16">
        <v>0</v>
      </c>
      <c r="BT168" s="16">
        <v>0</v>
      </c>
      <c r="BU168" s="16">
        <v>0</v>
      </c>
      <c r="BV168" s="16">
        <v>0</v>
      </c>
      <c r="BW168" s="16">
        <v>0</v>
      </c>
      <c r="BX168" s="16">
        <v>3500</v>
      </c>
      <c r="BY168" s="16">
        <f>SUM(BZ168+CS168)</f>
        <v>838694</v>
      </c>
      <c r="BZ168" s="16">
        <f>SUM(CA168+CD168+CK168)</f>
        <v>838694</v>
      </c>
      <c r="CA168" s="16">
        <f t="shared" si="243"/>
        <v>838694</v>
      </c>
      <c r="CB168" s="16">
        <v>0</v>
      </c>
      <c r="CC168" s="16">
        <v>838694</v>
      </c>
      <c r="CD168" s="16">
        <f t="shared" si="244"/>
        <v>0</v>
      </c>
      <c r="CE168" s="16">
        <v>0</v>
      </c>
      <c r="CF168" s="16">
        <v>0</v>
      </c>
      <c r="CG168" s="16">
        <v>0</v>
      </c>
      <c r="CH168" s="16">
        <v>0</v>
      </c>
      <c r="CI168" s="16">
        <v>0</v>
      </c>
      <c r="CJ168" s="16">
        <v>0</v>
      </c>
      <c r="CK168" s="16">
        <f t="shared" si="245"/>
        <v>0</v>
      </c>
      <c r="CL168" s="16">
        <v>0</v>
      </c>
      <c r="CM168" s="16">
        <v>0</v>
      </c>
      <c r="CN168" s="16">
        <v>0</v>
      </c>
      <c r="CO168" s="16">
        <v>0</v>
      </c>
      <c r="CP168" s="16">
        <v>0</v>
      </c>
      <c r="CQ168" s="16">
        <v>0</v>
      </c>
      <c r="CR168" s="16">
        <v>0</v>
      </c>
      <c r="CS168" s="16">
        <v>0</v>
      </c>
      <c r="CT168" s="16">
        <f t="shared" si="246"/>
        <v>0</v>
      </c>
      <c r="CU168" s="16">
        <f t="shared" si="247"/>
        <v>0</v>
      </c>
      <c r="CV168" s="16">
        <v>0</v>
      </c>
      <c r="CW168" s="17">
        <v>0</v>
      </c>
      <c r="CX168" s="40"/>
    </row>
    <row r="169" spans="1:102" ht="31.5" hidden="1" x14ac:dyDescent="0.25">
      <c r="A169" s="13" t="s">
        <v>195</v>
      </c>
      <c r="B169" s="14" t="s">
        <v>15</v>
      </c>
      <c r="C169" s="14" t="s">
        <v>1</v>
      </c>
      <c r="D169" s="30" t="s">
        <v>200</v>
      </c>
      <c r="E169" s="15">
        <f t="shared" ref="E169:AJ169" si="294">SUM(E170:E171)</f>
        <v>31065394</v>
      </c>
      <c r="F169" s="16">
        <f t="shared" si="294"/>
        <v>31000922</v>
      </c>
      <c r="G169" s="16">
        <f t="shared" si="294"/>
        <v>30799259</v>
      </c>
      <c r="H169" s="16">
        <f t="shared" si="294"/>
        <v>20263063</v>
      </c>
      <c r="I169" s="16">
        <f t="shared" si="294"/>
        <v>4703044</v>
      </c>
      <c r="J169" s="16">
        <f t="shared" si="294"/>
        <v>4937298</v>
      </c>
      <c r="K169" s="16">
        <f t="shared" si="294"/>
        <v>3692635</v>
      </c>
      <c r="L169" s="16">
        <f t="shared" si="294"/>
        <v>212545</v>
      </c>
      <c r="M169" s="16">
        <f t="shared" si="294"/>
        <v>547190</v>
      </c>
      <c r="N169" s="16">
        <f t="shared" si="294"/>
        <v>0</v>
      </c>
      <c r="O169" s="16">
        <f t="shared" si="294"/>
        <v>398040</v>
      </c>
      <c r="P169" s="16">
        <f t="shared" si="294"/>
        <v>86888</v>
      </c>
      <c r="Q169" s="16">
        <f t="shared" si="294"/>
        <v>1022</v>
      </c>
      <c r="R169" s="16">
        <f t="shared" si="294"/>
        <v>0</v>
      </c>
      <c r="S169" s="16">
        <f t="shared" si="294"/>
        <v>1022</v>
      </c>
      <c r="T169" s="16">
        <f t="shared" si="294"/>
        <v>0</v>
      </c>
      <c r="U169" s="16">
        <f t="shared" si="294"/>
        <v>180102</v>
      </c>
      <c r="V169" s="16">
        <f t="shared" si="294"/>
        <v>352776</v>
      </c>
      <c r="W169" s="16">
        <f t="shared" si="294"/>
        <v>19620</v>
      </c>
      <c r="X169" s="16">
        <f t="shared" si="294"/>
        <v>201545</v>
      </c>
      <c r="Y169" s="16">
        <f t="shared" si="294"/>
        <v>49946</v>
      </c>
      <c r="Z169" s="16">
        <f t="shared" si="294"/>
        <v>39212</v>
      </c>
      <c r="AA169" s="16">
        <f t="shared" si="294"/>
        <v>27788</v>
      </c>
      <c r="AB169" s="16">
        <f t="shared" si="294"/>
        <v>0</v>
      </c>
      <c r="AC169" s="16">
        <f t="shared" si="294"/>
        <v>0</v>
      </c>
      <c r="AD169" s="16">
        <f t="shared" ref="AD169" si="295">SUM(AD170:AD171)</f>
        <v>14665</v>
      </c>
      <c r="AE169" s="16">
        <f t="shared" si="294"/>
        <v>361954</v>
      </c>
      <c r="AF169" s="16">
        <f t="shared" si="294"/>
        <v>0</v>
      </c>
      <c r="AG169" s="16">
        <f t="shared" si="294"/>
        <v>625</v>
      </c>
      <c r="AH169" s="16">
        <f t="shared" si="294"/>
        <v>120328</v>
      </c>
      <c r="AI169" s="16">
        <f t="shared" si="294"/>
        <v>0</v>
      </c>
      <c r="AJ169" s="16">
        <f t="shared" si="294"/>
        <v>12729</v>
      </c>
      <c r="AK169" s="16">
        <f t="shared" ref="AK169:BR169" si="296">SUM(AK170:AK171)</f>
        <v>0</v>
      </c>
      <c r="AL169" s="16">
        <f t="shared" si="296"/>
        <v>77563</v>
      </c>
      <c r="AM169" s="16">
        <f t="shared" si="296"/>
        <v>0</v>
      </c>
      <c r="AN169" s="16">
        <f t="shared" si="296"/>
        <v>0</v>
      </c>
      <c r="AO169" s="16">
        <f t="shared" si="296"/>
        <v>0</v>
      </c>
      <c r="AP169" s="16">
        <f>SUM(AP170:AP171)</f>
        <v>0</v>
      </c>
      <c r="AQ169" s="16">
        <f t="shared" si="296"/>
        <v>0</v>
      </c>
      <c r="AR169" s="16">
        <f t="shared" si="296"/>
        <v>0</v>
      </c>
      <c r="AS169" s="16">
        <f t="shared" si="296"/>
        <v>14400</v>
      </c>
      <c r="AT169" s="16">
        <f t="shared" si="296"/>
        <v>0</v>
      </c>
      <c r="AU169" s="16">
        <f t="shared" si="296"/>
        <v>103784</v>
      </c>
      <c r="AV169" s="16">
        <f t="shared" si="296"/>
        <v>0</v>
      </c>
      <c r="AW169" s="16">
        <f t="shared" si="296"/>
        <v>0</v>
      </c>
      <c r="AX169" s="16">
        <f t="shared" si="296"/>
        <v>0</v>
      </c>
      <c r="AY169" s="16">
        <f t="shared" si="296"/>
        <v>0</v>
      </c>
      <c r="AZ169" s="16">
        <f t="shared" si="296"/>
        <v>32525</v>
      </c>
      <c r="BA169" s="16">
        <f t="shared" si="296"/>
        <v>201663</v>
      </c>
      <c r="BB169" s="16">
        <f t="shared" si="296"/>
        <v>0</v>
      </c>
      <c r="BC169" s="16">
        <f t="shared" si="296"/>
        <v>0</v>
      </c>
      <c r="BD169" s="16">
        <f t="shared" si="296"/>
        <v>0</v>
      </c>
      <c r="BE169" s="16">
        <f t="shared" si="296"/>
        <v>0</v>
      </c>
      <c r="BF169" s="16">
        <f t="shared" si="296"/>
        <v>0</v>
      </c>
      <c r="BG169" s="16">
        <f t="shared" si="296"/>
        <v>0</v>
      </c>
      <c r="BH169" s="16">
        <f t="shared" si="296"/>
        <v>0</v>
      </c>
      <c r="BI169" s="16">
        <f t="shared" si="296"/>
        <v>0</v>
      </c>
      <c r="BJ169" s="16">
        <f t="shared" si="296"/>
        <v>0</v>
      </c>
      <c r="BK169" s="16">
        <f t="shared" si="296"/>
        <v>0</v>
      </c>
      <c r="BL169" s="16">
        <f t="shared" si="296"/>
        <v>0</v>
      </c>
      <c r="BM169" s="16">
        <f t="shared" si="296"/>
        <v>201663</v>
      </c>
      <c r="BN169" s="16">
        <f t="shared" si="296"/>
        <v>0</v>
      </c>
      <c r="BO169" s="16">
        <f t="shared" si="296"/>
        <v>0</v>
      </c>
      <c r="BP169" s="16">
        <f t="shared" si="296"/>
        <v>0</v>
      </c>
      <c r="BQ169" s="16">
        <f t="shared" si="296"/>
        <v>0</v>
      </c>
      <c r="BR169" s="16">
        <f t="shared" si="296"/>
        <v>0</v>
      </c>
      <c r="BS169" s="16">
        <f t="shared" ref="BS169:CW169" si="297">SUM(BS170:BS171)</f>
        <v>0</v>
      </c>
      <c r="BT169" s="16">
        <f t="shared" si="297"/>
        <v>0</v>
      </c>
      <c r="BU169" s="16">
        <f t="shared" si="297"/>
        <v>0</v>
      </c>
      <c r="BV169" s="16">
        <f t="shared" si="297"/>
        <v>0</v>
      </c>
      <c r="BW169" s="16">
        <f t="shared" si="297"/>
        <v>0</v>
      </c>
      <c r="BX169" s="16">
        <f t="shared" si="297"/>
        <v>201663</v>
      </c>
      <c r="BY169" s="16">
        <f t="shared" si="297"/>
        <v>64472</v>
      </c>
      <c r="BZ169" s="16">
        <f t="shared" si="297"/>
        <v>64472</v>
      </c>
      <c r="CA169" s="16">
        <f t="shared" si="297"/>
        <v>64472</v>
      </c>
      <c r="CB169" s="16">
        <f t="shared" si="297"/>
        <v>0</v>
      </c>
      <c r="CC169" s="16">
        <f t="shared" si="297"/>
        <v>64472</v>
      </c>
      <c r="CD169" s="16">
        <f t="shared" si="297"/>
        <v>0</v>
      </c>
      <c r="CE169" s="16">
        <f t="shared" si="297"/>
        <v>0</v>
      </c>
      <c r="CF169" s="16">
        <f t="shared" si="297"/>
        <v>0</v>
      </c>
      <c r="CG169" s="16">
        <f t="shared" si="297"/>
        <v>0</v>
      </c>
      <c r="CH169" s="16">
        <f t="shared" si="297"/>
        <v>0</v>
      </c>
      <c r="CI169" s="16">
        <f t="shared" si="297"/>
        <v>0</v>
      </c>
      <c r="CJ169" s="16">
        <f t="shared" ref="CJ169" si="298">SUM(CJ170:CJ171)</f>
        <v>0</v>
      </c>
      <c r="CK169" s="16">
        <f t="shared" si="297"/>
        <v>0</v>
      </c>
      <c r="CL169" s="16">
        <f t="shared" si="297"/>
        <v>0</v>
      </c>
      <c r="CM169" s="16">
        <f t="shared" si="297"/>
        <v>0</v>
      </c>
      <c r="CN169" s="16">
        <f t="shared" si="297"/>
        <v>0</v>
      </c>
      <c r="CO169" s="16">
        <f t="shared" si="297"/>
        <v>0</v>
      </c>
      <c r="CP169" s="16">
        <f t="shared" si="297"/>
        <v>0</v>
      </c>
      <c r="CQ169" s="16">
        <f t="shared" si="297"/>
        <v>0</v>
      </c>
      <c r="CR169" s="16">
        <f t="shared" si="297"/>
        <v>0</v>
      </c>
      <c r="CS169" s="16">
        <f t="shared" si="297"/>
        <v>0</v>
      </c>
      <c r="CT169" s="16">
        <f t="shared" si="297"/>
        <v>0</v>
      </c>
      <c r="CU169" s="16">
        <f t="shared" si="297"/>
        <v>0</v>
      </c>
      <c r="CV169" s="16">
        <f t="shared" si="297"/>
        <v>0</v>
      </c>
      <c r="CW169" s="17">
        <f t="shared" si="297"/>
        <v>0</v>
      </c>
      <c r="CX169" s="40"/>
    </row>
    <row r="170" spans="1:102" ht="15.75" hidden="1" x14ac:dyDescent="0.25">
      <c r="A170" s="13" t="s">
        <v>1</v>
      </c>
      <c r="B170" s="14" t="s">
        <v>1</v>
      </c>
      <c r="C170" s="14" t="s">
        <v>19</v>
      </c>
      <c r="D170" s="30" t="s">
        <v>201</v>
      </c>
      <c r="E170" s="15">
        <f>SUM(F170+BY170+CT170)</f>
        <v>5827895</v>
      </c>
      <c r="F170" s="16">
        <f>SUM(G170+BA170)</f>
        <v>5769922</v>
      </c>
      <c r="G170" s="16">
        <f>SUM(H170+I170+J170+Q170+T170+U170+V170+AE170)</f>
        <v>5568259</v>
      </c>
      <c r="H170" s="16">
        <v>3425414</v>
      </c>
      <c r="I170" s="16">
        <v>794609</v>
      </c>
      <c r="J170" s="16">
        <f t="shared" si="238"/>
        <v>1036281</v>
      </c>
      <c r="K170" s="16">
        <v>137700</v>
      </c>
      <c r="L170" s="16">
        <v>193450</v>
      </c>
      <c r="M170" s="16">
        <v>547190</v>
      </c>
      <c r="N170" s="16">
        <v>0</v>
      </c>
      <c r="O170" s="16">
        <v>95109</v>
      </c>
      <c r="P170" s="16">
        <v>62832</v>
      </c>
      <c r="Q170" s="16">
        <f t="shared" si="239"/>
        <v>1022</v>
      </c>
      <c r="R170" s="16">
        <v>0</v>
      </c>
      <c r="S170" s="16">
        <v>1022</v>
      </c>
      <c r="T170" s="16">
        <v>0</v>
      </c>
      <c r="U170" s="16">
        <v>13292</v>
      </c>
      <c r="V170" s="16">
        <f>SUM(W170:AD170)</f>
        <v>94258</v>
      </c>
      <c r="W170" s="16">
        <v>19620</v>
      </c>
      <c r="X170" s="16">
        <v>0</v>
      </c>
      <c r="Y170" s="16">
        <v>28948</v>
      </c>
      <c r="Z170" s="16">
        <v>25906</v>
      </c>
      <c r="AA170" s="16">
        <v>6522</v>
      </c>
      <c r="AB170" s="16">
        <v>0</v>
      </c>
      <c r="AC170" s="16">
        <v>0</v>
      </c>
      <c r="AD170" s="16">
        <v>13262</v>
      </c>
      <c r="AE170" s="16">
        <f>SUM(AF170:AZ170)</f>
        <v>203383</v>
      </c>
      <c r="AF170" s="16">
        <v>0</v>
      </c>
      <c r="AG170" s="16">
        <v>625</v>
      </c>
      <c r="AH170" s="16">
        <v>16204</v>
      </c>
      <c r="AI170" s="16">
        <v>0</v>
      </c>
      <c r="AJ170" s="16">
        <v>1591</v>
      </c>
      <c r="AK170" s="16">
        <v>0</v>
      </c>
      <c r="AL170" s="16">
        <v>34254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14400</v>
      </c>
      <c r="AT170" s="16">
        <v>0</v>
      </c>
      <c r="AU170" s="16">
        <v>103784</v>
      </c>
      <c r="AV170" s="16">
        <v>0</v>
      </c>
      <c r="AW170" s="16">
        <v>0</v>
      </c>
      <c r="AX170" s="16">
        <v>0</v>
      </c>
      <c r="AY170" s="16">
        <v>0</v>
      </c>
      <c r="AZ170" s="16">
        <v>32525</v>
      </c>
      <c r="BA170" s="16">
        <f>SUM(BB170+BF170+BI170+BK170+BM170)</f>
        <v>201663</v>
      </c>
      <c r="BB170" s="16">
        <f>SUM(BC170:BE170)</f>
        <v>0</v>
      </c>
      <c r="BC170" s="16">
        <v>0</v>
      </c>
      <c r="BD170" s="16">
        <v>0</v>
      </c>
      <c r="BE170" s="16">
        <v>0</v>
      </c>
      <c r="BF170" s="16">
        <f t="shared" si="240"/>
        <v>0</v>
      </c>
      <c r="BG170" s="16">
        <v>0</v>
      </c>
      <c r="BH170" s="16">
        <v>0</v>
      </c>
      <c r="BI170" s="16">
        <v>0</v>
      </c>
      <c r="BJ170" s="16">
        <v>0</v>
      </c>
      <c r="BK170" s="16">
        <f t="shared" si="241"/>
        <v>0</v>
      </c>
      <c r="BL170" s="16">
        <v>0</v>
      </c>
      <c r="BM170" s="16">
        <f t="shared" si="242"/>
        <v>201663</v>
      </c>
      <c r="BN170" s="16">
        <v>0</v>
      </c>
      <c r="BO170" s="16">
        <v>0</v>
      </c>
      <c r="BP170" s="16">
        <v>0</v>
      </c>
      <c r="BQ170" s="16">
        <v>0</v>
      </c>
      <c r="BR170" s="16">
        <v>0</v>
      </c>
      <c r="BS170" s="16">
        <v>0</v>
      </c>
      <c r="BT170" s="16">
        <v>0</v>
      </c>
      <c r="BU170" s="16">
        <v>0</v>
      </c>
      <c r="BV170" s="16">
        <v>0</v>
      </c>
      <c r="BW170" s="16">
        <v>0</v>
      </c>
      <c r="BX170" s="16">
        <v>201663</v>
      </c>
      <c r="BY170" s="16">
        <f>SUM(BZ170+CS170)</f>
        <v>57973</v>
      </c>
      <c r="BZ170" s="16">
        <f>SUM(CA170+CD170+CK170)</f>
        <v>57973</v>
      </c>
      <c r="CA170" s="16">
        <f t="shared" si="243"/>
        <v>57973</v>
      </c>
      <c r="CB170" s="16">
        <v>0</v>
      </c>
      <c r="CC170" s="16">
        <v>57973</v>
      </c>
      <c r="CD170" s="16">
        <f t="shared" si="244"/>
        <v>0</v>
      </c>
      <c r="CE170" s="16">
        <v>0</v>
      </c>
      <c r="CF170" s="16">
        <v>0</v>
      </c>
      <c r="CG170" s="16">
        <v>0</v>
      </c>
      <c r="CH170" s="16">
        <v>0</v>
      </c>
      <c r="CI170" s="16">
        <v>0</v>
      </c>
      <c r="CJ170" s="16">
        <v>0</v>
      </c>
      <c r="CK170" s="16">
        <f t="shared" si="245"/>
        <v>0</v>
      </c>
      <c r="CL170" s="16">
        <v>0</v>
      </c>
      <c r="CM170" s="16">
        <v>0</v>
      </c>
      <c r="CN170" s="16">
        <v>0</v>
      </c>
      <c r="CO170" s="16">
        <v>0</v>
      </c>
      <c r="CP170" s="16">
        <v>0</v>
      </c>
      <c r="CQ170" s="16">
        <v>0</v>
      </c>
      <c r="CR170" s="16">
        <v>0</v>
      </c>
      <c r="CS170" s="16">
        <v>0</v>
      </c>
      <c r="CT170" s="16">
        <f t="shared" si="246"/>
        <v>0</v>
      </c>
      <c r="CU170" s="16">
        <f t="shared" si="247"/>
        <v>0</v>
      </c>
      <c r="CV170" s="16">
        <v>0</v>
      </c>
      <c r="CW170" s="17">
        <v>0</v>
      </c>
      <c r="CX170" s="40"/>
    </row>
    <row r="171" spans="1:102" ht="15.75" hidden="1" x14ac:dyDescent="0.25">
      <c r="A171" s="13" t="s">
        <v>1</v>
      </c>
      <c r="B171" s="14" t="s">
        <v>1</v>
      </c>
      <c r="C171" s="14" t="s">
        <v>21</v>
      </c>
      <c r="D171" s="30" t="s">
        <v>202</v>
      </c>
      <c r="E171" s="15">
        <f>SUM(F171+BY171+CT171)</f>
        <v>25237499</v>
      </c>
      <c r="F171" s="16">
        <f>SUM(G171+BA171)</f>
        <v>25231000</v>
      </c>
      <c r="G171" s="16">
        <f>SUM(H171+I171+J171+Q171+T171+U171+V171+AE171)</f>
        <v>25231000</v>
      </c>
      <c r="H171" s="16">
        <f>15812380+347150+678119</f>
        <v>16837649</v>
      </c>
      <c r="I171" s="16">
        <f>3739655+168780</f>
        <v>3908435</v>
      </c>
      <c r="J171" s="16">
        <f t="shared" si="238"/>
        <v>3901017</v>
      </c>
      <c r="K171" s="16">
        <v>3554935</v>
      </c>
      <c r="L171" s="16">
        <v>19095</v>
      </c>
      <c r="M171" s="16">
        <v>0</v>
      </c>
      <c r="N171" s="16">
        <v>0</v>
      </c>
      <c r="O171" s="16">
        <v>302931</v>
      </c>
      <c r="P171" s="16">
        <v>24056</v>
      </c>
      <c r="Q171" s="16">
        <f t="shared" si="239"/>
        <v>0</v>
      </c>
      <c r="R171" s="16">
        <v>0</v>
      </c>
      <c r="S171" s="16">
        <v>0</v>
      </c>
      <c r="T171" s="16">
        <v>0</v>
      </c>
      <c r="U171" s="16">
        <v>166810</v>
      </c>
      <c r="V171" s="16">
        <f>SUM(W171:AD171)</f>
        <v>258518</v>
      </c>
      <c r="W171" s="16">
        <v>0</v>
      </c>
      <c r="X171" s="16">
        <v>201545</v>
      </c>
      <c r="Y171" s="16">
        <v>20998</v>
      </c>
      <c r="Z171" s="16">
        <v>13306</v>
      </c>
      <c r="AA171" s="16">
        <v>21266</v>
      </c>
      <c r="AB171" s="16">
        <v>0</v>
      </c>
      <c r="AC171" s="16">
        <v>0</v>
      </c>
      <c r="AD171" s="16">
        <v>1403</v>
      </c>
      <c r="AE171" s="16">
        <f>SUM(AF171:AZ171)</f>
        <v>158571</v>
      </c>
      <c r="AF171" s="16">
        <v>0</v>
      </c>
      <c r="AG171" s="16">
        <v>0</v>
      </c>
      <c r="AH171" s="16">
        <v>104124</v>
      </c>
      <c r="AI171" s="16">
        <v>0</v>
      </c>
      <c r="AJ171" s="16">
        <v>11138</v>
      </c>
      <c r="AK171" s="16">
        <v>0</v>
      </c>
      <c r="AL171" s="16">
        <v>43309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6">
        <v>0</v>
      </c>
      <c r="AU171" s="16">
        <v>0</v>
      </c>
      <c r="AV171" s="16">
        <v>0</v>
      </c>
      <c r="AW171" s="16">
        <v>0</v>
      </c>
      <c r="AX171" s="16">
        <v>0</v>
      </c>
      <c r="AY171" s="16">
        <v>0</v>
      </c>
      <c r="AZ171" s="16">
        <v>0</v>
      </c>
      <c r="BA171" s="16">
        <f>SUM(BB171+BF171+BI171+BK171+BM171)</f>
        <v>0</v>
      </c>
      <c r="BB171" s="16">
        <f>SUM(BC171:BE171)</f>
        <v>0</v>
      </c>
      <c r="BC171" s="16">
        <v>0</v>
      </c>
      <c r="BD171" s="16">
        <v>0</v>
      </c>
      <c r="BE171" s="16">
        <v>0</v>
      </c>
      <c r="BF171" s="16">
        <f t="shared" si="240"/>
        <v>0</v>
      </c>
      <c r="BG171" s="16">
        <v>0</v>
      </c>
      <c r="BH171" s="16">
        <v>0</v>
      </c>
      <c r="BI171" s="16">
        <v>0</v>
      </c>
      <c r="BJ171" s="16">
        <v>0</v>
      </c>
      <c r="BK171" s="16">
        <f t="shared" si="241"/>
        <v>0</v>
      </c>
      <c r="BL171" s="16">
        <v>0</v>
      </c>
      <c r="BM171" s="16">
        <f t="shared" si="242"/>
        <v>0</v>
      </c>
      <c r="BN171" s="16">
        <v>0</v>
      </c>
      <c r="BO171" s="16">
        <v>0</v>
      </c>
      <c r="BP171" s="16">
        <v>0</v>
      </c>
      <c r="BQ171" s="16">
        <v>0</v>
      </c>
      <c r="BR171" s="16">
        <v>0</v>
      </c>
      <c r="BS171" s="16">
        <v>0</v>
      </c>
      <c r="BT171" s="16">
        <v>0</v>
      </c>
      <c r="BU171" s="16">
        <v>0</v>
      </c>
      <c r="BV171" s="16">
        <v>0</v>
      </c>
      <c r="BW171" s="16">
        <v>0</v>
      </c>
      <c r="BX171" s="16">
        <v>0</v>
      </c>
      <c r="BY171" s="16">
        <f>SUM(BZ171+CS171)</f>
        <v>6499</v>
      </c>
      <c r="BZ171" s="16">
        <f>SUM(CA171+CD171+CK171)</f>
        <v>6499</v>
      </c>
      <c r="CA171" s="16">
        <f t="shared" si="243"/>
        <v>6499</v>
      </c>
      <c r="CB171" s="16">
        <v>0</v>
      </c>
      <c r="CC171" s="16">
        <v>6499</v>
      </c>
      <c r="CD171" s="16">
        <f t="shared" si="244"/>
        <v>0</v>
      </c>
      <c r="CE171" s="16">
        <v>0</v>
      </c>
      <c r="CF171" s="16">
        <v>0</v>
      </c>
      <c r="CG171" s="16">
        <v>0</v>
      </c>
      <c r="CH171" s="16">
        <v>0</v>
      </c>
      <c r="CI171" s="16">
        <v>0</v>
      </c>
      <c r="CJ171" s="16">
        <v>0</v>
      </c>
      <c r="CK171" s="16">
        <f t="shared" si="245"/>
        <v>0</v>
      </c>
      <c r="CL171" s="16">
        <v>0</v>
      </c>
      <c r="CM171" s="16">
        <v>0</v>
      </c>
      <c r="CN171" s="16">
        <v>0</v>
      </c>
      <c r="CO171" s="16">
        <v>0</v>
      </c>
      <c r="CP171" s="16">
        <v>0</v>
      </c>
      <c r="CQ171" s="16">
        <v>0</v>
      </c>
      <c r="CR171" s="16">
        <v>0</v>
      </c>
      <c r="CS171" s="16">
        <v>0</v>
      </c>
      <c r="CT171" s="16">
        <f t="shared" si="246"/>
        <v>0</v>
      </c>
      <c r="CU171" s="16">
        <f t="shared" si="247"/>
        <v>0</v>
      </c>
      <c r="CV171" s="16">
        <v>0</v>
      </c>
      <c r="CW171" s="17">
        <v>0</v>
      </c>
      <c r="CX171" s="40"/>
    </row>
    <row r="172" spans="1:102" ht="31.5" hidden="1" x14ac:dyDescent="0.25">
      <c r="A172" s="13" t="s">
        <v>195</v>
      </c>
      <c r="B172" s="14" t="s">
        <v>47</v>
      </c>
      <c r="C172" s="14" t="s">
        <v>1</v>
      </c>
      <c r="D172" s="30" t="s">
        <v>203</v>
      </c>
      <c r="E172" s="15">
        <f>SUM(E173)</f>
        <v>42404257</v>
      </c>
      <c r="F172" s="16">
        <f t="shared" ref="F172:BS172" si="299">SUM(F173)</f>
        <v>42404257</v>
      </c>
      <c r="G172" s="16">
        <f t="shared" si="299"/>
        <v>42404257</v>
      </c>
      <c r="H172" s="16">
        <f t="shared" si="299"/>
        <v>0</v>
      </c>
      <c r="I172" s="16">
        <f t="shared" si="299"/>
        <v>0</v>
      </c>
      <c r="J172" s="16">
        <f t="shared" si="299"/>
        <v>38016937</v>
      </c>
      <c r="K172" s="16">
        <f t="shared" si="299"/>
        <v>38016937</v>
      </c>
      <c r="L172" s="16">
        <f t="shared" si="299"/>
        <v>0</v>
      </c>
      <c r="M172" s="16">
        <f t="shared" si="299"/>
        <v>0</v>
      </c>
      <c r="N172" s="16">
        <f t="shared" si="299"/>
        <v>0</v>
      </c>
      <c r="O172" s="16">
        <f t="shared" si="299"/>
        <v>0</v>
      </c>
      <c r="P172" s="16">
        <f t="shared" si="299"/>
        <v>0</v>
      </c>
      <c r="Q172" s="16">
        <f t="shared" si="299"/>
        <v>0</v>
      </c>
      <c r="R172" s="16">
        <f t="shared" si="299"/>
        <v>0</v>
      </c>
      <c r="S172" s="16">
        <f t="shared" si="299"/>
        <v>0</v>
      </c>
      <c r="T172" s="16">
        <f t="shared" si="299"/>
        <v>0</v>
      </c>
      <c r="U172" s="16">
        <f t="shared" si="299"/>
        <v>0</v>
      </c>
      <c r="V172" s="16">
        <f t="shared" si="299"/>
        <v>0</v>
      </c>
      <c r="W172" s="16">
        <f t="shared" si="299"/>
        <v>0</v>
      </c>
      <c r="X172" s="16">
        <f t="shared" si="299"/>
        <v>0</v>
      </c>
      <c r="Y172" s="16">
        <f t="shared" si="299"/>
        <v>0</v>
      </c>
      <c r="Z172" s="16">
        <f t="shared" si="299"/>
        <v>0</v>
      </c>
      <c r="AA172" s="16">
        <f t="shared" si="299"/>
        <v>0</v>
      </c>
      <c r="AB172" s="16">
        <f t="shared" si="299"/>
        <v>0</v>
      </c>
      <c r="AC172" s="16">
        <f t="shared" si="299"/>
        <v>0</v>
      </c>
      <c r="AD172" s="16">
        <f t="shared" si="299"/>
        <v>0</v>
      </c>
      <c r="AE172" s="16">
        <f t="shared" si="299"/>
        <v>4387320</v>
      </c>
      <c r="AF172" s="16">
        <f t="shared" si="299"/>
        <v>0</v>
      </c>
      <c r="AG172" s="16">
        <f t="shared" si="299"/>
        <v>0</v>
      </c>
      <c r="AH172" s="16">
        <f t="shared" si="299"/>
        <v>0</v>
      </c>
      <c r="AI172" s="16">
        <f t="shared" si="299"/>
        <v>0</v>
      </c>
      <c r="AJ172" s="16">
        <f t="shared" si="299"/>
        <v>0</v>
      </c>
      <c r="AK172" s="16">
        <f t="shared" si="299"/>
        <v>0</v>
      </c>
      <c r="AL172" s="16">
        <f t="shared" si="299"/>
        <v>0</v>
      </c>
      <c r="AM172" s="16">
        <f t="shared" si="299"/>
        <v>0</v>
      </c>
      <c r="AN172" s="16">
        <f t="shared" si="299"/>
        <v>0</v>
      </c>
      <c r="AO172" s="16">
        <f t="shared" si="299"/>
        <v>0</v>
      </c>
      <c r="AP172" s="16">
        <f t="shared" si="299"/>
        <v>0</v>
      </c>
      <c r="AQ172" s="16">
        <f t="shared" si="299"/>
        <v>0</v>
      </c>
      <c r="AR172" s="16">
        <f t="shared" si="299"/>
        <v>0</v>
      </c>
      <c r="AS172" s="16">
        <f t="shared" si="299"/>
        <v>0</v>
      </c>
      <c r="AT172" s="16">
        <f t="shared" si="299"/>
        <v>0</v>
      </c>
      <c r="AU172" s="16">
        <f t="shared" si="299"/>
        <v>0</v>
      </c>
      <c r="AV172" s="16">
        <f t="shared" si="299"/>
        <v>4387320</v>
      </c>
      <c r="AW172" s="16">
        <f t="shared" si="299"/>
        <v>0</v>
      </c>
      <c r="AX172" s="16">
        <f t="shared" si="299"/>
        <v>0</v>
      </c>
      <c r="AY172" s="16">
        <f t="shared" si="299"/>
        <v>0</v>
      </c>
      <c r="AZ172" s="16">
        <f t="shared" si="299"/>
        <v>0</v>
      </c>
      <c r="BA172" s="16">
        <f t="shared" si="299"/>
        <v>0</v>
      </c>
      <c r="BB172" s="16">
        <f t="shared" si="299"/>
        <v>0</v>
      </c>
      <c r="BC172" s="16">
        <f t="shared" si="299"/>
        <v>0</v>
      </c>
      <c r="BD172" s="16">
        <f t="shared" si="299"/>
        <v>0</v>
      </c>
      <c r="BE172" s="16">
        <f t="shared" si="299"/>
        <v>0</v>
      </c>
      <c r="BF172" s="16">
        <f t="shared" si="299"/>
        <v>0</v>
      </c>
      <c r="BG172" s="16">
        <f t="shared" si="299"/>
        <v>0</v>
      </c>
      <c r="BH172" s="16">
        <f t="shared" si="299"/>
        <v>0</v>
      </c>
      <c r="BI172" s="16">
        <f t="shared" si="299"/>
        <v>0</v>
      </c>
      <c r="BJ172" s="16">
        <f t="shared" si="299"/>
        <v>0</v>
      </c>
      <c r="BK172" s="16">
        <f t="shared" si="299"/>
        <v>0</v>
      </c>
      <c r="BL172" s="16">
        <f t="shared" si="299"/>
        <v>0</v>
      </c>
      <c r="BM172" s="16">
        <f t="shared" si="299"/>
        <v>0</v>
      </c>
      <c r="BN172" s="16">
        <f t="shared" si="299"/>
        <v>0</v>
      </c>
      <c r="BO172" s="16">
        <f t="shared" si="299"/>
        <v>0</v>
      </c>
      <c r="BP172" s="16">
        <f t="shared" si="299"/>
        <v>0</v>
      </c>
      <c r="BQ172" s="16">
        <f t="shared" si="299"/>
        <v>0</v>
      </c>
      <c r="BR172" s="16">
        <f t="shared" si="299"/>
        <v>0</v>
      </c>
      <c r="BS172" s="16">
        <f t="shared" si="299"/>
        <v>0</v>
      </c>
      <c r="BT172" s="16">
        <f t="shared" ref="BT172:CW172" si="300">SUM(BT173)</f>
        <v>0</v>
      </c>
      <c r="BU172" s="16">
        <f t="shared" si="300"/>
        <v>0</v>
      </c>
      <c r="BV172" s="16">
        <f t="shared" si="300"/>
        <v>0</v>
      </c>
      <c r="BW172" s="16">
        <f t="shared" si="300"/>
        <v>0</v>
      </c>
      <c r="BX172" s="16">
        <f t="shared" si="300"/>
        <v>0</v>
      </c>
      <c r="BY172" s="16">
        <f t="shared" si="300"/>
        <v>0</v>
      </c>
      <c r="BZ172" s="16">
        <f t="shared" si="300"/>
        <v>0</v>
      </c>
      <c r="CA172" s="16">
        <f t="shared" si="300"/>
        <v>0</v>
      </c>
      <c r="CB172" s="16">
        <f t="shared" si="300"/>
        <v>0</v>
      </c>
      <c r="CC172" s="16">
        <f t="shared" si="300"/>
        <v>0</v>
      </c>
      <c r="CD172" s="16">
        <f t="shared" si="300"/>
        <v>0</v>
      </c>
      <c r="CE172" s="16">
        <f t="shared" si="300"/>
        <v>0</v>
      </c>
      <c r="CF172" s="16">
        <f t="shared" si="300"/>
        <v>0</v>
      </c>
      <c r="CG172" s="16">
        <f t="shared" si="300"/>
        <v>0</v>
      </c>
      <c r="CH172" s="16">
        <f t="shared" si="300"/>
        <v>0</v>
      </c>
      <c r="CI172" s="16">
        <f t="shared" si="300"/>
        <v>0</v>
      </c>
      <c r="CJ172" s="16">
        <f t="shared" si="300"/>
        <v>0</v>
      </c>
      <c r="CK172" s="16">
        <f t="shared" si="300"/>
        <v>0</v>
      </c>
      <c r="CL172" s="16">
        <f t="shared" si="300"/>
        <v>0</v>
      </c>
      <c r="CM172" s="16">
        <f t="shared" si="300"/>
        <v>0</v>
      </c>
      <c r="CN172" s="16">
        <f t="shared" si="300"/>
        <v>0</v>
      </c>
      <c r="CO172" s="16">
        <f t="shared" si="300"/>
        <v>0</v>
      </c>
      <c r="CP172" s="16">
        <f t="shared" si="300"/>
        <v>0</v>
      </c>
      <c r="CQ172" s="16">
        <f t="shared" si="300"/>
        <v>0</v>
      </c>
      <c r="CR172" s="16">
        <f t="shared" si="300"/>
        <v>0</v>
      </c>
      <c r="CS172" s="16">
        <f t="shared" si="300"/>
        <v>0</v>
      </c>
      <c r="CT172" s="16">
        <f t="shared" si="300"/>
        <v>0</v>
      </c>
      <c r="CU172" s="16">
        <f t="shared" si="300"/>
        <v>0</v>
      </c>
      <c r="CV172" s="16">
        <f t="shared" si="300"/>
        <v>0</v>
      </c>
      <c r="CW172" s="17">
        <f t="shared" si="300"/>
        <v>0</v>
      </c>
      <c r="CX172" s="40"/>
    </row>
    <row r="173" spans="1:102" ht="31.5" hidden="1" x14ac:dyDescent="0.25">
      <c r="A173" s="13" t="s">
        <v>1</v>
      </c>
      <c r="B173" s="14" t="s">
        <v>1</v>
      </c>
      <c r="C173" s="14" t="s">
        <v>21</v>
      </c>
      <c r="D173" s="30" t="s">
        <v>204</v>
      </c>
      <c r="E173" s="15">
        <f>SUM(F173+BY173+CT173)</f>
        <v>42404257</v>
      </c>
      <c r="F173" s="16">
        <f>SUM(G173+BA173)</f>
        <v>42404257</v>
      </c>
      <c r="G173" s="16">
        <f>SUM(H173+I173+J173+Q173+T173+U173+V173+AE173)</f>
        <v>42404257</v>
      </c>
      <c r="H173" s="16">
        <v>0</v>
      </c>
      <c r="I173" s="16">
        <v>0</v>
      </c>
      <c r="J173" s="16">
        <f t="shared" si="238"/>
        <v>38016937</v>
      </c>
      <c r="K173" s="16">
        <v>38016937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f t="shared" si="239"/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f>SUM(W173:AD173)</f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f>SUM(AF173:AZ173)</f>
        <v>4387320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0</v>
      </c>
      <c r="AV173" s="16">
        <v>4387320</v>
      </c>
      <c r="AW173" s="16">
        <v>0</v>
      </c>
      <c r="AX173" s="16">
        <v>0</v>
      </c>
      <c r="AY173" s="16">
        <v>0</v>
      </c>
      <c r="AZ173" s="16">
        <v>0</v>
      </c>
      <c r="BA173" s="16">
        <f>SUM(BB173+BF173+BI173+BK173+BM173)</f>
        <v>0</v>
      </c>
      <c r="BB173" s="16">
        <f>SUM(BC173:BE173)</f>
        <v>0</v>
      </c>
      <c r="BC173" s="16">
        <v>0</v>
      </c>
      <c r="BD173" s="16">
        <v>0</v>
      </c>
      <c r="BE173" s="16">
        <v>0</v>
      </c>
      <c r="BF173" s="16">
        <f t="shared" si="240"/>
        <v>0</v>
      </c>
      <c r="BG173" s="16">
        <v>0</v>
      </c>
      <c r="BH173" s="16">
        <v>0</v>
      </c>
      <c r="BI173" s="16">
        <v>0</v>
      </c>
      <c r="BJ173" s="16">
        <v>0</v>
      </c>
      <c r="BK173" s="16">
        <f t="shared" si="241"/>
        <v>0</v>
      </c>
      <c r="BL173" s="16">
        <v>0</v>
      </c>
      <c r="BM173" s="16">
        <f t="shared" si="242"/>
        <v>0</v>
      </c>
      <c r="BN173" s="16">
        <v>0</v>
      </c>
      <c r="BO173" s="16">
        <v>0</v>
      </c>
      <c r="BP173" s="16">
        <v>0</v>
      </c>
      <c r="BQ173" s="16">
        <v>0</v>
      </c>
      <c r="BR173" s="16">
        <v>0</v>
      </c>
      <c r="BS173" s="16">
        <v>0</v>
      </c>
      <c r="BT173" s="16">
        <v>0</v>
      </c>
      <c r="BU173" s="16">
        <v>0</v>
      </c>
      <c r="BV173" s="16">
        <v>0</v>
      </c>
      <c r="BW173" s="16">
        <v>0</v>
      </c>
      <c r="BX173" s="16">
        <v>0</v>
      </c>
      <c r="BY173" s="16">
        <f>SUM(BZ173+CS173)</f>
        <v>0</v>
      </c>
      <c r="BZ173" s="16">
        <f>SUM(CA173+CD173+CK173)</f>
        <v>0</v>
      </c>
      <c r="CA173" s="16">
        <f t="shared" si="243"/>
        <v>0</v>
      </c>
      <c r="CB173" s="16">
        <v>0</v>
      </c>
      <c r="CC173" s="16">
        <v>0</v>
      </c>
      <c r="CD173" s="16">
        <f t="shared" si="244"/>
        <v>0</v>
      </c>
      <c r="CE173" s="16">
        <v>0</v>
      </c>
      <c r="CF173" s="16">
        <v>0</v>
      </c>
      <c r="CG173" s="16">
        <v>0</v>
      </c>
      <c r="CH173" s="16">
        <v>0</v>
      </c>
      <c r="CI173" s="16">
        <v>0</v>
      </c>
      <c r="CJ173" s="16">
        <v>0</v>
      </c>
      <c r="CK173" s="16">
        <f t="shared" si="245"/>
        <v>0</v>
      </c>
      <c r="CL173" s="16">
        <v>0</v>
      </c>
      <c r="CM173" s="16">
        <v>0</v>
      </c>
      <c r="CN173" s="16">
        <v>0</v>
      </c>
      <c r="CO173" s="16">
        <v>0</v>
      </c>
      <c r="CP173" s="16">
        <v>0</v>
      </c>
      <c r="CQ173" s="16">
        <v>0</v>
      </c>
      <c r="CR173" s="16">
        <v>0</v>
      </c>
      <c r="CS173" s="16">
        <v>0</v>
      </c>
      <c r="CT173" s="16">
        <f t="shared" si="246"/>
        <v>0</v>
      </c>
      <c r="CU173" s="16">
        <f t="shared" si="247"/>
        <v>0</v>
      </c>
      <c r="CV173" s="16">
        <v>0</v>
      </c>
      <c r="CW173" s="17">
        <v>0</v>
      </c>
      <c r="CX173" s="40"/>
    </row>
    <row r="174" spans="1:102" ht="31.5" hidden="1" x14ac:dyDescent="0.25">
      <c r="A174" s="13" t="s">
        <v>195</v>
      </c>
      <c r="B174" s="14" t="s">
        <v>50</v>
      </c>
      <c r="C174" s="14" t="s">
        <v>1</v>
      </c>
      <c r="D174" s="30" t="s">
        <v>205</v>
      </c>
      <c r="E174" s="15">
        <f t="shared" ref="E174:AJ174" si="301">SUM(E175)</f>
        <v>2303554</v>
      </c>
      <c r="F174" s="16">
        <f t="shared" si="301"/>
        <v>2279502</v>
      </c>
      <c r="G174" s="16">
        <f t="shared" si="301"/>
        <v>2279502</v>
      </c>
      <c r="H174" s="16">
        <f t="shared" si="301"/>
        <v>1769797</v>
      </c>
      <c r="I174" s="16">
        <f t="shared" si="301"/>
        <v>403325</v>
      </c>
      <c r="J174" s="16">
        <f t="shared" si="301"/>
        <v>2019</v>
      </c>
      <c r="K174" s="16">
        <f t="shared" si="301"/>
        <v>0</v>
      </c>
      <c r="L174" s="16">
        <f t="shared" si="301"/>
        <v>1781</v>
      </c>
      <c r="M174" s="16">
        <f t="shared" si="301"/>
        <v>0</v>
      </c>
      <c r="N174" s="16">
        <f t="shared" si="301"/>
        <v>0</v>
      </c>
      <c r="O174" s="16">
        <f t="shared" si="301"/>
        <v>0</v>
      </c>
      <c r="P174" s="16">
        <f t="shared" si="301"/>
        <v>238</v>
      </c>
      <c r="Q174" s="16">
        <f t="shared" si="301"/>
        <v>0</v>
      </c>
      <c r="R174" s="16">
        <f t="shared" si="301"/>
        <v>0</v>
      </c>
      <c r="S174" s="16">
        <f t="shared" si="301"/>
        <v>0</v>
      </c>
      <c r="T174" s="16">
        <f t="shared" si="301"/>
        <v>0</v>
      </c>
      <c r="U174" s="16">
        <f t="shared" si="301"/>
        <v>49135</v>
      </c>
      <c r="V174" s="16">
        <f t="shared" si="301"/>
        <v>0</v>
      </c>
      <c r="W174" s="16">
        <f t="shared" si="301"/>
        <v>0</v>
      </c>
      <c r="X174" s="16">
        <f t="shared" si="301"/>
        <v>0</v>
      </c>
      <c r="Y174" s="16">
        <f t="shared" si="301"/>
        <v>0</v>
      </c>
      <c r="Z174" s="16">
        <f t="shared" si="301"/>
        <v>0</v>
      </c>
      <c r="AA174" s="16">
        <f t="shared" si="301"/>
        <v>0</v>
      </c>
      <c r="AB174" s="16">
        <f t="shared" si="301"/>
        <v>0</v>
      </c>
      <c r="AC174" s="16">
        <f t="shared" si="301"/>
        <v>0</v>
      </c>
      <c r="AD174" s="16">
        <f t="shared" si="301"/>
        <v>0</v>
      </c>
      <c r="AE174" s="16">
        <f t="shared" si="301"/>
        <v>55226</v>
      </c>
      <c r="AF174" s="16">
        <f t="shared" si="301"/>
        <v>0</v>
      </c>
      <c r="AG174" s="16">
        <f t="shared" si="301"/>
        <v>0</v>
      </c>
      <c r="AH174" s="16">
        <f t="shared" si="301"/>
        <v>3877</v>
      </c>
      <c r="AI174" s="16">
        <f t="shared" si="301"/>
        <v>0</v>
      </c>
      <c r="AJ174" s="16">
        <f t="shared" si="301"/>
        <v>7956</v>
      </c>
      <c r="AK174" s="16">
        <f t="shared" ref="AK174:BR174" si="302">SUM(AK175)</f>
        <v>0</v>
      </c>
      <c r="AL174" s="16">
        <f t="shared" si="302"/>
        <v>4393</v>
      </c>
      <c r="AM174" s="16">
        <f t="shared" si="302"/>
        <v>39000</v>
      </c>
      <c r="AN174" s="16">
        <f t="shared" si="302"/>
        <v>0</v>
      </c>
      <c r="AO174" s="16">
        <f t="shared" si="302"/>
        <v>0</v>
      </c>
      <c r="AP174" s="16">
        <f t="shared" si="302"/>
        <v>0</v>
      </c>
      <c r="AQ174" s="16">
        <f t="shared" si="302"/>
        <v>0</v>
      </c>
      <c r="AR174" s="16">
        <f t="shared" si="302"/>
        <v>0</v>
      </c>
      <c r="AS174" s="16">
        <f t="shared" si="302"/>
        <v>0</v>
      </c>
      <c r="AT174" s="16">
        <f t="shared" si="302"/>
        <v>0</v>
      </c>
      <c r="AU174" s="16">
        <f t="shared" si="302"/>
        <v>0</v>
      </c>
      <c r="AV174" s="16">
        <f t="shared" si="302"/>
        <v>0</v>
      </c>
      <c r="AW174" s="16">
        <f t="shared" si="302"/>
        <v>0</v>
      </c>
      <c r="AX174" s="16">
        <f t="shared" si="302"/>
        <v>0</v>
      </c>
      <c r="AY174" s="16">
        <f t="shared" si="302"/>
        <v>0</v>
      </c>
      <c r="AZ174" s="16">
        <f t="shared" si="302"/>
        <v>0</v>
      </c>
      <c r="BA174" s="16">
        <f t="shared" si="302"/>
        <v>0</v>
      </c>
      <c r="BB174" s="16">
        <f t="shared" si="302"/>
        <v>0</v>
      </c>
      <c r="BC174" s="16">
        <f t="shared" si="302"/>
        <v>0</v>
      </c>
      <c r="BD174" s="16">
        <f t="shared" si="302"/>
        <v>0</v>
      </c>
      <c r="BE174" s="16">
        <f t="shared" si="302"/>
        <v>0</v>
      </c>
      <c r="BF174" s="16">
        <f t="shared" si="302"/>
        <v>0</v>
      </c>
      <c r="BG174" s="16">
        <f t="shared" si="302"/>
        <v>0</v>
      </c>
      <c r="BH174" s="16">
        <f t="shared" si="302"/>
        <v>0</v>
      </c>
      <c r="BI174" s="16">
        <f t="shared" si="302"/>
        <v>0</v>
      </c>
      <c r="BJ174" s="16">
        <f t="shared" si="302"/>
        <v>0</v>
      </c>
      <c r="BK174" s="16">
        <f t="shared" si="302"/>
        <v>0</v>
      </c>
      <c r="BL174" s="16">
        <f t="shared" si="302"/>
        <v>0</v>
      </c>
      <c r="BM174" s="16">
        <f t="shared" si="302"/>
        <v>0</v>
      </c>
      <c r="BN174" s="16">
        <f t="shared" si="302"/>
        <v>0</v>
      </c>
      <c r="BO174" s="16">
        <f t="shared" si="302"/>
        <v>0</v>
      </c>
      <c r="BP174" s="16">
        <f t="shared" si="302"/>
        <v>0</v>
      </c>
      <c r="BQ174" s="16">
        <f t="shared" si="302"/>
        <v>0</v>
      </c>
      <c r="BR174" s="16">
        <f t="shared" si="302"/>
        <v>0</v>
      </c>
      <c r="BS174" s="16">
        <f t="shared" ref="BS174:CW174" si="303">SUM(BS175)</f>
        <v>0</v>
      </c>
      <c r="BT174" s="16">
        <f t="shared" si="303"/>
        <v>0</v>
      </c>
      <c r="BU174" s="16">
        <f t="shared" si="303"/>
        <v>0</v>
      </c>
      <c r="BV174" s="16">
        <f t="shared" si="303"/>
        <v>0</v>
      </c>
      <c r="BW174" s="16">
        <f t="shared" si="303"/>
        <v>0</v>
      </c>
      <c r="BX174" s="16">
        <f t="shared" si="303"/>
        <v>0</v>
      </c>
      <c r="BY174" s="16">
        <f t="shared" si="303"/>
        <v>24052</v>
      </c>
      <c r="BZ174" s="16">
        <f t="shared" si="303"/>
        <v>24052</v>
      </c>
      <c r="CA174" s="16">
        <f t="shared" si="303"/>
        <v>24052</v>
      </c>
      <c r="CB174" s="16">
        <f t="shared" si="303"/>
        <v>0</v>
      </c>
      <c r="CC174" s="16">
        <f t="shared" si="303"/>
        <v>24052</v>
      </c>
      <c r="CD174" s="16">
        <f t="shared" si="303"/>
        <v>0</v>
      </c>
      <c r="CE174" s="16">
        <f t="shared" si="303"/>
        <v>0</v>
      </c>
      <c r="CF174" s="16">
        <f t="shared" si="303"/>
        <v>0</v>
      </c>
      <c r="CG174" s="16">
        <f t="shared" si="303"/>
        <v>0</v>
      </c>
      <c r="CH174" s="16">
        <f t="shared" si="303"/>
        <v>0</v>
      </c>
      <c r="CI174" s="16">
        <f t="shared" si="303"/>
        <v>0</v>
      </c>
      <c r="CJ174" s="16">
        <f t="shared" si="303"/>
        <v>0</v>
      </c>
      <c r="CK174" s="16">
        <f t="shared" si="303"/>
        <v>0</v>
      </c>
      <c r="CL174" s="16">
        <f t="shared" si="303"/>
        <v>0</v>
      </c>
      <c r="CM174" s="16">
        <f t="shared" si="303"/>
        <v>0</v>
      </c>
      <c r="CN174" s="16">
        <f t="shared" si="303"/>
        <v>0</v>
      </c>
      <c r="CO174" s="16">
        <f t="shared" si="303"/>
        <v>0</v>
      </c>
      <c r="CP174" s="16">
        <f t="shared" si="303"/>
        <v>0</v>
      </c>
      <c r="CQ174" s="16">
        <f t="shared" si="303"/>
        <v>0</v>
      </c>
      <c r="CR174" s="16">
        <f t="shared" si="303"/>
        <v>0</v>
      </c>
      <c r="CS174" s="16">
        <f t="shared" si="303"/>
        <v>0</v>
      </c>
      <c r="CT174" s="16">
        <f t="shared" si="303"/>
        <v>0</v>
      </c>
      <c r="CU174" s="16">
        <f t="shared" si="303"/>
        <v>0</v>
      </c>
      <c r="CV174" s="16">
        <f t="shared" si="303"/>
        <v>0</v>
      </c>
      <c r="CW174" s="17">
        <f t="shared" si="303"/>
        <v>0</v>
      </c>
      <c r="CX174" s="40"/>
    </row>
    <row r="175" spans="1:102" ht="31.5" hidden="1" x14ac:dyDescent="0.25">
      <c r="A175" s="13" t="s">
        <v>1</v>
      </c>
      <c r="B175" s="14" t="s">
        <v>1</v>
      </c>
      <c r="C175" s="14" t="s">
        <v>21</v>
      </c>
      <c r="D175" s="30" t="s">
        <v>206</v>
      </c>
      <c r="E175" s="15">
        <f>SUM(F175+BY175+CT175)</f>
        <v>2303554</v>
      </c>
      <c r="F175" s="16">
        <f>SUM(G175+BA175)</f>
        <v>2279502</v>
      </c>
      <c r="G175" s="16">
        <f>SUM(H175+I175+J175+Q175+T175+U175+V175+AE175)</f>
        <v>2279502</v>
      </c>
      <c r="H175" s="16">
        <v>1769797</v>
      </c>
      <c r="I175" s="16">
        <v>403325</v>
      </c>
      <c r="J175" s="16">
        <f t="shared" si="238"/>
        <v>2019</v>
      </c>
      <c r="K175" s="16">
        <v>0</v>
      </c>
      <c r="L175" s="16">
        <v>1781</v>
      </c>
      <c r="M175" s="16">
        <v>0</v>
      </c>
      <c r="N175" s="16">
        <v>0</v>
      </c>
      <c r="O175" s="16">
        <v>0</v>
      </c>
      <c r="P175" s="16">
        <v>238</v>
      </c>
      <c r="Q175" s="16">
        <f t="shared" si="239"/>
        <v>0</v>
      </c>
      <c r="R175" s="16">
        <v>0</v>
      </c>
      <c r="S175" s="16">
        <v>0</v>
      </c>
      <c r="T175" s="16">
        <v>0</v>
      </c>
      <c r="U175" s="16">
        <v>49135</v>
      </c>
      <c r="V175" s="16">
        <f>SUM(W175:AD175)</f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f>SUM(AF175:AZ175)</f>
        <v>55226</v>
      </c>
      <c r="AF175" s="16">
        <v>0</v>
      </c>
      <c r="AG175" s="16">
        <v>0</v>
      </c>
      <c r="AH175" s="16">
        <v>3877</v>
      </c>
      <c r="AI175" s="16">
        <v>0</v>
      </c>
      <c r="AJ175" s="16">
        <v>7956</v>
      </c>
      <c r="AK175" s="16">
        <v>0</v>
      </c>
      <c r="AL175" s="16">
        <v>4393</v>
      </c>
      <c r="AM175" s="16">
        <v>39000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f>SUM(BB175+BF175+BI175+BK175+BM175)</f>
        <v>0</v>
      </c>
      <c r="BB175" s="16">
        <f>SUM(BC175:BE175)</f>
        <v>0</v>
      </c>
      <c r="BC175" s="16">
        <v>0</v>
      </c>
      <c r="BD175" s="16">
        <v>0</v>
      </c>
      <c r="BE175" s="16">
        <v>0</v>
      </c>
      <c r="BF175" s="16">
        <f t="shared" si="240"/>
        <v>0</v>
      </c>
      <c r="BG175" s="16">
        <v>0</v>
      </c>
      <c r="BH175" s="16">
        <v>0</v>
      </c>
      <c r="BI175" s="16">
        <v>0</v>
      </c>
      <c r="BJ175" s="16">
        <v>0</v>
      </c>
      <c r="BK175" s="16">
        <f t="shared" si="241"/>
        <v>0</v>
      </c>
      <c r="BL175" s="16">
        <v>0</v>
      </c>
      <c r="BM175" s="16">
        <f t="shared" si="242"/>
        <v>0</v>
      </c>
      <c r="BN175" s="16">
        <v>0</v>
      </c>
      <c r="BO175" s="16">
        <v>0</v>
      </c>
      <c r="BP175" s="16">
        <v>0</v>
      </c>
      <c r="BQ175" s="16">
        <v>0</v>
      </c>
      <c r="BR175" s="16">
        <v>0</v>
      </c>
      <c r="BS175" s="16">
        <v>0</v>
      </c>
      <c r="BT175" s="16">
        <v>0</v>
      </c>
      <c r="BU175" s="16">
        <v>0</v>
      </c>
      <c r="BV175" s="16">
        <v>0</v>
      </c>
      <c r="BW175" s="16">
        <v>0</v>
      </c>
      <c r="BX175" s="16">
        <v>0</v>
      </c>
      <c r="BY175" s="16">
        <f>SUM(BZ175+CS175)</f>
        <v>24052</v>
      </c>
      <c r="BZ175" s="16">
        <f>SUM(CA175+CD175+CK175)</f>
        <v>24052</v>
      </c>
      <c r="CA175" s="16">
        <f t="shared" si="243"/>
        <v>24052</v>
      </c>
      <c r="CB175" s="16">
        <v>0</v>
      </c>
      <c r="CC175" s="16">
        <v>24052</v>
      </c>
      <c r="CD175" s="16">
        <f t="shared" si="244"/>
        <v>0</v>
      </c>
      <c r="CE175" s="16">
        <v>0</v>
      </c>
      <c r="CF175" s="16">
        <v>0</v>
      </c>
      <c r="CG175" s="16">
        <v>0</v>
      </c>
      <c r="CH175" s="16">
        <v>0</v>
      </c>
      <c r="CI175" s="16">
        <v>0</v>
      </c>
      <c r="CJ175" s="16">
        <v>0</v>
      </c>
      <c r="CK175" s="16">
        <f t="shared" si="245"/>
        <v>0</v>
      </c>
      <c r="CL175" s="16">
        <v>0</v>
      </c>
      <c r="CM175" s="16">
        <v>0</v>
      </c>
      <c r="CN175" s="16">
        <v>0</v>
      </c>
      <c r="CO175" s="16">
        <v>0</v>
      </c>
      <c r="CP175" s="16">
        <v>0</v>
      </c>
      <c r="CQ175" s="16">
        <v>0</v>
      </c>
      <c r="CR175" s="16">
        <v>0</v>
      </c>
      <c r="CS175" s="16">
        <v>0</v>
      </c>
      <c r="CT175" s="16">
        <f t="shared" si="246"/>
        <v>0</v>
      </c>
      <c r="CU175" s="16">
        <f t="shared" si="247"/>
        <v>0</v>
      </c>
      <c r="CV175" s="16">
        <v>0</v>
      </c>
      <c r="CW175" s="17">
        <v>0</v>
      </c>
      <c r="CX175" s="40"/>
    </row>
    <row r="176" spans="1:102" ht="15.75" hidden="1" x14ac:dyDescent="0.25">
      <c r="A176" s="18" t="s">
        <v>207</v>
      </c>
      <c r="B176" s="19" t="s">
        <v>1</v>
      </c>
      <c r="C176" s="19" t="s">
        <v>1</v>
      </c>
      <c r="D176" s="31" t="s">
        <v>208</v>
      </c>
      <c r="E176" s="20">
        <f t="shared" ref="E176:AJ176" si="304">SUM(E177+E178+E179+E183+E185+E187+E189+E191+E199)</f>
        <v>481796201</v>
      </c>
      <c r="F176" s="21">
        <f t="shared" si="304"/>
        <v>481469895</v>
      </c>
      <c r="G176" s="21">
        <f t="shared" si="304"/>
        <v>90558256</v>
      </c>
      <c r="H176" s="21">
        <f t="shared" si="304"/>
        <v>16183688</v>
      </c>
      <c r="I176" s="21">
        <f t="shared" si="304"/>
        <v>3438138</v>
      </c>
      <c r="J176" s="21">
        <f t="shared" si="304"/>
        <v>7852239</v>
      </c>
      <c r="K176" s="21">
        <f t="shared" si="304"/>
        <v>804378</v>
      </c>
      <c r="L176" s="21">
        <f t="shared" si="304"/>
        <v>1499420</v>
      </c>
      <c r="M176" s="21">
        <f t="shared" si="304"/>
        <v>4556859</v>
      </c>
      <c r="N176" s="21">
        <f t="shared" si="304"/>
        <v>0</v>
      </c>
      <c r="O176" s="21">
        <f t="shared" si="304"/>
        <v>937618</v>
      </c>
      <c r="P176" s="21">
        <f t="shared" si="304"/>
        <v>53964</v>
      </c>
      <c r="Q176" s="21">
        <f t="shared" si="304"/>
        <v>0</v>
      </c>
      <c r="R176" s="21">
        <f t="shared" si="304"/>
        <v>0</v>
      </c>
      <c r="S176" s="21">
        <f t="shared" si="304"/>
        <v>0</v>
      </c>
      <c r="T176" s="21">
        <f t="shared" si="304"/>
        <v>0</v>
      </c>
      <c r="U176" s="21">
        <f t="shared" si="304"/>
        <v>152822</v>
      </c>
      <c r="V176" s="21">
        <f t="shared" si="304"/>
        <v>62288932</v>
      </c>
      <c r="W176" s="21">
        <f t="shared" si="304"/>
        <v>66525</v>
      </c>
      <c r="X176" s="21">
        <f t="shared" si="304"/>
        <v>311975</v>
      </c>
      <c r="Y176" s="21">
        <f t="shared" si="304"/>
        <v>165990</v>
      </c>
      <c r="Z176" s="21">
        <f t="shared" si="304"/>
        <v>268733</v>
      </c>
      <c r="AA176" s="21">
        <f t="shared" si="304"/>
        <v>68943</v>
      </c>
      <c r="AB176" s="21">
        <f t="shared" si="304"/>
        <v>0</v>
      </c>
      <c r="AC176" s="21">
        <f t="shared" si="304"/>
        <v>61396038</v>
      </c>
      <c r="AD176" s="21">
        <f t="shared" ref="AD176" si="305">SUM(AD177+AD178+AD179+AD183+AD185+AD187+AD189+AD191+AD199)</f>
        <v>10728</v>
      </c>
      <c r="AE176" s="21">
        <f t="shared" si="304"/>
        <v>642437</v>
      </c>
      <c r="AF176" s="21">
        <f t="shared" si="304"/>
        <v>0</v>
      </c>
      <c r="AG176" s="21">
        <f t="shared" si="304"/>
        <v>0</v>
      </c>
      <c r="AH176" s="21">
        <f t="shared" si="304"/>
        <v>94902</v>
      </c>
      <c r="AI176" s="21">
        <f t="shared" si="304"/>
        <v>0</v>
      </c>
      <c r="AJ176" s="21">
        <f t="shared" si="304"/>
        <v>7955</v>
      </c>
      <c r="AK176" s="21">
        <f t="shared" ref="AK176:BP176" si="306">SUM(AK177+AK178+AK179+AK183+AK185+AK187+AK189+AK191+AK199)</f>
        <v>0</v>
      </c>
      <c r="AL176" s="21">
        <f t="shared" si="306"/>
        <v>165414</v>
      </c>
      <c r="AM176" s="21">
        <f t="shared" si="306"/>
        <v>0</v>
      </c>
      <c r="AN176" s="21">
        <f t="shared" si="306"/>
        <v>0</v>
      </c>
      <c r="AO176" s="21">
        <f t="shared" si="306"/>
        <v>0</v>
      </c>
      <c r="AP176" s="21">
        <f t="shared" si="306"/>
        <v>0</v>
      </c>
      <c r="AQ176" s="21">
        <f t="shared" si="306"/>
        <v>0</v>
      </c>
      <c r="AR176" s="21">
        <f t="shared" si="306"/>
        <v>30733</v>
      </c>
      <c r="AS176" s="21">
        <f t="shared" si="306"/>
        <v>145000</v>
      </c>
      <c r="AT176" s="21">
        <f t="shared" si="306"/>
        <v>0</v>
      </c>
      <c r="AU176" s="21">
        <f t="shared" si="306"/>
        <v>0</v>
      </c>
      <c r="AV176" s="21">
        <f t="shared" si="306"/>
        <v>174251</v>
      </c>
      <c r="AW176" s="21">
        <f t="shared" si="306"/>
        <v>23367</v>
      </c>
      <c r="AX176" s="21">
        <f t="shared" si="306"/>
        <v>0</v>
      </c>
      <c r="AY176" s="21">
        <f t="shared" si="306"/>
        <v>0</v>
      </c>
      <c r="AZ176" s="21">
        <f t="shared" si="306"/>
        <v>815</v>
      </c>
      <c r="BA176" s="21">
        <f t="shared" si="306"/>
        <v>390911639</v>
      </c>
      <c r="BB176" s="21">
        <f t="shared" si="306"/>
        <v>0</v>
      </c>
      <c r="BC176" s="21">
        <f t="shared" si="306"/>
        <v>0</v>
      </c>
      <c r="BD176" s="21">
        <f t="shared" si="306"/>
        <v>0</v>
      </c>
      <c r="BE176" s="21">
        <f t="shared" si="306"/>
        <v>0</v>
      </c>
      <c r="BF176" s="21">
        <f t="shared" si="306"/>
        <v>0</v>
      </c>
      <c r="BG176" s="21">
        <f t="shared" si="306"/>
        <v>0</v>
      </c>
      <c r="BH176" s="21">
        <f t="shared" si="306"/>
        <v>0</v>
      </c>
      <c r="BI176" s="21">
        <f t="shared" si="306"/>
        <v>0</v>
      </c>
      <c r="BJ176" s="21">
        <f t="shared" si="306"/>
        <v>0</v>
      </c>
      <c r="BK176" s="21">
        <f t="shared" si="306"/>
        <v>0</v>
      </c>
      <c r="BL176" s="21">
        <f t="shared" si="306"/>
        <v>0</v>
      </c>
      <c r="BM176" s="21">
        <f t="shared" si="306"/>
        <v>390911639</v>
      </c>
      <c r="BN176" s="21">
        <f t="shared" si="306"/>
        <v>59749651</v>
      </c>
      <c r="BO176" s="21">
        <f t="shared" si="306"/>
        <v>4583424</v>
      </c>
      <c r="BP176" s="21">
        <f t="shared" si="306"/>
        <v>0</v>
      </c>
      <c r="BQ176" s="21">
        <f t="shared" ref="BQ176:CW176" si="307">SUM(BQ177+BQ178+BQ179+BQ183+BQ185+BQ187+BQ189+BQ191+BQ199)</f>
        <v>14134363</v>
      </c>
      <c r="BR176" s="21">
        <f t="shared" si="307"/>
        <v>100000</v>
      </c>
      <c r="BS176" s="21">
        <f t="shared" si="307"/>
        <v>0</v>
      </c>
      <c r="BT176" s="21">
        <f t="shared" si="307"/>
        <v>167368528</v>
      </c>
      <c r="BU176" s="21">
        <f t="shared" si="307"/>
        <v>0</v>
      </c>
      <c r="BV176" s="21">
        <f t="shared" si="307"/>
        <v>230042</v>
      </c>
      <c r="BW176" s="21">
        <f t="shared" si="307"/>
        <v>125193738</v>
      </c>
      <c r="BX176" s="21">
        <f t="shared" si="307"/>
        <v>19551893</v>
      </c>
      <c r="BY176" s="21">
        <f t="shared" si="307"/>
        <v>326306</v>
      </c>
      <c r="BZ176" s="21">
        <f t="shared" si="307"/>
        <v>326306</v>
      </c>
      <c r="CA176" s="21">
        <f t="shared" si="307"/>
        <v>326306</v>
      </c>
      <c r="CB176" s="21">
        <f t="shared" si="307"/>
        <v>0</v>
      </c>
      <c r="CC176" s="21">
        <f t="shared" si="307"/>
        <v>326306</v>
      </c>
      <c r="CD176" s="21">
        <f t="shared" si="307"/>
        <v>0</v>
      </c>
      <c r="CE176" s="21">
        <f t="shared" si="307"/>
        <v>0</v>
      </c>
      <c r="CF176" s="21">
        <f t="shared" si="307"/>
        <v>0</v>
      </c>
      <c r="CG176" s="21">
        <f t="shared" si="307"/>
        <v>0</v>
      </c>
      <c r="CH176" s="21">
        <f t="shared" si="307"/>
        <v>0</v>
      </c>
      <c r="CI176" s="21">
        <f t="shared" si="307"/>
        <v>0</v>
      </c>
      <c r="CJ176" s="21">
        <f t="shared" ref="CJ176" si="308">SUM(CJ177+CJ178+CJ179+CJ183+CJ185+CJ187+CJ189+CJ191+CJ199)</f>
        <v>0</v>
      </c>
      <c r="CK176" s="21">
        <f t="shared" si="307"/>
        <v>0</v>
      </c>
      <c r="CL176" s="21">
        <f t="shared" si="307"/>
        <v>0</v>
      </c>
      <c r="CM176" s="21">
        <f t="shared" si="307"/>
        <v>0</v>
      </c>
      <c r="CN176" s="21">
        <f t="shared" si="307"/>
        <v>0</v>
      </c>
      <c r="CO176" s="21">
        <f t="shared" si="307"/>
        <v>0</v>
      </c>
      <c r="CP176" s="21">
        <f t="shared" si="307"/>
        <v>0</v>
      </c>
      <c r="CQ176" s="21">
        <f t="shared" si="307"/>
        <v>0</v>
      </c>
      <c r="CR176" s="21">
        <f t="shared" si="307"/>
        <v>0</v>
      </c>
      <c r="CS176" s="21">
        <f t="shared" si="307"/>
        <v>0</v>
      </c>
      <c r="CT176" s="21">
        <f t="shared" si="307"/>
        <v>0</v>
      </c>
      <c r="CU176" s="21">
        <f t="shared" si="307"/>
        <v>0</v>
      </c>
      <c r="CV176" s="21">
        <f t="shared" si="307"/>
        <v>0</v>
      </c>
      <c r="CW176" s="22">
        <f t="shared" si="307"/>
        <v>0</v>
      </c>
      <c r="CX176" s="40"/>
    </row>
    <row r="177" spans="1:102" ht="15.75" hidden="1" x14ac:dyDescent="0.25">
      <c r="A177" s="13" t="s">
        <v>209</v>
      </c>
      <c r="B177" s="14" t="s">
        <v>3</v>
      </c>
      <c r="C177" s="14" t="s">
        <v>1</v>
      </c>
      <c r="D177" s="30" t="s">
        <v>210</v>
      </c>
      <c r="E177" s="15">
        <f>SUM(F177+BY177+CT177)</f>
        <v>75295423</v>
      </c>
      <c r="F177" s="16">
        <f>SUM(G177+BA177)</f>
        <v>75295423</v>
      </c>
      <c r="G177" s="16">
        <f>SUM(H177+I177+J177+Q177+T177+U177+V177+AE177)</f>
        <v>0</v>
      </c>
      <c r="H177" s="16">
        <v>0</v>
      </c>
      <c r="I177" s="16">
        <v>0</v>
      </c>
      <c r="J177" s="16">
        <f t="shared" si="238"/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f t="shared" si="239"/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f>SUM(W177:AD177)</f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f>SUM(AF177:AZ177)</f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16">
        <v>0</v>
      </c>
      <c r="AY177" s="16">
        <v>0</v>
      </c>
      <c r="AZ177" s="16">
        <v>0</v>
      </c>
      <c r="BA177" s="16">
        <f>SUM(BB177+BF177+BI177+BK177+BM177)</f>
        <v>75295423</v>
      </c>
      <c r="BB177" s="16">
        <f>SUM(BC177:BE177)</f>
        <v>0</v>
      </c>
      <c r="BC177" s="16">
        <v>0</v>
      </c>
      <c r="BD177" s="16">
        <v>0</v>
      </c>
      <c r="BE177" s="16">
        <v>0</v>
      </c>
      <c r="BF177" s="16">
        <f t="shared" si="240"/>
        <v>0</v>
      </c>
      <c r="BG177" s="16">
        <v>0</v>
      </c>
      <c r="BH177" s="16">
        <v>0</v>
      </c>
      <c r="BI177" s="16">
        <v>0</v>
      </c>
      <c r="BJ177" s="16">
        <v>0</v>
      </c>
      <c r="BK177" s="16">
        <f t="shared" si="241"/>
        <v>0</v>
      </c>
      <c r="BL177" s="16">
        <v>0</v>
      </c>
      <c r="BM177" s="16">
        <f t="shared" si="242"/>
        <v>75295423</v>
      </c>
      <c r="BN177" s="16">
        <f>58511780-12828985</f>
        <v>45682795</v>
      </c>
      <c r="BO177" s="16">
        <v>0</v>
      </c>
      <c r="BP177" s="16">
        <v>0</v>
      </c>
      <c r="BQ177" s="16">
        <v>0</v>
      </c>
      <c r="BR177" s="16">
        <v>0</v>
      </c>
      <c r="BS177" s="16">
        <v>0</v>
      </c>
      <c r="BT177" s="16">
        <v>0</v>
      </c>
      <c r="BU177" s="16">
        <v>0</v>
      </c>
      <c r="BV177" s="16">
        <v>0</v>
      </c>
      <c r="BW177" s="16">
        <f>35641937-7552558</f>
        <v>28089379</v>
      </c>
      <c r="BX177" s="16">
        <v>1523249</v>
      </c>
      <c r="BY177" s="16">
        <f>SUM(BZ177+CS177)</f>
        <v>0</v>
      </c>
      <c r="BZ177" s="16">
        <f>SUM(CA177+CD177+CK177)</f>
        <v>0</v>
      </c>
      <c r="CA177" s="16">
        <f t="shared" si="243"/>
        <v>0</v>
      </c>
      <c r="CB177" s="16">
        <v>0</v>
      </c>
      <c r="CC177" s="16">
        <v>0</v>
      </c>
      <c r="CD177" s="16">
        <f t="shared" si="244"/>
        <v>0</v>
      </c>
      <c r="CE177" s="16">
        <v>0</v>
      </c>
      <c r="CF177" s="16">
        <v>0</v>
      </c>
      <c r="CG177" s="16">
        <v>0</v>
      </c>
      <c r="CH177" s="16">
        <v>0</v>
      </c>
      <c r="CI177" s="16">
        <v>0</v>
      </c>
      <c r="CJ177" s="16">
        <v>0</v>
      </c>
      <c r="CK177" s="16">
        <f t="shared" si="245"/>
        <v>0</v>
      </c>
      <c r="CL177" s="16">
        <v>0</v>
      </c>
      <c r="CM177" s="16">
        <v>0</v>
      </c>
      <c r="CN177" s="16">
        <v>0</v>
      </c>
      <c r="CO177" s="16">
        <v>0</v>
      </c>
      <c r="CP177" s="16">
        <v>0</v>
      </c>
      <c r="CQ177" s="16">
        <v>0</v>
      </c>
      <c r="CR177" s="16">
        <v>0</v>
      </c>
      <c r="CS177" s="16">
        <v>0</v>
      </c>
      <c r="CT177" s="16">
        <f t="shared" si="246"/>
        <v>0</v>
      </c>
      <c r="CU177" s="16">
        <f t="shared" si="247"/>
        <v>0</v>
      </c>
      <c r="CV177" s="16">
        <v>0</v>
      </c>
      <c r="CW177" s="17">
        <v>0</v>
      </c>
      <c r="CX177" s="40"/>
    </row>
    <row r="178" spans="1:102" ht="31.5" hidden="1" x14ac:dyDescent="0.25">
      <c r="A178" s="13" t="s">
        <v>209</v>
      </c>
      <c r="B178" s="14" t="s">
        <v>7</v>
      </c>
      <c r="C178" s="14" t="s">
        <v>1</v>
      </c>
      <c r="D178" s="30" t="s">
        <v>212</v>
      </c>
      <c r="E178" s="15">
        <f>SUM(F178+BY178+CT178)</f>
        <v>14299052</v>
      </c>
      <c r="F178" s="16">
        <f>SUM(G178+BA178)</f>
        <v>14299052</v>
      </c>
      <c r="G178" s="16">
        <f>SUM(H178+I178+J178+Q178+T178+U178+V178+AE178)</f>
        <v>0</v>
      </c>
      <c r="H178" s="16">
        <v>0</v>
      </c>
      <c r="I178" s="16">
        <v>0</v>
      </c>
      <c r="J178" s="16">
        <f t="shared" si="238"/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f t="shared" si="239"/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f>SUM(W178:AD178)</f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f>SUM(AF178:AZ178)</f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f>SUM(BB178+BF178+BI178+BK178+BM178)</f>
        <v>14299052</v>
      </c>
      <c r="BB178" s="16">
        <f>SUM(BC178:BE178)</f>
        <v>0</v>
      </c>
      <c r="BC178" s="16">
        <v>0</v>
      </c>
      <c r="BD178" s="16">
        <v>0</v>
      </c>
      <c r="BE178" s="16">
        <v>0</v>
      </c>
      <c r="BF178" s="16">
        <f t="shared" si="240"/>
        <v>0</v>
      </c>
      <c r="BG178" s="16">
        <v>0</v>
      </c>
      <c r="BH178" s="16">
        <v>0</v>
      </c>
      <c r="BI178" s="16">
        <v>0</v>
      </c>
      <c r="BJ178" s="16">
        <v>0</v>
      </c>
      <c r="BK178" s="16">
        <f t="shared" si="241"/>
        <v>0</v>
      </c>
      <c r="BL178" s="16">
        <v>0</v>
      </c>
      <c r="BM178" s="16">
        <f t="shared" si="242"/>
        <v>14299052</v>
      </c>
      <c r="BN178" s="16">
        <v>14066856</v>
      </c>
      <c r="BO178" s="16">
        <v>0</v>
      </c>
      <c r="BP178" s="16">
        <v>0</v>
      </c>
      <c r="BQ178" s="16">
        <v>0</v>
      </c>
      <c r="BR178" s="16">
        <v>0</v>
      </c>
      <c r="BS178" s="16">
        <v>0</v>
      </c>
      <c r="BT178" s="16">
        <v>0</v>
      </c>
      <c r="BU178" s="16">
        <v>0</v>
      </c>
      <c r="BV178" s="16">
        <v>0</v>
      </c>
      <c r="BW178" s="16">
        <v>0</v>
      </c>
      <c r="BX178" s="16">
        <v>232196</v>
      </c>
      <c r="BY178" s="16">
        <f>SUM(BZ178+CS178)</f>
        <v>0</v>
      </c>
      <c r="BZ178" s="16">
        <f>SUM(CA178+CD178+CK178)</f>
        <v>0</v>
      </c>
      <c r="CA178" s="16">
        <f t="shared" si="243"/>
        <v>0</v>
      </c>
      <c r="CB178" s="16">
        <v>0</v>
      </c>
      <c r="CC178" s="16">
        <v>0</v>
      </c>
      <c r="CD178" s="16">
        <f t="shared" si="244"/>
        <v>0</v>
      </c>
      <c r="CE178" s="16">
        <v>0</v>
      </c>
      <c r="CF178" s="16">
        <v>0</v>
      </c>
      <c r="CG178" s="16">
        <v>0</v>
      </c>
      <c r="CH178" s="16">
        <v>0</v>
      </c>
      <c r="CI178" s="16">
        <v>0</v>
      </c>
      <c r="CJ178" s="16">
        <v>0</v>
      </c>
      <c r="CK178" s="16">
        <f t="shared" si="245"/>
        <v>0</v>
      </c>
      <c r="CL178" s="16">
        <v>0</v>
      </c>
      <c r="CM178" s="16">
        <v>0</v>
      </c>
      <c r="CN178" s="16">
        <v>0</v>
      </c>
      <c r="CO178" s="16">
        <v>0</v>
      </c>
      <c r="CP178" s="16">
        <v>0</v>
      </c>
      <c r="CQ178" s="16">
        <v>0</v>
      </c>
      <c r="CR178" s="16">
        <v>0</v>
      </c>
      <c r="CS178" s="16">
        <v>0</v>
      </c>
      <c r="CT178" s="16">
        <f t="shared" si="246"/>
        <v>0</v>
      </c>
      <c r="CU178" s="16">
        <f t="shared" si="247"/>
        <v>0</v>
      </c>
      <c r="CV178" s="16">
        <v>0</v>
      </c>
      <c r="CW178" s="17">
        <v>0</v>
      </c>
      <c r="CX178" s="40"/>
    </row>
    <row r="179" spans="1:102" ht="15.75" hidden="1" x14ac:dyDescent="0.25">
      <c r="A179" s="13" t="s">
        <v>209</v>
      </c>
      <c r="B179" s="14" t="s">
        <v>15</v>
      </c>
      <c r="C179" s="14" t="s">
        <v>1</v>
      </c>
      <c r="D179" s="30" t="s">
        <v>213</v>
      </c>
      <c r="E179" s="15">
        <f>SUM(E180:E182)</f>
        <v>27381631</v>
      </c>
      <c r="F179" s="16">
        <f t="shared" ref="F179:BS179" si="309">SUM(F180:F182)</f>
        <v>27111361</v>
      </c>
      <c r="G179" s="16">
        <f t="shared" si="309"/>
        <v>27111361</v>
      </c>
      <c r="H179" s="16">
        <f t="shared" si="309"/>
        <v>14738333</v>
      </c>
      <c r="I179" s="16">
        <f t="shared" si="309"/>
        <v>3251499</v>
      </c>
      <c r="J179" s="16">
        <f t="shared" si="309"/>
        <v>7527587</v>
      </c>
      <c r="K179" s="16">
        <f t="shared" si="309"/>
        <v>804378</v>
      </c>
      <c r="L179" s="16">
        <f t="shared" si="309"/>
        <v>1490914</v>
      </c>
      <c r="M179" s="16">
        <f t="shared" si="309"/>
        <v>4556859</v>
      </c>
      <c r="N179" s="16">
        <f t="shared" si="309"/>
        <v>0</v>
      </c>
      <c r="O179" s="16">
        <f t="shared" si="309"/>
        <v>621472</v>
      </c>
      <c r="P179" s="16">
        <f t="shared" si="309"/>
        <v>53964</v>
      </c>
      <c r="Q179" s="16">
        <f t="shared" si="309"/>
        <v>0</v>
      </c>
      <c r="R179" s="16">
        <f t="shared" si="309"/>
        <v>0</v>
      </c>
      <c r="S179" s="16">
        <f t="shared" si="309"/>
        <v>0</v>
      </c>
      <c r="T179" s="16">
        <f t="shared" si="309"/>
        <v>0</v>
      </c>
      <c r="U179" s="16">
        <f t="shared" si="309"/>
        <v>88835</v>
      </c>
      <c r="V179" s="16">
        <f t="shared" si="309"/>
        <v>892894</v>
      </c>
      <c r="W179" s="16">
        <f t="shared" si="309"/>
        <v>66525</v>
      </c>
      <c r="X179" s="16">
        <f t="shared" si="309"/>
        <v>311975</v>
      </c>
      <c r="Y179" s="16">
        <f t="shared" si="309"/>
        <v>165990</v>
      </c>
      <c r="Z179" s="16">
        <f t="shared" si="309"/>
        <v>268733</v>
      </c>
      <c r="AA179" s="16">
        <f t="shared" si="309"/>
        <v>68943</v>
      </c>
      <c r="AB179" s="16">
        <f t="shared" si="309"/>
        <v>0</v>
      </c>
      <c r="AC179" s="16">
        <f t="shared" si="309"/>
        <v>0</v>
      </c>
      <c r="AD179" s="16">
        <f t="shared" ref="AD179" si="310">SUM(AD180:AD182)</f>
        <v>10728</v>
      </c>
      <c r="AE179" s="16">
        <f t="shared" si="309"/>
        <v>612213</v>
      </c>
      <c r="AF179" s="16">
        <f t="shared" si="309"/>
        <v>0</v>
      </c>
      <c r="AG179" s="16">
        <f t="shared" si="309"/>
        <v>0</v>
      </c>
      <c r="AH179" s="16">
        <f t="shared" si="309"/>
        <v>94902</v>
      </c>
      <c r="AI179" s="16">
        <f t="shared" si="309"/>
        <v>0</v>
      </c>
      <c r="AJ179" s="16">
        <f t="shared" si="309"/>
        <v>7955</v>
      </c>
      <c r="AK179" s="16">
        <f t="shared" si="309"/>
        <v>0</v>
      </c>
      <c r="AL179" s="16">
        <f t="shared" si="309"/>
        <v>158557</v>
      </c>
      <c r="AM179" s="16">
        <f t="shared" si="309"/>
        <v>0</v>
      </c>
      <c r="AN179" s="16">
        <f t="shared" si="309"/>
        <v>0</v>
      </c>
      <c r="AO179" s="16">
        <f t="shared" si="309"/>
        <v>0</v>
      </c>
      <c r="AP179" s="16">
        <f>SUM(AP180:AP182)</f>
        <v>0</v>
      </c>
      <c r="AQ179" s="16">
        <f t="shared" si="309"/>
        <v>0</v>
      </c>
      <c r="AR179" s="16">
        <f t="shared" si="309"/>
        <v>30733</v>
      </c>
      <c r="AS179" s="16">
        <f t="shared" si="309"/>
        <v>145000</v>
      </c>
      <c r="AT179" s="16">
        <f t="shared" si="309"/>
        <v>0</v>
      </c>
      <c r="AU179" s="16">
        <f t="shared" si="309"/>
        <v>0</v>
      </c>
      <c r="AV179" s="16">
        <f t="shared" si="309"/>
        <v>174251</v>
      </c>
      <c r="AW179" s="16">
        <f t="shared" si="309"/>
        <v>0</v>
      </c>
      <c r="AX179" s="16">
        <f t="shared" si="309"/>
        <v>0</v>
      </c>
      <c r="AY179" s="16">
        <f t="shared" si="309"/>
        <v>0</v>
      </c>
      <c r="AZ179" s="16">
        <f t="shared" si="309"/>
        <v>815</v>
      </c>
      <c r="BA179" s="16">
        <f t="shared" si="309"/>
        <v>0</v>
      </c>
      <c r="BB179" s="16">
        <f t="shared" si="309"/>
        <v>0</v>
      </c>
      <c r="BC179" s="16">
        <f t="shared" si="309"/>
        <v>0</v>
      </c>
      <c r="BD179" s="16">
        <f t="shared" si="309"/>
        <v>0</v>
      </c>
      <c r="BE179" s="16">
        <f t="shared" si="309"/>
        <v>0</v>
      </c>
      <c r="BF179" s="16">
        <f t="shared" si="309"/>
        <v>0</v>
      </c>
      <c r="BG179" s="16">
        <f t="shared" si="309"/>
        <v>0</v>
      </c>
      <c r="BH179" s="16">
        <f t="shared" si="309"/>
        <v>0</v>
      </c>
      <c r="BI179" s="16">
        <f t="shared" si="309"/>
        <v>0</v>
      </c>
      <c r="BJ179" s="16">
        <f t="shared" si="309"/>
        <v>0</v>
      </c>
      <c r="BK179" s="16">
        <f t="shared" si="309"/>
        <v>0</v>
      </c>
      <c r="BL179" s="16">
        <f t="shared" si="309"/>
        <v>0</v>
      </c>
      <c r="BM179" s="16">
        <f t="shared" si="309"/>
        <v>0</v>
      </c>
      <c r="BN179" s="16">
        <f t="shared" si="309"/>
        <v>0</v>
      </c>
      <c r="BO179" s="16">
        <f t="shared" si="309"/>
        <v>0</v>
      </c>
      <c r="BP179" s="16">
        <f t="shared" si="309"/>
        <v>0</v>
      </c>
      <c r="BQ179" s="16">
        <f t="shared" si="309"/>
        <v>0</v>
      </c>
      <c r="BR179" s="16">
        <f t="shared" si="309"/>
        <v>0</v>
      </c>
      <c r="BS179" s="16">
        <f t="shared" si="309"/>
        <v>0</v>
      </c>
      <c r="BT179" s="16">
        <f t="shared" ref="BT179:CW179" si="311">SUM(BT180:BT182)</f>
        <v>0</v>
      </c>
      <c r="BU179" s="16">
        <f t="shared" si="311"/>
        <v>0</v>
      </c>
      <c r="BV179" s="16">
        <f t="shared" si="311"/>
        <v>0</v>
      </c>
      <c r="BW179" s="16">
        <f t="shared" si="311"/>
        <v>0</v>
      </c>
      <c r="BX179" s="16">
        <f t="shared" si="311"/>
        <v>0</v>
      </c>
      <c r="BY179" s="16">
        <f t="shared" si="311"/>
        <v>270270</v>
      </c>
      <c r="BZ179" s="16">
        <f t="shared" si="311"/>
        <v>270270</v>
      </c>
      <c r="CA179" s="16">
        <f t="shared" si="311"/>
        <v>270270</v>
      </c>
      <c r="CB179" s="16">
        <f t="shared" si="311"/>
        <v>0</v>
      </c>
      <c r="CC179" s="16">
        <f t="shared" si="311"/>
        <v>270270</v>
      </c>
      <c r="CD179" s="16">
        <f t="shared" si="311"/>
        <v>0</v>
      </c>
      <c r="CE179" s="16">
        <f t="shared" si="311"/>
        <v>0</v>
      </c>
      <c r="CF179" s="16">
        <f>SUM(CF180:CF182)</f>
        <v>0</v>
      </c>
      <c r="CG179" s="16">
        <f t="shared" si="311"/>
        <v>0</v>
      </c>
      <c r="CH179" s="16">
        <f t="shared" si="311"/>
        <v>0</v>
      </c>
      <c r="CI179" s="16">
        <f t="shared" si="311"/>
        <v>0</v>
      </c>
      <c r="CJ179" s="16">
        <f t="shared" ref="CJ179" si="312">SUM(CJ180:CJ182)</f>
        <v>0</v>
      </c>
      <c r="CK179" s="16">
        <f t="shared" si="311"/>
        <v>0</v>
      </c>
      <c r="CL179" s="16">
        <f t="shared" si="311"/>
        <v>0</v>
      </c>
      <c r="CM179" s="16">
        <f>SUM(CM180:CM182)</f>
        <v>0</v>
      </c>
      <c r="CN179" s="16">
        <f t="shared" si="311"/>
        <v>0</v>
      </c>
      <c r="CO179" s="16">
        <f t="shared" si="311"/>
        <v>0</v>
      </c>
      <c r="CP179" s="16">
        <f t="shared" si="311"/>
        <v>0</v>
      </c>
      <c r="CQ179" s="16">
        <f t="shared" si="311"/>
        <v>0</v>
      </c>
      <c r="CR179" s="16">
        <f t="shared" si="311"/>
        <v>0</v>
      </c>
      <c r="CS179" s="16">
        <f t="shared" si="311"/>
        <v>0</v>
      </c>
      <c r="CT179" s="16">
        <f t="shared" si="311"/>
        <v>0</v>
      </c>
      <c r="CU179" s="16">
        <f t="shared" si="311"/>
        <v>0</v>
      </c>
      <c r="CV179" s="16">
        <f t="shared" si="311"/>
        <v>0</v>
      </c>
      <c r="CW179" s="17">
        <f t="shared" si="311"/>
        <v>0</v>
      </c>
      <c r="CX179" s="40"/>
    </row>
    <row r="180" spans="1:102" ht="15.75" hidden="1" x14ac:dyDescent="0.25">
      <c r="A180" s="13" t="s">
        <v>1</v>
      </c>
      <c r="B180" s="14" t="s">
        <v>1</v>
      </c>
      <c r="C180" s="14" t="s">
        <v>19</v>
      </c>
      <c r="D180" s="30" t="s">
        <v>214</v>
      </c>
      <c r="E180" s="15">
        <f>SUM(F180+BY180+CT180)</f>
        <v>4604588</v>
      </c>
      <c r="F180" s="16">
        <f>SUM(G180+BA180)</f>
        <v>4553323</v>
      </c>
      <c r="G180" s="16">
        <f>SUM(H180+I180+J180+Q180+T180+U180+V180+AE180)</f>
        <v>4553323</v>
      </c>
      <c r="H180" s="16">
        <v>2776462</v>
      </c>
      <c r="I180" s="16">
        <v>646150</v>
      </c>
      <c r="J180" s="16">
        <f t="shared" si="238"/>
        <v>925348</v>
      </c>
      <c r="K180" s="16">
        <v>88148</v>
      </c>
      <c r="L180" s="16">
        <v>87580</v>
      </c>
      <c r="M180" s="16">
        <v>607263</v>
      </c>
      <c r="N180" s="16">
        <v>0</v>
      </c>
      <c r="O180" s="16">
        <v>130196</v>
      </c>
      <c r="P180" s="16">
        <v>12161</v>
      </c>
      <c r="Q180" s="16">
        <f t="shared" si="239"/>
        <v>0</v>
      </c>
      <c r="R180" s="16">
        <v>0</v>
      </c>
      <c r="S180" s="16">
        <v>0</v>
      </c>
      <c r="T180" s="16">
        <v>0</v>
      </c>
      <c r="U180" s="16">
        <v>17869</v>
      </c>
      <c r="V180" s="16">
        <f>SUM(W180:AD180)</f>
        <v>59489</v>
      </c>
      <c r="W180" s="16">
        <v>5364</v>
      </c>
      <c r="X180" s="16">
        <v>12360</v>
      </c>
      <c r="Y180" s="16">
        <v>19773</v>
      </c>
      <c r="Z180" s="16">
        <v>11762</v>
      </c>
      <c r="AA180" s="16">
        <v>6018</v>
      </c>
      <c r="AB180" s="16">
        <v>0</v>
      </c>
      <c r="AC180" s="16">
        <v>0</v>
      </c>
      <c r="AD180" s="16">
        <v>4212</v>
      </c>
      <c r="AE180" s="16">
        <f>SUM(AF180:AZ180)</f>
        <v>128005</v>
      </c>
      <c r="AF180" s="16">
        <v>0</v>
      </c>
      <c r="AG180" s="16">
        <v>0</v>
      </c>
      <c r="AH180" s="16">
        <v>7391</v>
      </c>
      <c r="AI180" s="16">
        <v>0</v>
      </c>
      <c r="AJ180" s="16">
        <v>1591</v>
      </c>
      <c r="AK180" s="16">
        <v>0</v>
      </c>
      <c r="AL180" s="16">
        <v>30290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30733</v>
      </c>
      <c r="AS180" s="16">
        <v>58000</v>
      </c>
      <c r="AT180" s="16">
        <v>0</v>
      </c>
      <c r="AU180" s="16">
        <v>0</v>
      </c>
      <c r="AV180" s="16">
        <v>0</v>
      </c>
      <c r="AW180" s="16">
        <v>0</v>
      </c>
      <c r="AX180" s="16">
        <v>0</v>
      </c>
      <c r="AY180" s="16">
        <v>0</v>
      </c>
      <c r="AZ180" s="16">
        <v>0</v>
      </c>
      <c r="BA180" s="16">
        <f>SUM(BB180+BF180+BI180+BK180+BM180)</f>
        <v>0</v>
      </c>
      <c r="BB180" s="16">
        <f>SUM(BC180:BE180)</f>
        <v>0</v>
      </c>
      <c r="BC180" s="16">
        <v>0</v>
      </c>
      <c r="BD180" s="16">
        <v>0</v>
      </c>
      <c r="BE180" s="16">
        <v>0</v>
      </c>
      <c r="BF180" s="16">
        <f t="shared" si="240"/>
        <v>0</v>
      </c>
      <c r="BG180" s="16">
        <v>0</v>
      </c>
      <c r="BH180" s="16">
        <v>0</v>
      </c>
      <c r="BI180" s="16">
        <v>0</v>
      </c>
      <c r="BJ180" s="16">
        <v>0</v>
      </c>
      <c r="BK180" s="16">
        <f t="shared" si="241"/>
        <v>0</v>
      </c>
      <c r="BL180" s="16">
        <v>0</v>
      </c>
      <c r="BM180" s="16">
        <f t="shared" si="242"/>
        <v>0</v>
      </c>
      <c r="BN180" s="16">
        <v>0</v>
      </c>
      <c r="BO180" s="16">
        <v>0</v>
      </c>
      <c r="BP180" s="16">
        <v>0</v>
      </c>
      <c r="BQ180" s="16">
        <v>0</v>
      </c>
      <c r="BR180" s="16">
        <v>0</v>
      </c>
      <c r="BS180" s="16">
        <v>0</v>
      </c>
      <c r="BT180" s="16">
        <v>0</v>
      </c>
      <c r="BU180" s="16">
        <v>0</v>
      </c>
      <c r="BV180" s="16">
        <v>0</v>
      </c>
      <c r="BW180" s="16">
        <v>0</v>
      </c>
      <c r="BX180" s="16">
        <v>0</v>
      </c>
      <c r="BY180" s="16">
        <f>SUM(BZ180+CS180)</f>
        <v>51265</v>
      </c>
      <c r="BZ180" s="16">
        <f>SUM(CA180+CD180+CK180)</f>
        <v>51265</v>
      </c>
      <c r="CA180" s="16">
        <f t="shared" si="243"/>
        <v>51265</v>
      </c>
      <c r="CB180" s="16">
        <v>0</v>
      </c>
      <c r="CC180" s="16">
        <v>51265</v>
      </c>
      <c r="CD180" s="16">
        <f t="shared" si="244"/>
        <v>0</v>
      </c>
      <c r="CE180" s="16">
        <v>0</v>
      </c>
      <c r="CF180" s="16">
        <v>0</v>
      </c>
      <c r="CG180" s="16">
        <v>0</v>
      </c>
      <c r="CH180" s="16">
        <v>0</v>
      </c>
      <c r="CI180" s="16">
        <v>0</v>
      </c>
      <c r="CJ180" s="16">
        <v>0</v>
      </c>
      <c r="CK180" s="16">
        <f t="shared" si="245"/>
        <v>0</v>
      </c>
      <c r="CL180" s="16">
        <v>0</v>
      </c>
      <c r="CM180" s="16">
        <v>0</v>
      </c>
      <c r="CN180" s="16">
        <v>0</v>
      </c>
      <c r="CO180" s="16">
        <v>0</v>
      </c>
      <c r="CP180" s="16">
        <v>0</v>
      </c>
      <c r="CQ180" s="16">
        <v>0</v>
      </c>
      <c r="CR180" s="16">
        <v>0</v>
      </c>
      <c r="CS180" s="16">
        <v>0</v>
      </c>
      <c r="CT180" s="16">
        <f t="shared" si="246"/>
        <v>0</v>
      </c>
      <c r="CU180" s="16">
        <f t="shared" si="247"/>
        <v>0</v>
      </c>
      <c r="CV180" s="16">
        <v>0</v>
      </c>
      <c r="CW180" s="17">
        <v>0</v>
      </c>
      <c r="CX180" s="40"/>
    </row>
    <row r="181" spans="1:102" ht="31.5" hidden="1" x14ac:dyDescent="0.25">
      <c r="A181" s="13" t="s">
        <v>1</v>
      </c>
      <c r="B181" s="14" t="s">
        <v>1</v>
      </c>
      <c r="C181" s="14" t="s">
        <v>19</v>
      </c>
      <c r="D181" s="30" t="s">
        <v>215</v>
      </c>
      <c r="E181" s="15">
        <f>SUM(F181+BY181+CT181)</f>
        <v>22053208</v>
      </c>
      <c r="F181" s="16">
        <f>SUM(G181+BA181)</f>
        <v>21846681</v>
      </c>
      <c r="G181" s="16">
        <f>SUM(H181+I181+J181+Q181+T181+U181+V181+AE181)</f>
        <v>21846681</v>
      </c>
      <c r="H181" s="16">
        <f>11060244+373100</f>
        <v>11433344</v>
      </c>
      <c r="I181" s="16">
        <v>2493914</v>
      </c>
      <c r="J181" s="16">
        <f t="shared" si="238"/>
        <v>6551501</v>
      </c>
      <c r="K181" s="16">
        <v>716230</v>
      </c>
      <c r="L181" s="16">
        <v>1403334</v>
      </c>
      <c r="M181" s="16">
        <v>3949596</v>
      </c>
      <c r="N181" s="16">
        <v>0</v>
      </c>
      <c r="O181" s="16">
        <v>441677</v>
      </c>
      <c r="P181" s="16">
        <v>40664</v>
      </c>
      <c r="Q181" s="16">
        <f t="shared" si="239"/>
        <v>0</v>
      </c>
      <c r="R181" s="16">
        <v>0</v>
      </c>
      <c r="S181" s="16">
        <v>0</v>
      </c>
      <c r="T181" s="16">
        <v>0</v>
      </c>
      <c r="U181" s="16">
        <v>60191</v>
      </c>
      <c r="V181" s="16">
        <f>SUM(W181:AD181)</f>
        <v>832174</v>
      </c>
      <c r="W181" s="16">
        <v>61161</v>
      </c>
      <c r="X181" s="16">
        <v>298806</v>
      </c>
      <c r="Y181" s="16">
        <v>145923</v>
      </c>
      <c r="Z181" s="16">
        <v>256843</v>
      </c>
      <c r="AA181" s="16">
        <v>62925</v>
      </c>
      <c r="AB181" s="16">
        <v>0</v>
      </c>
      <c r="AC181" s="16">
        <v>0</v>
      </c>
      <c r="AD181" s="16">
        <v>6516</v>
      </c>
      <c r="AE181" s="16">
        <f>SUM(AF181:AZ181)</f>
        <v>475557</v>
      </c>
      <c r="AF181" s="16">
        <v>0</v>
      </c>
      <c r="AG181" s="16">
        <v>0</v>
      </c>
      <c r="AH181" s="16">
        <v>86793</v>
      </c>
      <c r="AI181" s="16">
        <v>0</v>
      </c>
      <c r="AJ181" s="16">
        <v>4773</v>
      </c>
      <c r="AK181" s="16">
        <v>0</v>
      </c>
      <c r="AL181" s="16">
        <v>122028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87000</v>
      </c>
      <c r="AT181" s="16">
        <v>0</v>
      </c>
      <c r="AU181" s="16">
        <v>0</v>
      </c>
      <c r="AV181" s="16">
        <v>174251</v>
      </c>
      <c r="AW181" s="16">
        <v>0</v>
      </c>
      <c r="AX181" s="16">
        <v>0</v>
      </c>
      <c r="AY181" s="16">
        <v>0</v>
      </c>
      <c r="AZ181" s="16">
        <v>712</v>
      </c>
      <c r="BA181" s="16">
        <f>SUM(BB181+BF181+BI181+BK181+BM181)</f>
        <v>0</v>
      </c>
      <c r="BB181" s="16">
        <f>SUM(BC181:BE181)</f>
        <v>0</v>
      </c>
      <c r="BC181" s="16">
        <v>0</v>
      </c>
      <c r="BD181" s="16">
        <v>0</v>
      </c>
      <c r="BE181" s="16">
        <v>0</v>
      </c>
      <c r="BF181" s="16">
        <f t="shared" si="240"/>
        <v>0</v>
      </c>
      <c r="BG181" s="16">
        <v>0</v>
      </c>
      <c r="BH181" s="16">
        <v>0</v>
      </c>
      <c r="BI181" s="16">
        <v>0</v>
      </c>
      <c r="BJ181" s="16">
        <v>0</v>
      </c>
      <c r="BK181" s="16">
        <f t="shared" si="241"/>
        <v>0</v>
      </c>
      <c r="BL181" s="16">
        <v>0</v>
      </c>
      <c r="BM181" s="16">
        <f t="shared" si="242"/>
        <v>0</v>
      </c>
      <c r="BN181" s="16">
        <v>0</v>
      </c>
      <c r="BO181" s="16">
        <v>0</v>
      </c>
      <c r="BP181" s="16">
        <v>0</v>
      </c>
      <c r="BQ181" s="16">
        <v>0</v>
      </c>
      <c r="BR181" s="16">
        <v>0</v>
      </c>
      <c r="BS181" s="16">
        <v>0</v>
      </c>
      <c r="BT181" s="16">
        <v>0</v>
      </c>
      <c r="BU181" s="16">
        <v>0</v>
      </c>
      <c r="BV181" s="16">
        <v>0</v>
      </c>
      <c r="BW181" s="16">
        <v>0</v>
      </c>
      <c r="BX181" s="16">
        <v>0</v>
      </c>
      <c r="BY181" s="16">
        <f>SUM(BZ181+CS181)</f>
        <v>206527</v>
      </c>
      <c r="BZ181" s="16">
        <f>SUM(CA181+CD181+CK181)</f>
        <v>206527</v>
      </c>
      <c r="CA181" s="16">
        <f t="shared" si="243"/>
        <v>206527</v>
      </c>
      <c r="CB181" s="16">
        <v>0</v>
      </c>
      <c r="CC181" s="16">
        <v>206527</v>
      </c>
      <c r="CD181" s="16">
        <f t="shared" si="244"/>
        <v>0</v>
      </c>
      <c r="CE181" s="16">
        <v>0</v>
      </c>
      <c r="CF181" s="16">
        <v>0</v>
      </c>
      <c r="CG181" s="16">
        <v>0</v>
      </c>
      <c r="CH181" s="16">
        <v>0</v>
      </c>
      <c r="CI181" s="16">
        <v>0</v>
      </c>
      <c r="CJ181" s="16">
        <v>0</v>
      </c>
      <c r="CK181" s="16">
        <f t="shared" si="245"/>
        <v>0</v>
      </c>
      <c r="CL181" s="16">
        <v>0</v>
      </c>
      <c r="CM181" s="16">
        <v>0</v>
      </c>
      <c r="CN181" s="16">
        <v>0</v>
      </c>
      <c r="CO181" s="16">
        <v>0</v>
      </c>
      <c r="CP181" s="16">
        <v>0</v>
      </c>
      <c r="CQ181" s="16">
        <v>0</v>
      </c>
      <c r="CR181" s="16">
        <v>0</v>
      </c>
      <c r="CS181" s="16">
        <v>0</v>
      </c>
      <c r="CT181" s="16">
        <f t="shared" si="246"/>
        <v>0</v>
      </c>
      <c r="CU181" s="16">
        <f t="shared" si="247"/>
        <v>0</v>
      </c>
      <c r="CV181" s="16">
        <v>0</v>
      </c>
      <c r="CW181" s="17">
        <v>0</v>
      </c>
      <c r="CX181" s="40"/>
    </row>
    <row r="182" spans="1:102" ht="31.5" hidden="1" x14ac:dyDescent="0.25">
      <c r="A182" s="13" t="s">
        <v>1</v>
      </c>
      <c r="B182" s="14" t="s">
        <v>1</v>
      </c>
      <c r="C182" s="14" t="s">
        <v>19</v>
      </c>
      <c r="D182" s="30" t="s">
        <v>216</v>
      </c>
      <c r="E182" s="15">
        <f>SUM(F182+BY182+CT182)</f>
        <v>723835</v>
      </c>
      <c r="F182" s="16">
        <f>SUM(G182+BA182)</f>
        <v>711357</v>
      </c>
      <c r="G182" s="16">
        <f>SUM(H182+I182+J182+Q182+T182+U182+V182+AE182)</f>
        <v>711357</v>
      </c>
      <c r="H182" s="16">
        <v>528527</v>
      </c>
      <c r="I182" s="16">
        <v>111435</v>
      </c>
      <c r="J182" s="16">
        <f t="shared" si="238"/>
        <v>50738</v>
      </c>
      <c r="K182" s="16">
        <v>0</v>
      </c>
      <c r="L182" s="16">
        <v>0</v>
      </c>
      <c r="M182" s="16">
        <v>0</v>
      </c>
      <c r="N182" s="16">
        <v>0</v>
      </c>
      <c r="O182" s="16">
        <v>49599</v>
      </c>
      <c r="P182" s="16">
        <v>1139</v>
      </c>
      <c r="Q182" s="16">
        <f t="shared" si="239"/>
        <v>0</v>
      </c>
      <c r="R182" s="16">
        <v>0</v>
      </c>
      <c r="S182" s="16">
        <v>0</v>
      </c>
      <c r="T182" s="16">
        <v>0</v>
      </c>
      <c r="U182" s="16">
        <v>10775</v>
      </c>
      <c r="V182" s="16">
        <f>SUM(W182:AD182)</f>
        <v>1231</v>
      </c>
      <c r="W182" s="16">
        <v>0</v>
      </c>
      <c r="X182" s="16">
        <v>809</v>
      </c>
      <c r="Y182" s="16">
        <v>294</v>
      </c>
      <c r="Z182" s="16">
        <v>128</v>
      </c>
      <c r="AA182" s="16">
        <v>0</v>
      </c>
      <c r="AB182" s="16">
        <v>0</v>
      </c>
      <c r="AC182" s="16">
        <v>0</v>
      </c>
      <c r="AD182" s="16">
        <v>0</v>
      </c>
      <c r="AE182" s="16">
        <f>SUM(AF182:AZ182)</f>
        <v>8651</v>
      </c>
      <c r="AF182" s="16">
        <v>0</v>
      </c>
      <c r="AG182" s="16">
        <v>0</v>
      </c>
      <c r="AH182" s="16">
        <v>718</v>
      </c>
      <c r="AI182" s="16">
        <v>0</v>
      </c>
      <c r="AJ182" s="16">
        <v>1591</v>
      </c>
      <c r="AK182" s="16">
        <v>0</v>
      </c>
      <c r="AL182" s="16">
        <v>6239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</v>
      </c>
      <c r="AZ182" s="16">
        <v>103</v>
      </c>
      <c r="BA182" s="16">
        <f>SUM(BB182+BF182+BI182+BK182+BM182)</f>
        <v>0</v>
      </c>
      <c r="BB182" s="16">
        <f>SUM(BC182:BE182)</f>
        <v>0</v>
      </c>
      <c r="BC182" s="16">
        <v>0</v>
      </c>
      <c r="BD182" s="16">
        <v>0</v>
      </c>
      <c r="BE182" s="16">
        <v>0</v>
      </c>
      <c r="BF182" s="16">
        <f t="shared" si="240"/>
        <v>0</v>
      </c>
      <c r="BG182" s="16">
        <v>0</v>
      </c>
      <c r="BH182" s="16">
        <v>0</v>
      </c>
      <c r="BI182" s="16">
        <v>0</v>
      </c>
      <c r="BJ182" s="16">
        <v>0</v>
      </c>
      <c r="BK182" s="16">
        <f t="shared" si="241"/>
        <v>0</v>
      </c>
      <c r="BL182" s="16">
        <v>0</v>
      </c>
      <c r="BM182" s="16">
        <f t="shared" si="242"/>
        <v>0</v>
      </c>
      <c r="BN182" s="16">
        <v>0</v>
      </c>
      <c r="BO182" s="16">
        <v>0</v>
      </c>
      <c r="BP182" s="16">
        <v>0</v>
      </c>
      <c r="BQ182" s="16">
        <v>0</v>
      </c>
      <c r="BR182" s="16">
        <v>0</v>
      </c>
      <c r="BS182" s="16">
        <v>0</v>
      </c>
      <c r="BT182" s="16">
        <v>0</v>
      </c>
      <c r="BU182" s="16">
        <v>0</v>
      </c>
      <c r="BV182" s="16">
        <v>0</v>
      </c>
      <c r="BW182" s="16">
        <v>0</v>
      </c>
      <c r="BX182" s="16">
        <v>0</v>
      </c>
      <c r="BY182" s="16">
        <f>SUM(BZ182+CS182)</f>
        <v>12478</v>
      </c>
      <c r="BZ182" s="16">
        <f>SUM(CA182+CD182+CK182)</f>
        <v>12478</v>
      </c>
      <c r="CA182" s="16">
        <f t="shared" si="243"/>
        <v>12478</v>
      </c>
      <c r="CB182" s="16">
        <v>0</v>
      </c>
      <c r="CC182" s="16">
        <v>12478</v>
      </c>
      <c r="CD182" s="16">
        <f t="shared" si="244"/>
        <v>0</v>
      </c>
      <c r="CE182" s="16">
        <v>0</v>
      </c>
      <c r="CF182" s="16">
        <v>0</v>
      </c>
      <c r="CG182" s="16">
        <v>0</v>
      </c>
      <c r="CH182" s="16">
        <v>0</v>
      </c>
      <c r="CI182" s="16">
        <v>0</v>
      </c>
      <c r="CJ182" s="16">
        <v>0</v>
      </c>
      <c r="CK182" s="16">
        <f t="shared" si="245"/>
        <v>0</v>
      </c>
      <c r="CL182" s="16">
        <v>0</v>
      </c>
      <c r="CM182" s="16">
        <v>0</v>
      </c>
      <c r="CN182" s="16">
        <v>0</v>
      </c>
      <c r="CO182" s="16">
        <v>0</v>
      </c>
      <c r="CP182" s="16">
        <v>0</v>
      </c>
      <c r="CQ182" s="16">
        <v>0</v>
      </c>
      <c r="CR182" s="16">
        <v>0</v>
      </c>
      <c r="CS182" s="16">
        <v>0</v>
      </c>
      <c r="CT182" s="16">
        <f t="shared" si="246"/>
        <v>0</v>
      </c>
      <c r="CU182" s="16">
        <f t="shared" si="247"/>
        <v>0</v>
      </c>
      <c r="CV182" s="16">
        <v>0</v>
      </c>
      <c r="CW182" s="17">
        <v>0</v>
      </c>
      <c r="CX182" s="40"/>
    </row>
    <row r="183" spans="1:102" ht="15.75" hidden="1" x14ac:dyDescent="0.25">
      <c r="A183" s="13" t="s">
        <v>209</v>
      </c>
      <c r="B183" s="14" t="s">
        <v>47</v>
      </c>
      <c r="C183" s="14" t="s">
        <v>1</v>
      </c>
      <c r="D183" s="30" t="s">
        <v>217</v>
      </c>
      <c r="E183" s="15">
        <f>SUM(E184)</f>
        <v>196397239</v>
      </c>
      <c r="F183" s="16">
        <f t="shared" ref="F183:BS183" si="313">SUM(F184)</f>
        <v>196397239</v>
      </c>
      <c r="G183" s="16">
        <f t="shared" si="313"/>
        <v>0</v>
      </c>
      <c r="H183" s="16">
        <f t="shared" si="313"/>
        <v>0</v>
      </c>
      <c r="I183" s="16">
        <f t="shared" si="313"/>
        <v>0</v>
      </c>
      <c r="J183" s="16">
        <f t="shared" si="313"/>
        <v>0</v>
      </c>
      <c r="K183" s="16">
        <f t="shared" si="313"/>
        <v>0</v>
      </c>
      <c r="L183" s="16">
        <f t="shared" si="313"/>
        <v>0</v>
      </c>
      <c r="M183" s="16">
        <f t="shared" si="313"/>
        <v>0</v>
      </c>
      <c r="N183" s="16">
        <f t="shared" si="313"/>
        <v>0</v>
      </c>
      <c r="O183" s="16">
        <f t="shared" si="313"/>
        <v>0</v>
      </c>
      <c r="P183" s="16">
        <f t="shared" si="313"/>
        <v>0</v>
      </c>
      <c r="Q183" s="16">
        <f t="shared" si="313"/>
        <v>0</v>
      </c>
      <c r="R183" s="16">
        <f t="shared" si="313"/>
        <v>0</v>
      </c>
      <c r="S183" s="16">
        <f t="shared" si="313"/>
        <v>0</v>
      </c>
      <c r="T183" s="16">
        <f t="shared" si="313"/>
        <v>0</v>
      </c>
      <c r="U183" s="16">
        <f t="shared" si="313"/>
        <v>0</v>
      </c>
      <c r="V183" s="16">
        <f t="shared" si="313"/>
        <v>0</v>
      </c>
      <c r="W183" s="16">
        <f t="shared" si="313"/>
        <v>0</v>
      </c>
      <c r="X183" s="16">
        <f t="shared" si="313"/>
        <v>0</v>
      </c>
      <c r="Y183" s="16">
        <f t="shared" si="313"/>
        <v>0</v>
      </c>
      <c r="Z183" s="16">
        <f t="shared" si="313"/>
        <v>0</v>
      </c>
      <c r="AA183" s="16">
        <f t="shared" si="313"/>
        <v>0</v>
      </c>
      <c r="AB183" s="16">
        <f t="shared" si="313"/>
        <v>0</v>
      </c>
      <c r="AC183" s="16">
        <f t="shared" si="313"/>
        <v>0</v>
      </c>
      <c r="AD183" s="16">
        <f t="shared" si="313"/>
        <v>0</v>
      </c>
      <c r="AE183" s="16">
        <f t="shared" si="313"/>
        <v>0</v>
      </c>
      <c r="AF183" s="16">
        <f t="shared" si="313"/>
        <v>0</v>
      </c>
      <c r="AG183" s="16">
        <f t="shared" si="313"/>
        <v>0</v>
      </c>
      <c r="AH183" s="16">
        <f t="shared" si="313"/>
        <v>0</v>
      </c>
      <c r="AI183" s="16">
        <f t="shared" si="313"/>
        <v>0</v>
      </c>
      <c r="AJ183" s="16">
        <f t="shared" si="313"/>
        <v>0</v>
      </c>
      <c r="AK183" s="16">
        <f t="shared" si="313"/>
        <v>0</v>
      </c>
      <c r="AL183" s="16">
        <f t="shared" si="313"/>
        <v>0</v>
      </c>
      <c r="AM183" s="16">
        <f t="shared" si="313"/>
        <v>0</v>
      </c>
      <c r="AN183" s="16">
        <f t="shared" si="313"/>
        <v>0</v>
      </c>
      <c r="AO183" s="16">
        <f t="shared" si="313"/>
        <v>0</v>
      </c>
      <c r="AP183" s="16">
        <f t="shared" si="313"/>
        <v>0</v>
      </c>
      <c r="AQ183" s="16">
        <f t="shared" si="313"/>
        <v>0</v>
      </c>
      <c r="AR183" s="16">
        <f t="shared" si="313"/>
        <v>0</v>
      </c>
      <c r="AS183" s="16">
        <f t="shared" si="313"/>
        <v>0</v>
      </c>
      <c r="AT183" s="16">
        <f t="shared" si="313"/>
        <v>0</v>
      </c>
      <c r="AU183" s="16">
        <f t="shared" si="313"/>
        <v>0</v>
      </c>
      <c r="AV183" s="16">
        <f t="shared" si="313"/>
        <v>0</v>
      </c>
      <c r="AW183" s="16">
        <f t="shared" si="313"/>
        <v>0</v>
      </c>
      <c r="AX183" s="16">
        <f t="shared" si="313"/>
        <v>0</v>
      </c>
      <c r="AY183" s="16">
        <f t="shared" si="313"/>
        <v>0</v>
      </c>
      <c r="AZ183" s="16">
        <f t="shared" si="313"/>
        <v>0</v>
      </c>
      <c r="BA183" s="16">
        <f t="shared" si="313"/>
        <v>196397239</v>
      </c>
      <c r="BB183" s="16">
        <f t="shared" si="313"/>
        <v>0</v>
      </c>
      <c r="BC183" s="16">
        <f t="shared" si="313"/>
        <v>0</v>
      </c>
      <c r="BD183" s="16">
        <f t="shared" si="313"/>
        <v>0</v>
      </c>
      <c r="BE183" s="16">
        <f t="shared" si="313"/>
        <v>0</v>
      </c>
      <c r="BF183" s="16">
        <f t="shared" si="313"/>
        <v>0</v>
      </c>
      <c r="BG183" s="16">
        <f t="shared" si="313"/>
        <v>0</v>
      </c>
      <c r="BH183" s="16">
        <f t="shared" si="313"/>
        <v>0</v>
      </c>
      <c r="BI183" s="16">
        <f t="shared" si="313"/>
        <v>0</v>
      </c>
      <c r="BJ183" s="16">
        <f t="shared" si="313"/>
        <v>0</v>
      </c>
      <c r="BK183" s="16">
        <f t="shared" si="313"/>
        <v>0</v>
      </c>
      <c r="BL183" s="16">
        <f t="shared" si="313"/>
        <v>0</v>
      </c>
      <c r="BM183" s="16">
        <f t="shared" si="313"/>
        <v>196397239</v>
      </c>
      <c r="BN183" s="16">
        <f t="shared" si="313"/>
        <v>0</v>
      </c>
      <c r="BO183" s="16">
        <f t="shared" si="313"/>
        <v>0</v>
      </c>
      <c r="BP183" s="16">
        <f t="shared" si="313"/>
        <v>0</v>
      </c>
      <c r="BQ183" s="16">
        <f t="shared" si="313"/>
        <v>0</v>
      </c>
      <c r="BR183" s="16">
        <f t="shared" si="313"/>
        <v>0</v>
      </c>
      <c r="BS183" s="16">
        <f t="shared" si="313"/>
        <v>0</v>
      </c>
      <c r="BT183" s="16">
        <f t="shared" ref="BT183:CW183" si="314">SUM(BT184)</f>
        <v>167368528</v>
      </c>
      <c r="BU183" s="16">
        <f t="shared" si="314"/>
        <v>0</v>
      </c>
      <c r="BV183" s="16">
        <f t="shared" si="314"/>
        <v>0</v>
      </c>
      <c r="BW183" s="16">
        <f t="shared" si="314"/>
        <v>29028711</v>
      </c>
      <c r="BX183" s="16">
        <f t="shared" si="314"/>
        <v>0</v>
      </c>
      <c r="BY183" s="16">
        <f t="shared" si="314"/>
        <v>0</v>
      </c>
      <c r="BZ183" s="16">
        <f t="shared" si="314"/>
        <v>0</v>
      </c>
      <c r="CA183" s="16">
        <f t="shared" si="314"/>
        <v>0</v>
      </c>
      <c r="CB183" s="16">
        <f t="shared" si="314"/>
        <v>0</v>
      </c>
      <c r="CC183" s="16">
        <f t="shared" si="314"/>
        <v>0</v>
      </c>
      <c r="CD183" s="16">
        <f t="shared" si="314"/>
        <v>0</v>
      </c>
      <c r="CE183" s="16">
        <f t="shared" si="314"/>
        <v>0</v>
      </c>
      <c r="CF183" s="16">
        <f t="shared" si="314"/>
        <v>0</v>
      </c>
      <c r="CG183" s="16">
        <f t="shared" si="314"/>
        <v>0</v>
      </c>
      <c r="CH183" s="16">
        <f t="shared" si="314"/>
        <v>0</v>
      </c>
      <c r="CI183" s="16">
        <f t="shared" si="314"/>
        <v>0</v>
      </c>
      <c r="CJ183" s="16">
        <f t="shared" si="314"/>
        <v>0</v>
      </c>
      <c r="CK183" s="16">
        <f t="shared" si="314"/>
        <v>0</v>
      </c>
      <c r="CL183" s="16">
        <f t="shared" si="314"/>
        <v>0</v>
      </c>
      <c r="CM183" s="16">
        <f t="shared" si="314"/>
        <v>0</v>
      </c>
      <c r="CN183" s="16">
        <f t="shared" si="314"/>
        <v>0</v>
      </c>
      <c r="CO183" s="16">
        <f t="shared" si="314"/>
        <v>0</v>
      </c>
      <c r="CP183" s="16">
        <f t="shared" si="314"/>
        <v>0</v>
      </c>
      <c r="CQ183" s="16">
        <f t="shared" si="314"/>
        <v>0</v>
      </c>
      <c r="CR183" s="16">
        <f t="shared" si="314"/>
        <v>0</v>
      </c>
      <c r="CS183" s="16">
        <f t="shared" si="314"/>
        <v>0</v>
      </c>
      <c r="CT183" s="16">
        <f t="shared" si="314"/>
        <v>0</v>
      </c>
      <c r="CU183" s="16">
        <f t="shared" si="314"/>
        <v>0</v>
      </c>
      <c r="CV183" s="16">
        <f t="shared" si="314"/>
        <v>0</v>
      </c>
      <c r="CW183" s="17">
        <f t="shared" si="314"/>
        <v>0</v>
      </c>
      <c r="CX183" s="40"/>
    </row>
    <row r="184" spans="1:102" ht="15.75" hidden="1" x14ac:dyDescent="0.25">
      <c r="A184" s="13" t="s">
        <v>1</v>
      </c>
      <c r="B184" s="14" t="s">
        <v>1</v>
      </c>
      <c r="C184" s="14" t="s">
        <v>19</v>
      </c>
      <c r="D184" s="30" t="s">
        <v>218</v>
      </c>
      <c r="E184" s="15">
        <f>SUM(F184+BY184+CT184)</f>
        <v>196397239</v>
      </c>
      <c r="F184" s="16">
        <f>SUM(G184+BA184)</f>
        <v>196397239</v>
      </c>
      <c r="G184" s="16">
        <f>SUM(H184+I184+J184+Q184+T184+U184+V184+AE184)</f>
        <v>0</v>
      </c>
      <c r="H184" s="16">
        <v>0</v>
      </c>
      <c r="I184" s="16">
        <v>0</v>
      </c>
      <c r="J184" s="16">
        <f t="shared" si="238"/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f t="shared" si="239"/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f>SUM(W184:AD184)</f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f>SUM(AF184:AZ184)</f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  <c r="AZ184" s="16">
        <v>0</v>
      </c>
      <c r="BA184" s="16">
        <f>SUM(BB184+BF184+BI184+BK184+BM184)</f>
        <v>196397239</v>
      </c>
      <c r="BB184" s="16">
        <f>SUM(BC184:BE184)</f>
        <v>0</v>
      </c>
      <c r="BC184" s="16">
        <v>0</v>
      </c>
      <c r="BD184" s="16">
        <v>0</v>
      </c>
      <c r="BE184" s="16">
        <v>0</v>
      </c>
      <c r="BF184" s="16">
        <f t="shared" si="240"/>
        <v>0</v>
      </c>
      <c r="BG184" s="16">
        <v>0</v>
      </c>
      <c r="BH184" s="16">
        <v>0</v>
      </c>
      <c r="BI184" s="16">
        <v>0</v>
      </c>
      <c r="BJ184" s="16">
        <v>0</v>
      </c>
      <c r="BK184" s="16">
        <f t="shared" si="241"/>
        <v>0</v>
      </c>
      <c r="BL184" s="16">
        <v>0</v>
      </c>
      <c r="BM184" s="16">
        <f t="shared" si="242"/>
        <v>196397239</v>
      </c>
      <c r="BN184" s="16">
        <v>0</v>
      </c>
      <c r="BO184" s="16">
        <v>0</v>
      </c>
      <c r="BP184" s="16">
        <v>0</v>
      </c>
      <c r="BQ184" s="16">
        <v>0</v>
      </c>
      <c r="BR184" s="16">
        <v>0</v>
      </c>
      <c r="BS184" s="16">
        <v>0</v>
      </c>
      <c r="BT184" s="16">
        <f>187167526-19798998</f>
        <v>167368528</v>
      </c>
      <c r="BU184" s="16">
        <v>0</v>
      </c>
      <c r="BV184" s="16">
        <v>0</v>
      </c>
      <c r="BW184" s="16">
        <f>30422549-1393838</f>
        <v>29028711</v>
      </c>
      <c r="BX184" s="16">
        <v>0</v>
      </c>
      <c r="BY184" s="16">
        <f>SUM(BZ184+CS184)</f>
        <v>0</v>
      </c>
      <c r="BZ184" s="16">
        <f>SUM(CA184+CD184+CK184)</f>
        <v>0</v>
      </c>
      <c r="CA184" s="16">
        <f t="shared" si="243"/>
        <v>0</v>
      </c>
      <c r="CB184" s="16">
        <v>0</v>
      </c>
      <c r="CC184" s="16">
        <v>0</v>
      </c>
      <c r="CD184" s="16">
        <f t="shared" si="244"/>
        <v>0</v>
      </c>
      <c r="CE184" s="16">
        <v>0</v>
      </c>
      <c r="CF184" s="16">
        <v>0</v>
      </c>
      <c r="CG184" s="16">
        <v>0</v>
      </c>
      <c r="CH184" s="16">
        <v>0</v>
      </c>
      <c r="CI184" s="16">
        <v>0</v>
      </c>
      <c r="CJ184" s="16">
        <v>0</v>
      </c>
      <c r="CK184" s="16">
        <f t="shared" si="245"/>
        <v>0</v>
      </c>
      <c r="CL184" s="16">
        <v>0</v>
      </c>
      <c r="CM184" s="16">
        <v>0</v>
      </c>
      <c r="CN184" s="16">
        <v>0</v>
      </c>
      <c r="CO184" s="16">
        <v>0</v>
      </c>
      <c r="CP184" s="16">
        <v>0</v>
      </c>
      <c r="CQ184" s="16">
        <v>0</v>
      </c>
      <c r="CR184" s="16">
        <v>0</v>
      </c>
      <c r="CS184" s="16">
        <v>0</v>
      </c>
      <c r="CT184" s="16">
        <f t="shared" si="246"/>
        <v>0</v>
      </c>
      <c r="CU184" s="16">
        <f t="shared" si="247"/>
        <v>0</v>
      </c>
      <c r="CV184" s="16">
        <v>0</v>
      </c>
      <c r="CW184" s="17">
        <v>0</v>
      </c>
      <c r="CX184" s="40"/>
    </row>
    <row r="185" spans="1:102" ht="15.75" hidden="1" x14ac:dyDescent="0.25">
      <c r="A185" s="13" t="s">
        <v>209</v>
      </c>
      <c r="B185" s="14" t="s">
        <v>117</v>
      </c>
      <c r="C185" s="14" t="s">
        <v>1</v>
      </c>
      <c r="D185" s="30" t="s">
        <v>219</v>
      </c>
      <c r="E185" s="15">
        <f t="shared" ref="E185:AJ185" si="315">SUM(E186)</f>
        <v>14134363</v>
      </c>
      <c r="F185" s="16">
        <f t="shared" si="315"/>
        <v>14134363</v>
      </c>
      <c r="G185" s="16">
        <f t="shared" si="315"/>
        <v>0</v>
      </c>
      <c r="H185" s="16">
        <f t="shared" si="315"/>
        <v>0</v>
      </c>
      <c r="I185" s="16">
        <f t="shared" si="315"/>
        <v>0</v>
      </c>
      <c r="J185" s="16">
        <f t="shared" si="315"/>
        <v>0</v>
      </c>
      <c r="K185" s="16">
        <f t="shared" si="315"/>
        <v>0</v>
      </c>
      <c r="L185" s="16">
        <f t="shared" si="315"/>
        <v>0</v>
      </c>
      <c r="M185" s="16">
        <f t="shared" si="315"/>
        <v>0</v>
      </c>
      <c r="N185" s="16">
        <f t="shared" si="315"/>
        <v>0</v>
      </c>
      <c r="O185" s="16">
        <f t="shared" si="315"/>
        <v>0</v>
      </c>
      <c r="P185" s="16">
        <f t="shared" si="315"/>
        <v>0</v>
      </c>
      <c r="Q185" s="16">
        <f t="shared" si="315"/>
        <v>0</v>
      </c>
      <c r="R185" s="16">
        <f t="shared" si="315"/>
        <v>0</v>
      </c>
      <c r="S185" s="16">
        <f t="shared" si="315"/>
        <v>0</v>
      </c>
      <c r="T185" s="16">
        <f t="shared" si="315"/>
        <v>0</v>
      </c>
      <c r="U185" s="16">
        <f t="shared" si="315"/>
        <v>0</v>
      </c>
      <c r="V185" s="16">
        <f t="shared" si="315"/>
        <v>0</v>
      </c>
      <c r="W185" s="16">
        <f t="shared" si="315"/>
        <v>0</v>
      </c>
      <c r="X185" s="16">
        <f t="shared" si="315"/>
        <v>0</v>
      </c>
      <c r="Y185" s="16">
        <f t="shared" si="315"/>
        <v>0</v>
      </c>
      <c r="Z185" s="16">
        <f t="shared" si="315"/>
        <v>0</v>
      </c>
      <c r="AA185" s="16">
        <f t="shared" si="315"/>
        <v>0</v>
      </c>
      <c r="AB185" s="16">
        <f t="shared" si="315"/>
        <v>0</v>
      </c>
      <c r="AC185" s="16">
        <f t="shared" si="315"/>
        <v>0</v>
      </c>
      <c r="AD185" s="16">
        <f t="shared" si="315"/>
        <v>0</v>
      </c>
      <c r="AE185" s="16">
        <f t="shared" si="315"/>
        <v>0</v>
      </c>
      <c r="AF185" s="16">
        <f t="shared" si="315"/>
        <v>0</v>
      </c>
      <c r="AG185" s="16">
        <f t="shared" si="315"/>
        <v>0</v>
      </c>
      <c r="AH185" s="16">
        <f t="shared" si="315"/>
        <v>0</v>
      </c>
      <c r="AI185" s="16">
        <f t="shared" si="315"/>
        <v>0</v>
      </c>
      <c r="AJ185" s="16">
        <f t="shared" si="315"/>
        <v>0</v>
      </c>
      <c r="AK185" s="16">
        <f t="shared" ref="AK185:BR185" si="316">SUM(AK186)</f>
        <v>0</v>
      </c>
      <c r="AL185" s="16">
        <f t="shared" si="316"/>
        <v>0</v>
      </c>
      <c r="AM185" s="16">
        <f t="shared" si="316"/>
        <v>0</v>
      </c>
      <c r="AN185" s="16">
        <f t="shared" si="316"/>
        <v>0</v>
      </c>
      <c r="AO185" s="16">
        <f t="shared" si="316"/>
        <v>0</v>
      </c>
      <c r="AP185" s="16">
        <f t="shared" si="316"/>
        <v>0</v>
      </c>
      <c r="AQ185" s="16">
        <f t="shared" si="316"/>
        <v>0</v>
      </c>
      <c r="AR185" s="16">
        <f t="shared" si="316"/>
        <v>0</v>
      </c>
      <c r="AS185" s="16">
        <f t="shared" si="316"/>
        <v>0</v>
      </c>
      <c r="AT185" s="16">
        <f t="shared" si="316"/>
        <v>0</v>
      </c>
      <c r="AU185" s="16">
        <f t="shared" si="316"/>
        <v>0</v>
      </c>
      <c r="AV185" s="16">
        <f t="shared" si="316"/>
        <v>0</v>
      </c>
      <c r="AW185" s="16">
        <f t="shared" si="316"/>
        <v>0</v>
      </c>
      <c r="AX185" s="16">
        <f t="shared" si="316"/>
        <v>0</v>
      </c>
      <c r="AY185" s="16">
        <f t="shared" si="316"/>
        <v>0</v>
      </c>
      <c r="AZ185" s="16">
        <f t="shared" si="316"/>
        <v>0</v>
      </c>
      <c r="BA185" s="16">
        <f t="shared" si="316"/>
        <v>14134363</v>
      </c>
      <c r="BB185" s="16">
        <f t="shared" si="316"/>
        <v>0</v>
      </c>
      <c r="BC185" s="16">
        <f t="shared" si="316"/>
        <v>0</v>
      </c>
      <c r="BD185" s="16">
        <f t="shared" si="316"/>
        <v>0</v>
      </c>
      <c r="BE185" s="16">
        <f t="shared" si="316"/>
        <v>0</v>
      </c>
      <c r="BF185" s="16">
        <f t="shared" si="316"/>
        <v>0</v>
      </c>
      <c r="BG185" s="16">
        <f t="shared" si="316"/>
        <v>0</v>
      </c>
      <c r="BH185" s="16">
        <f t="shared" si="316"/>
        <v>0</v>
      </c>
      <c r="BI185" s="16">
        <f t="shared" si="316"/>
        <v>0</v>
      </c>
      <c r="BJ185" s="16">
        <f t="shared" si="316"/>
        <v>0</v>
      </c>
      <c r="BK185" s="16">
        <f t="shared" si="316"/>
        <v>0</v>
      </c>
      <c r="BL185" s="16">
        <f t="shared" si="316"/>
        <v>0</v>
      </c>
      <c r="BM185" s="16">
        <f t="shared" si="316"/>
        <v>14134363</v>
      </c>
      <c r="BN185" s="16">
        <f t="shared" si="316"/>
        <v>0</v>
      </c>
      <c r="BO185" s="16">
        <f t="shared" si="316"/>
        <v>0</v>
      </c>
      <c r="BP185" s="16">
        <f t="shared" si="316"/>
        <v>0</v>
      </c>
      <c r="BQ185" s="16">
        <f t="shared" si="316"/>
        <v>14134363</v>
      </c>
      <c r="BR185" s="16">
        <f t="shared" si="316"/>
        <v>0</v>
      </c>
      <c r="BS185" s="16">
        <f t="shared" ref="BS185:CW185" si="317">SUM(BS186)</f>
        <v>0</v>
      </c>
      <c r="BT185" s="16">
        <f t="shared" si="317"/>
        <v>0</v>
      </c>
      <c r="BU185" s="16">
        <f t="shared" si="317"/>
        <v>0</v>
      </c>
      <c r="BV185" s="16">
        <f t="shared" si="317"/>
        <v>0</v>
      </c>
      <c r="BW185" s="16">
        <f t="shared" si="317"/>
        <v>0</v>
      </c>
      <c r="BX185" s="16">
        <f t="shared" si="317"/>
        <v>0</v>
      </c>
      <c r="BY185" s="16">
        <f t="shared" si="317"/>
        <v>0</v>
      </c>
      <c r="BZ185" s="16">
        <f t="shared" si="317"/>
        <v>0</v>
      </c>
      <c r="CA185" s="16">
        <f t="shared" si="317"/>
        <v>0</v>
      </c>
      <c r="CB185" s="16">
        <f t="shared" si="317"/>
        <v>0</v>
      </c>
      <c r="CC185" s="16">
        <f t="shared" si="317"/>
        <v>0</v>
      </c>
      <c r="CD185" s="16">
        <f t="shared" si="317"/>
        <v>0</v>
      </c>
      <c r="CE185" s="16">
        <f t="shared" si="317"/>
        <v>0</v>
      </c>
      <c r="CF185" s="16">
        <f t="shared" si="317"/>
        <v>0</v>
      </c>
      <c r="CG185" s="16">
        <f t="shared" si="317"/>
        <v>0</v>
      </c>
      <c r="CH185" s="16">
        <f t="shared" si="317"/>
        <v>0</v>
      </c>
      <c r="CI185" s="16">
        <f t="shared" si="317"/>
        <v>0</v>
      </c>
      <c r="CJ185" s="16">
        <f t="shared" si="317"/>
        <v>0</v>
      </c>
      <c r="CK185" s="16">
        <f t="shared" si="317"/>
        <v>0</v>
      </c>
      <c r="CL185" s="16">
        <f t="shared" si="317"/>
        <v>0</v>
      </c>
      <c r="CM185" s="16">
        <f t="shared" si="317"/>
        <v>0</v>
      </c>
      <c r="CN185" s="16">
        <f t="shared" si="317"/>
        <v>0</v>
      </c>
      <c r="CO185" s="16">
        <f t="shared" si="317"/>
        <v>0</v>
      </c>
      <c r="CP185" s="16">
        <f t="shared" si="317"/>
        <v>0</v>
      </c>
      <c r="CQ185" s="16">
        <f t="shared" si="317"/>
        <v>0</v>
      </c>
      <c r="CR185" s="16">
        <f t="shared" si="317"/>
        <v>0</v>
      </c>
      <c r="CS185" s="16">
        <f t="shared" si="317"/>
        <v>0</v>
      </c>
      <c r="CT185" s="16">
        <f t="shared" si="317"/>
        <v>0</v>
      </c>
      <c r="CU185" s="16">
        <f t="shared" si="317"/>
        <v>0</v>
      </c>
      <c r="CV185" s="16">
        <f t="shared" si="317"/>
        <v>0</v>
      </c>
      <c r="CW185" s="17">
        <f t="shared" si="317"/>
        <v>0</v>
      </c>
      <c r="CX185" s="40"/>
    </row>
    <row r="186" spans="1:102" ht="15.75" hidden="1" x14ac:dyDescent="0.25">
      <c r="A186" s="13" t="s">
        <v>1</v>
      </c>
      <c r="B186" s="14" t="s">
        <v>1</v>
      </c>
      <c r="C186" s="14" t="s">
        <v>43</v>
      </c>
      <c r="D186" s="30" t="s">
        <v>220</v>
      </c>
      <c r="E186" s="15">
        <f>SUM(F186+BY186+CT186)</f>
        <v>14134363</v>
      </c>
      <c r="F186" s="16">
        <f>SUM(G186+BA186)</f>
        <v>14134363</v>
      </c>
      <c r="G186" s="16">
        <f>SUM(H186+I186+J186+Q186+T186+U186+V186+AE186)</f>
        <v>0</v>
      </c>
      <c r="H186" s="16">
        <v>0</v>
      </c>
      <c r="I186" s="16">
        <v>0</v>
      </c>
      <c r="J186" s="16">
        <f t="shared" si="238"/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f t="shared" si="239"/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f>SUM(W186:AD186)</f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f>SUM(AF186:AZ186)</f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6">
        <v>0</v>
      </c>
      <c r="AW186" s="16">
        <v>0</v>
      </c>
      <c r="AX186" s="16">
        <v>0</v>
      </c>
      <c r="AY186" s="16">
        <v>0</v>
      </c>
      <c r="AZ186" s="16">
        <v>0</v>
      </c>
      <c r="BA186" s="16">
        <f>SUM(BB186+BF186+BI186+BK186+BM186)</f>
        <v>14134363</v>
      </c>
      <c r="BB186" s="16">
        <f>SUM(BC186:BE186)</f>
        <v>0</v>
      </c>
      <c r="BC186" s="16">
        <v>0</v>
      </c>
      <c r="BD186" s="16">
        <v>0</v>
      </c>
      <c r="BE186" s="16">
        <v>0</v>
      </c>
      <c r="BF186" s="16">
        <f t="shared" si="240"/>
        <v>0</v>
      </c>
      <c r="BG186" s="16">
        <v>0</v>
      </c>
      <c r="BH186" s="16">
        <v>0</v>
      </c>
      <c r="BI186" s="16">
        <v>0</v>
      </c>
      <c r="BJ186" s="16">
        <v>0</v>
      </c>
      <c r="BK186" s="16">
        <f t="shared" si="241"/>
        <v>0</v>
      </c>
      <c r="BL186" s="16">
        <v>0</v>
      </c>
      <c r="BM186" s="16">
        <f t="shared" si="242"/>
        <v>14134363</v>
      </c>
      <c r="BN186" s="16">
        <v>0</v>
      </c>
      <c r="BO186" s="16">
        <v>0</v>
      </c>
      <c r="BP186" s="16">
        <v>0</v>
      </c>
      <c r="BQ186" s="16">
        <v>14134363</v>
      </c>
      <c r="BR186" s="16">
        <v>0</v>
      </c>
      <c r="BS186" s="16">
        <v>0</v>
      </c>
      <c r="BT186" s="16">
        <v>0</v>
      </c>
      <c r="BU186" s="16">
        <v>0</v>
      </c>
      <c r="BV186" s="16">
        <v>0</v>
      </c>
      <c r="BW186" s="16">
        <v>0</v>
      </c>
      <c r="BX186" s="16">
        <v>0</v>
      </c>
      <c r="BY186" s="16">
        <f>SUM(BZ186+CS186)</f>
        <v>0</v>
      </c>
      <c r="BZ186" s="16">
        <f>SUM(CA186+CD186+CK186)</f>
        <v>0</v>
      </c>
      <c r="CA186" s="16">
        <f t="shared" si="243"/>
        <v>0</v>
      </c>
      <c r="CB186" s="16">
        <v>0</v>
      </c>
      <c r="CC186" s="16">
        <v>0</v>
      </c>
      <c r="CD186" s="16">
        <f t="shared" si="244"/>
        <v>0</v>
      </c>
      <c r="CE186" s="16">
        <v>0</v>
      </c>
      <c r="CF186" s="16">
        <v>0</v>
      </c>
      <c r="CG186" s="16">
        <v>0</v>
      </c>
      <c r="CH186" s="16">
        <v>0</v>
      </c>
      <c r="CI186" s="16">
        <v>0</v>
      </c>
      <c r="CJ186" s="16">
        <v>0</v>
      </c>
      <c r="CK186" s="16">
        <f t="shared" si="245"/>
        <v>0</v>
      </c>
      <c r="CL186" s="16">
        <v>0</v>
      </c>
      <c r="CM186" s="16">
        <v>0</v>
      </c>
      <c r="CN186" s="16">
        <v>0</v>
      </c>
      <c r="CO186" s="16">
        <v>0</v>
      </c>
      <c r="CP186" s="16">
        <v>0</v>
      </c>
      <c r="CQ186" s="16">
        <v>0</v>
      </c>
      <c r="CR186" s="16">
        <v>0</v>
      </c>
      <c r="CS186" s="16">
        <v>0</v>
      </c>
      <c r="CT186" s="16">
        <f t="shared" si="246"/>
        <v>0</v>
      </c>
      <c r="CU186" s="16">
        <f t="shared" si="247"/>
        <v>0</v>
      </c>
      <c r="CV186" s="16">
        <v>0</v>
      </c>
      <c r="CW186" s="17">
        <v>0</v>
      </c>
      <c r="CX186" s="40"/>
    </row>
    <row r="187" spans="1:102" ht="31.5" hidden="1" x14ac:dyDescent="0.25">
      <c r="A187" s="13" t="s">
        <v>209</v>
      </c>
      <c r="B187" s="14" t="s">
        <v>100</v>
      </c>
      <c r="C187" s="14" t="s">
        <v>1</v>
      </c>
      <c r="D187" s="30" t="s">
        <v>221</v>
      </c>
      <c r="E187" s="15">
        <f t="shared" ref="E187:AJ187" si="318">SUM(E188)</f>
        <v>100000</v>
      </c>
      <c r="F187" s="16">
        <f t="shared" si="318"/>
        <v>100000</v>
      </c>
      <c r="G187" s="16">
        <f t="shared" si="318"/>
        <v>0</v>
      </c>
      <c r="H187" s="16">
        <f t="shared" si="318"/>
        <v>0</v>
      </c>
      <c r="I187" s="16">
        <f t="shared" si="318"/>
        <v>0</v>
      </c>
      <c r="J187" s="16">
        <f t="shared" si="318"/>
        <v>0</v>
      </c>
      <c r="K187" s="16">
        <f t="shared" si="318"/>
        <v>0</v>
      </c>
      <c r="L187" s="16">
        <f t="shared" si="318"/>
        <v>0</v>
      </c>
      <c r="M187" s="16">
        <f t="shared" si="318"/>
        <v>0</v>
      </c>
      <c r="N187" s="16">
        <f t="shared" si="318"/>
        <v>0</v>
      </c>
      <c r="O187" s="16">
        <f t="shared" si="318"/>
        <v>0</v>
      </c>
      <c r="P187" s="16">
        <f t="shared" si="318"/>
        <v>0</v>
      </c>
      <c r="Q187" s="16">
        <f t="shared" si="318"/>
        <v>0</v>
      </c>
      <c r="R187" s="16">
        <f t="shared" si="318"/>
        <v>0</v>
      </c>
      <c r="S187" s="16">
        <f t="shared" si="318"/>
        <v>0</v>
      </c>
      <c r="T187" s="16">
        <f t="shared" si="318"/>
        <v>0</v>
      </c>
      <c r="U187" s="16">
        <f t="shared" si="318"/>
        <v>0</v>
      </c>
      <c r="V187" s="16">
        <f t="shared" si="318"/>
        <v>0</v>
      </c>
      <c r="W187" s="16">
        <f t="shared" si="318"/>
        <v>0</v>
      </c>
      <c r="X187" s="16">
        <f t="shared" si="318"/>
        <v>0</v>
      </c>
      <c r="Y187" s="16">
        <f t="shared" si="318"/>
        <v>0</v>
      </c>
      <c r="Z187" s="16">
        <f t="shared" si="318"/>
        <v>0</v>
      </c>
      <c r="AA187" s="16">
        <f t="shared" si="318"/>
        <v>0</v>
      </c>
      <c r="AB187" s="16">
        <f t="shared" si="318"/>
        <v>0</v>
      </c>
      <c r="AC187" s="16">
        <f t="shared" si="318"/>
        <v>0</v>
      </c>
      <c r="AD187" s="16">
        <f t="shared" si="318"/>
        <v>0</v>
      </c>
      <c r="AE187" s="16">
        <f t="shared" si="318"/>
        <v>0</v>
      </c>
      <c r="AF187" s="16">
        <f t="shared" si="318"/>
        <v>0</v>
      </c>
      <c r="AG187" s="16">
        <f t="shared" si="318"/>
        <v>0</v>
      </c>
      <c r="AH187" s="16">
        <f t="shared" si="318"/>
        <v>0</v>
      </c>
      <c r="AI187" s="16">
        <f t="shared" si="318"/>
        <v>0</v>
      </c>
      <c r="AJ187" s="16">
        <f t="shared" si="318"/>
        <v>0</v>
      </c>
      <c r="AK187" s="16">
        <f t="shared" ref="AK187:BR187" si="319">SUM(AK188)</f>
        <v>0</v>
      </c>
      <c r="AL187" s="16">
        <f t="shared" si="319"/>
        <v>0</v>
      </c>
      <c r="AM187" s="16">
        <f t="shared" si="319"/>
        <v>0</v>
      </c>
      <c r="AN187" s="16">
        <f t="shared" si="319"/>
        <v>0</v>
      </c>
      <c r="AO187" s="16">
        <f t="shared" si="319"/>
        <v>0</v>
      </c>
      <c r="AP187" s="16">
        <f t="shared" si="319"/>
        <v>0</v>
      </c>
      <c r="AQ187" s="16">
        <f t="shared" si="319"/>
        <v>0</v>
      </c>
      <c r="AR187" s="16">
        <f t="shared" si="319"/>
        <v>0</v>
      </c>
      <c r="AS187" s="16">
        <f t="shared" si="319"/>
        <v>0</v>
      </c>
      <c r="AT187" s="16">
        <f t="shared" si="319"/>
        <v>0</v>
      </c>
      <c r="AU187" s="16">
        <f t="shared" si="319"/>
        <v>0</v>
      </c>
      <c r="AV187" s="16">
        <f t="shared" si="319"/>
        <v>0</v>
      </c>
      <c r="AW187" s="16">
        <f t="shared" si="319"/>
        <v>0</v>
      </c>
      <c r="AX187" s="16">
        <f t="shared" si="319"/>
        <v>0</v>
      </c>
      <c r="AY187" s="16">
        <f t="shared" si="319"/>
        <v>0</v>
      </c>
      <c r="AZ187" s="16">
        <f t="shared" si="319"/>
        <v>0</v>
      </c>
      <c r="BA187" s="16">
        <f t="shared" si="319"/>
        <v>100000</v>
      </c>
      <c r="BB187" s="16">
        <f t="shared" si="319"/>
        <v>0</v>
      </c>
      <c r="BC187" s="16">
        <f t="shared" si="319"/>
        <v>0</v>
      </c>
      <c r="BD187" s="16">
        <f t="shared" si="319"/>
        <v>0</v>
      </c>
      <c r="BE187" s="16">
        <f t="shared" si="319"/>
        <v>0</v>
      </c>
      <c r="BF187" s="16">
        <f t="shared" si="319"/>
        <v>0</v>
      </c>
      <c r="BG187" s="16">
        <f t="shared" si="319"/>
        <v>0</v>
      </c>
      <c r="BH187" s="16">
        <f t="shared" si="319"/>
        <v>0</v>
      </c>
      <c r="BI187" s="16">
        <f t="shared" si="319"/>
        <v>0</v>
      </c>
      <c r="BJ187" s="16">
        <f t="shared" si="319"/>
        <v>0</v>
      </c>
      <c r="BK187" s="16">
        <f t="shared" si="319"/>
        <v>0</v>
      </c>
      <c r="BL187" s="16">
        <f t="shared" si="319"/>
        <v>0</v>
      </c>
      <c r="BM187" s="16">
        <f t="shared" si="319"/>
        <v>100000</v>
      </c>
      <c r="BN187" s="16">
        <f t="shared" si="319"/>
        <v>0</v>
      </c>
      <c r="BO187" s="16">
        <f t="shared" si="319"/>
        <v>0</v>
      </c>
      <c r="BP187" s="16">
        <f t="shared" si="319"/>
        <v>0</v>
      </c>
      <c r="BQ187" s="16">
        <f t="shared" si="319"/>
        <v>0</v>
      </c>
      <c r="BR187" s="16">
        <f t="shared" si="319"/>
        <v>100000</v>
      </c>
      <c r="BS187" s="16">
        <f t="shared" ref="BS187:CW187" si="320">SUM(BS188)</f>
        <v>0</v>
      </c>
      <c r="BT187" s="16">
        <f t="shared" si="320"/>
        <v>0</v>
      </c>
      <c r="BU187" s="16">
        <f t="shared" si="320"/>
        <v>0</v>
      </c>
      <c r="BV187" s="16">
        <f t="shared" si="320"/>
        <v>0</v>
      </c>
      <c r="BW187" s="16">
        <f t="shared" si="320"/>
        <v>0</v>
      </c>
      <c r="BX187" s="16">
        <f t="shared" si="320"/>
        <v>0</v>
      </c>
      <c r="BY187" s="16">
        <f t="shared" si="320"/>
        <v>0</v>
      </c>
      <c r="BZ187" s="16">
        <f t="shared" si="320"/>
        <v>0</v>
      </c>
      <c r="CA187" s="16">
        <f t="shared" si="320"/>
        <v>0</v>
      </c>
      <c r="CB187" s="16">
        <f t="shared" si="320"/>
        <v>0</v>
      </c>
      <c r="CC187" s="16">
        <f t="shared" si="320"/>
        <v>0</v>
      </c>
      <c r="CD187" s="16">
        <f t="shared" si="320"/>
        <v>0</v>
      </c>
      <c r="CE187" s="16">
        <f t="shared" si="320"/>
        <v>0</v>
      </c>
      <c r="CF187" s="16">
        <f t="shared" si="320"/>
        <v>0</v>
      </c>
      <c r="CG187" s="16">
        <f t="shared" si="320"/>
        <v>0</v>
      </c>
      <c r="CH187" s="16">
        <f t="shared" si="320"/>
        <v>0</v>
      </c>
      <c r="CI187" s="16">
        <f t="shared" si="320"/>
        <v>0</v>
      </c>
      <c r="CJ187" s="16">
        <f t="shared" si="320"/>
        <v>0</v>
      </c>
      <c r="CK187" s="16">
        <f t="shared" si="320"/>
        <v>0</v>
      </c>
      <c r="CL187" s="16">
        <f t="shared" si="320"/>
        <v>0</v>
      </c>
      <c r="CM187" s="16">
        <f t="shared" si="320"/>
        <v>0</v>
      </c>
      <c r="CN187" s="16">
        <f t="shared" si="320"/>
        <v>0</v>
      </c>
      <c r="CO187" s="16">
        <f t="shared" si="320"/>
        <v>0</v>
      </c>
      <c r="CP187" s="16">
        <f t="shared" si="320"/>
        <v>0</v>
      </c>
      <c r="CQ187" s="16">
        <f t="shared" si="320"/>
        <v>0</v>
      </c>
      <c r="CR187" s="16">
        <f t="shared" si="320"/>
        <v>0</v>
      </c>
      <c r="CS187" s="16">
        <f t="shared" si="320"/>
        <v>0</v>
      </c>
      <c r="CT187" s="16">
        <f t="shared" si="320"/>
        <v>0</v>
      </c>
      <c r="CU187" s="16">
        <f t="shared" si="320"/>
        <v>0</v>
      </c>
      <c r="CV187" s="16">
        <f t="shared" si="320"/>
        <v>0</v>
      </c>
      <c r="CW187" s="17">
        <f t="shared" si="320"/>
        <v>0</v>
      </c>
      <c r="CX187" s="40"/>
    </row>
    <row r="188" spans="1:102" ht="15.75" hidden="1" x14ac:dyDescent="0.25">
      <c r="A188" s="13" t="s">
        <v>1</v>
      </c>
      <c r="B188" s="14" t="s">
        <v>1</v>
      </c>
      <c r="C188" s="14" t="s">
        <v>43</v>
      </c>
      <c r="D188" s="30" t="s">
        <v>222</v>
      </c>
      <c r="E188" s="15">
        <f>SUM(F188+BY188+CT188)</f>
        <v>100000</v>
      </c>
      <c r="F188" s="16">
        <f>SUM(G188+BA188)</f>
        <v>100000</v>
      </c>
      <c r="G188" s="16">
        <f>SUM(H188+I188+J188+Q188+T188+U188+V188+AE188)</f>
        <v>0</v>
      </c>
      <c r="H188" s="16">
        <v>0</v>
      </c>
      <c r="I188" s="16">
        <v>0</v>
      </c>
      <c r="J188" s="16">
        <f t="shared" si="238"/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f t="shared" si="239"/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f>SUM(W188:AD188)</f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f>SUM(AF188:AZ188)</f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  <c r="AT188" s="16">
        <v>0</v>
      </c>
      <c r="AU188" s="16">
        <v>0</v>
      </c>
      <c r="AV188" s="16">
        <v>0</v>
      </c>
      <c r="AW188" s="16">
        <v>0</v>
      </c>
      <c r="AX188" s="16">
        <v>0</v>
      </c>
      <c r="AY188" s="16">
        <v>0</v>
      </c>
      <c r="AZ188" s="16">
        <v>0</v>
      </c>
      <c r="BA188" s="16">
        <f>SUM(BB188+BF188+BI188+BK188+BM188)</f>
        <v>100000</v>
      </c>
      <c r="BB188" s="16">
        <f>SUM(BC188:BE188)</f>
        <v>0</v>
      </c>
      <c r="BC188" s="16">
        <v>0</v>
      </c>
      <c r="BD188" s="16">
        <v>0</v>
      </c>
      <c r="BE188" s="16">
        <v>0</v>
      </c>
      <c r="BF188" s="16">
        <f t="shared" si="240"/>
        <v>0</v>
      </c>
      <c r="BG188" s="16">
        <v>0</v>
      </c>
      <c r="BH188" s="16">
        <v>0</v>
      </c>
      <c r="BI188" s="16">
        <v>0</v>
      </c>
      <c r="BJ188" s="16">
        <v>0</v>
      </c>
      <c r="BK188" s="16">
        <f t="shared" si="241"/>
        <v>0</v>
      </c>
      <c r="BL188" s="16">
        <v>0</v>
      </c>
      <c r="BM188" s="16">
        <f t="shared" si="242"/>
        <v>100000</v>
      </c>
      <c r="BN188" s="16">
        <v>0</v>
      </c>
      <c r="BO188" s="16">
        <v>0</v>
      </c>
      <c r="BP188" s="16">
        <v>0</v>
      </c>
      <c r="BQ188" s="16">
        <v>0</v>
      </c>
      <c r="BR188" s="16">
        <v>100000</v>
      </c>
      <c r="BS188" s="16">
        <v>0</v>
      </c>
      <c r="BT188" s="16">
        <v>0</v>
      </c>
      <c r="BU188" s="16">
        <v>0</v>
      </c>
      <c r="BV188" s="16">
        <v>0</v>
      </c>
      <c r="BW188" s="16">
        <v>0</v>
      </c>
      <c r="BX188" s="16">
        <v>0</v>
      </c>
      <c r="BY188" s="16">
        <f>SUM(BZ188+CS188)</f>
        <v>0</v>
      </c>
      <c r="BZ188" s="16">
        <f>SUM(CA188+CD188+CK188)</f>
        <v>0</v>
      </c>
      <c r="CA188" s="16">
        <f t="shared" si="243"/>
        <v>0</v>
      </c>
      <c r="CB188" s="16">
        <v>0</v>
      </c>
      <c r="CC188" s="16">
        <v>0</v>
      </c>
      <c r="CD188" s="16">
        <f t="shared" si="244"/>
        <v>0</v>
      </c>
      <c r="CE188" s="16">
        <v>0</v>
      </c>
      <c r="CF188" s="16">
        <v>0</v>
      </c>
      <c r="CG188" s="16">
        <v>0</v>
      </c>
      <c r="CH188" s="16">
        <v>0</v>
      </c>
      <c r="CI188" s="16">
        <v>0</v>
      </c>
      <c r="CJ188" s="16">
        <v>0</v>
      </c>
      <c r="CK188" s="16">
        <f t="shared" si="245"/>
        <v>0</v>
      </c>
      <c r="CL188" s="16">
        <v>0</v>
      </c>
      <c r="CM188" s="16">
        <v>0</v>
      </c>
      <c r="CN188" s="16">
        <v>0</v>
      </c>
      <c r="CO188" s="16">
        <v>0</v>
      </c>
      <c r="CP188" s="16">
        <v>0</v>
      </c>
      <c r="CQ188" s="16">
        <v>0</v>
      </c>
      <c r="CR188" s="16">
        <v>0</v>
      </c>
      <c r="CS188" s="16">
        <v>0</v>
      </c>
      <c r="CT188" s="16">
        <f t="shared" si="246"/>
        <v>0</v>
      </c>
      <c r="CU188" s="16">
        <f t="shared" si="247"/>
        <v>0</v>
      </c>
      <c r="CV188" s="16">
        <v>0</v>
      </c>
      <c r="CW188" s="17">
        <v>0</v>
      </c>
      <c r="CX188" s="40"/>
    </row>
    <row r="189" spans="1:102" ht="31.5" hidden="1" x14ac:dyDescent="0.25">
      <c r="A189" s="13" t="s">
        <v>209</v>
      </c>
      <c r="B189" s="14" t="s">
        <v>107</v>
      </c>
      <c r="C189" s="14" t="s">
        <v>1</v>
      </c>
      <c r="D189" s="30" t="s">
        <v>223</v>
      </c>
      <c r="E189" s="15">
        <f t="shared" ref="E189:AJ189" si="321">SUM(E190)</f>
        <v>4583424</v>
      </c>
      <c r="F189" s="16">
        <f t="shared" si="321"/>
        <v>4583424</v>
      </c>
      <c r="G189" s="16">
        <f t="shared" si="321"/>
        <v>0</v>
      </c>
      <c r="H189" s="16">
        <f t="shared" si="321"/>
        <v>0</v>
      </c>
      <c r="I189" s="16">
        <f t="shared" si="321"/>
        <v>0</v>
      </c>
      <c r="J189" s="16">
        <f t="shared" si="321"/>
        <v>0</v>
      </c>
      <c r="K189" s="16">
        <f t="shared" si="321"/>
        <v>0</v>
      </c>
      <c r="L189" s="16">
        <f t="shared" si="321"/>
        <v>0</v>
      </c>
      <c r="M189" s="16">
        <f t="shared" si="321"/>
        <v>0</v>
      </c>
      <c r="N189" s="16">
        <f t="shared" si="321"/>
        <v>0</v>
      </c>
      <c r="O189" s="16">
        <f t="shared" si="321"/>
        <v>0</v>
      </c>
      <c r="P189" s="16">
        <f t="shared" si="321"/>
        <v>0</v>
      </c>
      <c r="Q189" s="16">
        <f t="shared" si="321"/>
        <v>0</v>
      </c>
      <c r="R189" s="16">
        <f t="shared" si="321"/>
        <v>0</v>
      </c>
      <c r="S189" s="16">
        <f t="shared" si="321"/>
        <v>0</v>
      </c>
      <c r="T189" s="16">
        <f t="shared" si="321"/>
        <v>0</v>
      </c>
      <c r="U189" s="16">
        <f t="shared" si="321"/>
        <v>0</v>
      </c>
      <c r="V189" s="16">
        <f t="shared" si="321"/>
        <v>0</v>
      </c>
      <c r="W189" s="16">
        <f t="shared" si="321"/>
        <v>0</v>
      </c>
      <c r="X189" s="16">
        <f t="shared" si="321"/>
        <v>0</v>
      </c>
      <c r="Y189" s="16">
        <f t="shared" si="321"/>
        <v>0</v>
      </c>
      <c r="Z189" s="16">
        <f t="shared" si="321"/>
        <v>0</v>
      </c>
      <c r="AA189" s="16">
        <f t="shared" si="321"/>
        <v>0</v>
      </c>
      <c r="AB189" s="16">
        <f t="shared" si="321"/>
        <v>0</v>
      </c>
      <c r="AC189" s="16">
        <f t="shared" si="321"/>
        <v>0</v>
      </c>
      <c r="AD189" s="16">
        <f t="shared" si="321"/>
        <v>0</v>
      </c>
      <c r="AE189" s="16">
        <f t="shared" si="321"/>
        <v>0</v>
      </c>
      <c r="AF189" s="16">
        <f t="shared" si="321"/>
        <v>0</v>
      </c>
      <c r="AG189" s="16">
        <f t="shared" si="321"/>
        <v>0</v>
      </c>
      <c r="AH189" s="16">
        <f t="shared" si="321"/>
        <v>0</v>
      </c>
      <c r="AI189" s="16">
        <f t="shared" si="321"/>
        <v>0</v>
      </c>
      <c r="AJ189" s="16">
        <f t="shared" si="321"/>
        <v>0</v>
      </c>
      <c r="AK189" s="16">
        <f t="shared" ref="AK189:BR189" si="322">SUM(AK190)</f>
        <v>0</v>
      </c>
      <c r="AL189" s="16">
        <f t="shared" si="322"/>
        <v>0</v>
      </c>
      <c r="AM189" s="16">
        <f t="shared" si="322"/>
        <v>0</v>
      </c>
      <c r="AN189" s="16">
        <f t="shared" si="322"/>
        <v>0</v>
      </c>
      <c r="AO189" s="16">
        <f t="shared" si="322"/>
        <v>0</v>
      </c>
      <c r="AP189" s="16">
        <f t="shared" si="322"/>
        <v>0</v>
      </c>
      <c r="AQ189" s="16">
        <f t="shared" si="322"/>
        <v>0</v>
      </c>
      <c r="AR189" s="16">
        <f t="shared" si="322"/>
        <v>0</v>
      </c>
      <c r="AS189" s="16">
        <f t="shared" si="322"/>
        <v>0</v>
      </c>
      <c r="AT189" s="16">
        <f t="shared" si="322"/>
        <v>0</v>
      </c>
      <c r="AU189" s="16">
        <f t="shared" si="322"/>
        <v>0</v>
      </c>
      <c r="AV189" s="16">
        <f t="shared" si="322"/>
        <v>0</v>
      </c>
      <c r="AW189" s="16">
        <f t="shared" si="322"/>
        <v>0</v>
      </c>
      <c r="AX189" s="16">
        <f t="shared" si="322"/>
        <v>0</v>
      </c>
      <c r="AY189" s="16">
        <f t="shared" si="322"/>
        <v>0</v>
      </c>
      <c r="AZ189" s="16">
        <f t="shared" si="322"/>
        <v>0</v>
      </c>
      <c r="BA189" s="16">
        <f t="shared" si="322"/>
        <v>4583424</v>
      </c>
      <c r="BB189" s="16">
        <f t="shared" si="322"/>
        <v>0</v>
      </c>
      <c r="BC189" s="16">
        <f t="shared" si="322"/>
        <v>0</v>
      </c>
      <c r="BD189" s="16">
        <f t="shared" si="322"/>
        <v>0</v>
      </c>
      <c r="BE189" s="16">
        <f t="shared" si="322"/>
        <v>0</v>
      </c>
      <c r="BF189" s="16">
        <f t="shared" si="322"/>
        <v>0</v>
      </c>
      <c r="BG189" s="16">
        <f t="shared" si="322"/>
        <v>0</v>
      </c>
      <c r="BH189" s="16">
        <f t="shared" si="322"/>
        <v>0</v>
      </c>
      <c r="BI189" s="16">
        <f t="shared" si="322"/>
        <v>0</v>
      </c>
      <c r="BJ189" s="16">
        <f t="shared" si="322"/>
        <v>0</v>
      </c>
      <c r="BK189" s="16">
        <f t="shared" si="322"/>
        <v>0</v>
      </c>
      <c r="BL189" s="16">
        <f t="shared" si="322"/>
        <v>0</v>
      </c>
      <c r="BM189" s="16">
        <f t="shared" si="322"/>
        <v>4583424</v>
      </c>
      <c r="BN189" s="16">
        <f t="shared" si="322"/>
        <v>0</v>
      </c>
      <c r="BO189" s="16">
        <f t="shared" si="322"/>
        <v>4583424</v>
      </c>
      <c r="BP189" s="16">
        <f t="shared" si="322"/>
        <v>0</v>
      </c>
      <c r="BQ189" s="16">
        <f t="shared" si="322"/>
        <v>0</v>
      </c>
      <c r="BR189" s="16">
        <f t="shared" si="322"/>
        <v>0</v>
      </c>
      <c r="BS189" s="16">
        <f t="shared" ref="BS189:CW189" si="323">SUM(BS190)</f>
        <v>0</v>
      </c>
      <c r="BT189" s="16">
        <f t="shared" si="323"/>
        <v>0</v>
      </c>
      <c r="BU189" s="16">
        <f t="shared" si="323"/>
        <v>0</v>
      </c>
      <c r="BV189" s="16">
        <f t="shared" si="323"/>
        <v>0</v>
      </c>
      <c r="BW189" s="16">
        <f t="shared" si="323"/>
        <v>0</v>
      </c>
      <c r="BX189" s="16">
        <f t="shared" si="323"/>
        <v>0</v>
      </c>
      <c r="BY189" s="16">
        <f t="shared" si="323"/>
        <v>0</v>
      </c>
      <c r="BZ189" s="16">
        <f t="shared" si="323"/>
        <v>0</v>
      </c>
      <c r="CA189" s="16">
        <f t="shared" si="323"/>
        <v>0</v>
      </c>
      <c r="CB189" s="16">
        <f t="shared" si="323"/>
        <v>0</v>
      </c>
      <c r="CC189" s="16">
        <f t="shared" si="323"/>
        <v>0</v>
      </c>
      <c r="CD189" s="16">
        <f t="shared" si="323"/>
        <v>0</v>
      </c>
      <c r="CE189" s="16">
        <f t="shared" si="323"/>
        <v>0</v>
      </c>
      <c r="CF189" s="16">
        <f t="shared" si="323"/>
        <v>0</v>
      </c>
      <c r="CG189" s="16">
        <f t="shared" si="323"/>
        <v>0</v>
      </c>
      <c r="CH189" s="16">
        <f t="shared" si="323"/>
        <v>0</v>
      </c>
      <c r="CI189" s="16">
        <f t="shared" si="323"/>
        <v>0</v>
      </c>
      <c r="CJ189" s="16">
        <f t="shared" si="323"/>
        <v>0</v>
      </c>
      <c r="CK189" s="16">
        <f t="shared" si="323"/>
        <v>0</v>
      </c>
      <c r="CL189" s="16">
        <f t="shared" si="323"/>
        <v>0</v>
      </c>
      <c r="CM189" s="16">
        <f t="shared" si="323"/>
        <v>0</v>
      </c>
      <c r="CN189" s="16">
        <f t="shared" si="323"/>
        <v>0</v>
      </c>
      <c r="CO189" s="16">
        <f t="shared" si="323"/>
        <v>0</v>
      </c>
      <c r="CP189" s="16">
        <f t="shared" si="323"/>
        <v>0</v>
      </c>
      <c r="CQ189" s="16">
        <f t="shared" si="323"/>
        <v>0</v>
      </c>
      <c r="CR189" s="16">
        <f t="shared" si="323"/>
        <v>0</v>
      </c>
      <c r="CS189" s="16">
        <f t="shared" si="323"/>
        <v>0</v>
      </c>
      <c r="CT189" s="16">
        <f t="shared" si="323"/>
        <v>0</v>
      </c>
      <c r="CU189" s="16">
        <f t="shared" si="323"/>
        <v>0</v>
      </c>
      <c r="CV189" s="16">
        <f t="shared" si="323"/>
        <v>0</v>
      </c>
      <c r="CW189" s="17">
        <f t="shared" si="323"/>
        <v>0</v>
      </c>
      <c r="CX189" s="40"/>
    </row>
    <row r="190" spans="1:102" ht="15.75" hidden="1" x14ac:dyDescent="0.25">
      <c r="A190" s="13" t="s">
        <v>1</v>
      </c>
      <c r="B190" s="14" t="s">
        <v>1</v>
      </c>
      <c r="C190" s="14" t="s">
        <v>19</v>
      </c>
      <c r="D190" s="30" t="s">
        <v>224</v>
      </c>
      <c r="E190" s="15">
        <f>SUM(F190+BY190+CT190)</f>
        <v>4583424</v>
      </c>
      <c r="F190" s="16">
        <f>SUM(G190+BA190)</f>
        <v>4583424</v>
      </c>
      <c r="G190" s="16">
        <f>SUM(H190+I190+J190+Q190+T190+U190+V190+AE190)</f>
        <v>0</v>
      </c>
      <c r="H190" s="16">
        <v>0</v>
      </c>
      <c r="I190" s="16">
        <v>0</v>
      </c>
      <c r="J190" s="16">
        <f t="shared" si="238"/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f t="shared" si="239"/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f>SUM(W190:AD190)</f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f>SUM(AF190:AZ190)</f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16">
        <v>0</v>
      </c>
      <c r="AU190" s="16">
        <v>0</v>
      </c>
      <c r="AV190" s="16">
        <v>0</v>
      </c>
      <c r="AW190" s="16">
        <v>0</v>
      </c>
      <c r="AX190" s="16">
        <v>0</v>
      </c>
      <c r="AY190" s="16">
        <v>0</v>
      </c>
      <c r="AZ190" s="16">
        <v>0</v>
      </c>
      <c r="BA190" s="16">
        <f>SUM(BB190+BF190+BI190+BK190+BM190)</f>
        <v>4583424</v>
      </c>
      <c r="BB190" s="16">
        <f>SUM(BC190:BE190)</f>
        <v>0</v>
      </c>
      <c r="BC190" s="16">
        <v>0</v>
      </c>
      <c r="BD190" s="16">
        <v>0</v>
      </c>
      <c r="BE190" s="16">
        <v>0</v>
      </c>
      <c r="BF190" s="16">
        <f t="shared" si="240"/>
        <v>0</v>
      </c>
      <c r="BG190" s="16">
        <v>0</v>
      </c>
      <c r="BH190" s="16">
        <v>0</v>
      </c>
      <c r="BI190" s="16">
        <v>0</v>
      </c>
      <c r="BJ190" s="16">
        <v>0</v>
      </c>
      <c r="BK190" s="16">
        <f t="shared" si="241"/>
        <v>0</v>
      </c>
      <c r="BL190" s="16">
        <v>0</v>
      </c>
      <c r="BM190" s="16">
        <f t="shared" si="242"/>
        <v>4583424</v>
      </c>
      <c r="BN190" s="16">
        <v>0</v>
      </c>
      <c r="BO190" s="16">
        <v>4583424</v>
      </c>
      <c r="BP190" s="16">
        <v>0</v>
      </c>
      <c r="BQ190" s="16">
        <v>0</v>
      </c>
      <c r="BR190" s="16">
        <v>0</v>
      </c>
      <c r="BS190" s="16">
        <v>0</v>
      </c>
      <c r="BT190" s="16">
        <v>0</v>
      </c>
      <c r="BU190" s="16">
        <v>0</v>
      </c>
      <c r="BV190" s="16">
        <v>0</v>
      </c>
      <c r="BW190" s="16">
        <v>0</v>
      </c>
      <c r="BX190" s="16">
        <v>0</v>
      </c>
      <c r="BY190" s="16">
        <f>SUM(BZ190+CS190)</f>
        <v>0</v>
      </c>
      <c r="BZ190" s="16">
        <f>SUM(CA190+CD190+CK190)</f>
        <v>0</v>
      </c>
      <c r="CA190" s="16">
        <f t="shared" si="243"/>
        <v>0</v>
      </c>
      <c r="CB190" s="16">
        <v>0</v>
      </c>
      <c r="CC190" s="16">
        <v>0</v>
      </c>
      <c r="CD190" s="16">
        <f t="shared" si="244"/>
        <v>0</v>
      </c>
      <c r="CE190" s="16">
        <v>0</v>
      </c>
      <c r="CF190" s="16">
        <v>0</v>
      </c>
      <c r="CG190" s="16">
        <v>0</v>
      </c>
      <c r="CH190" s="16">
        <v>0</v>
      </c>
      <c r="CI190" s="16">
        <v>0</v>
      </c>
      <c r="CJ190" s="16">
        <v>0</v>
      </c>
      <c r="CK190" s="16">
        <f t="shared" si="245"/>
        <v>0</v>
      </c>
      <c r="CL190" s="16">
        <v>0</v>
      </c>
      <c r="CM190" s="16">
        <v>0</v>
      </c>
      <c r="CN190" s="16">
        <v>0</v>
      </c>
      <c r="CO190" s="16">
        <v>0</v>
      </c>
      <c r="CP190" s="16">
        <v>0</v>
      </c>
      <c r="CQ190" s="16">
        <v>0</v>
      </c>
      <c r="CR190" s="16">
        <v>0</v>
      </c>
      <c r="CS190" s="16">
        <v>0</v>
      </c>
      <c r="CT190" s="16">
        <f t="shared" si="246"/>
        <v>0</v>
      </c>
      <c r="CU190" s="16">
        <f t="shared" si="247"/>
        <v>0</v>
      </c>
      <c r="CV190" s="16">
        <v>0</v>
      </c>
      <c r="CW190" s="17">
        <v>0</v>
      </c>
      <c r="CX190" s="40"/>
    </row>
    <row r="191" spans="1:102" ht="31.5" hidden="1" x14ac:dyDescent="0.25">
      <c r="A191" s="13" t="s">
        <v>209</v>
      </c>
      <c r="B191" s="14" t="s">
        <v>225</v>
      </c>
      <c r="C191" s="14" t="s">
        <v>1</v>
      </c>
      <c r="D191" s="30" t="s">
        <v>226</v>
      </c>
      <c r="E191" s="15">
        <f>SUM(E192:E198)</f>
        <v>88209031</v>
      </c>
      <c r="F191" s="16">
        <f t="shared" ref="F191:BS191" si="324">SUM(F192:F198)</f>
        <v>88152995</v>
      </c>
      <c r="G191" s="16">
        <f t="shared" si="324"/>
        <v>2050857</v>
      </c>
      <c r="H191" s="16">
        <f t="shared" si="324"/>
        <v>1445355</v>
      </c>
      <c r="I191" s="16">
        <f t="shared" si="324"/>
        <v>186639</v>
      </c>
      <c r="J191" s="16">
        <f t="shared" si="324"/>
        <v>324652</v>
      </c>
      <c r="K191" s="16">
        <f t="shared" si="324"/>
        <v>0</v>
      </c>
      <c r="L191" s="16">
        <f t="shared" si="324"/>
        <v>8506</v>
      </c>
      <c r="M191" s="16">
        <f t="shared" si="324"/>
        <v>0</v>
      </c>
      <c r="N191" s="16">
        <f t="shared" si="324"/>
        <v>0</v>
      </c>
      <c r="O191" s="16">
        <f t="shared" si="324"/>
        <v>316146</v>
      </c>
      <c r="P191" s="16">
        <f t="shared" si="324"/>
        <v>0</v>
      </c>
      <c r="Q191" s="16">
        <f t="shared" si="324"/>
        <v>0</v>
      </c>
      <c r="R191" s="16">
        <f t="shared" si="324"/>
        <v>0</v>
      </c>
      <c r="S191" s="16">
        <f t="shared" si="324"/>
        <v>0</v>
      </c>
      <c r="T191" s="16">
        <f t="shared" si="324"/>
        <v>0</v>
      </c>
      <c r="U191" s="16">
        <f t="shared" si="324"/>
        <v>63987</v>
      </c>
      <c r="V191" s="16">
        <f t="shared" si="324"/>
        <v>0</v>
      </c>
      <c r="W191" s="16">
        <f t="shared" si="324"/>
        <v>0</v>
      </c>
      <c r="X191" s="16">
        <f t="shared" si="324"/>
        <v>0</v>
      </c>
      <c r="Y191" s="16">
        <f t="shared" si="324"/>
        <v>0</v>
      </c>
      <c r="Z191" s="16">
        <f t="shared" si="324"/>
        <v>0</v>
      </c>
      <c r="AA191" s="16">
        <f t="shared" si="324"/>
        <v>0</v>
      </c>
      <c r="AB191" s="16">
        <f t="shared" si="324"/>
        <v>0</v>
      </c>
      <c r="AC191" s="16">
        <f t="shared" si="324"/>
        <v>0</v>
      </c>
      <c r="AD191" s="16">
        <f t="shared" ref="AD191" si="325">SUM(AD192:AD198)</f>
        <v>0</v>
      </c>
      <c r="AE191" s="16">
        <f t="shared" si="324"/>
        <v>30224</v>
      </c>
      <c r="AF191" s="16">
        <f t="shared" si="324"/>
        <v>0</v>
      </c>
      <c r="AG191" s="16">
        <f t="shared" si="324"/>
        <v>0</v>
      </c>
      <c r="AH191" s="16">
        <f t="shared" si="324"/>
        <v>0</v>
      </c>
      <c r="AI191" s="16">
        <f t="shared" si="324"/>
        <v>0</v>
      </c>
      <c r="AJ191" s="16">
        <f t="shared" si="324"/>
        <v>0</v>
      </c>
      <c r="AK191" s="16">
        <f t="shared" si="324"/>
        <v>0</v>
      </c>
      <c r="AL191" s="16">
        <f t="shared" si="324"/>
        <v>6857</v>
      </c>
      <c r="AM191" s="16">
        <f t="shared" si="324"/>
        <v>0</v>
      </c>
      <c r="AN191" s="16">
        <f t="shared" si="324"/>
        <v>0</v>
      </c>
      <c r="AO191" s="16">
        <f t="shared" si="324"/>
        <v>0</v>
      </c>
      <c r="AP191" s="16">
        <f>SUM(AP192:AP198)</f>
        <v>0</v>
      </c>
      <c r="AQ191" s="16">
        <f t="shared" si="324"/>
        <v>0</v>
      </c>
      <c r="AR191" s="16">
        <f t="shared" si="324"/>
        <v>0</v>
      </c>
      <c r="AS191" s="16">
        <f t="shared" si="324"/>
        <v>0</v>
      </c>
      <c r="AT191" s="16">
        <f t="shared" si="324"/>
        <v>0</v>
      </c>
      <c r="AU191" s="16">
        <f t="shared" si="324"/>
        <v>0</v>
      </c>
      <c r="AV191" s="16">
        <f t="shared" si="324"/>
        <v>0</v>
      </c>
      <c r="AW191" s="16">
        <f t="shared" si="324"/>
        <v>23367</v>
      </c>
      <c r="AX191" s="16">
        <f t="shared" si="324"/>
        <v>0</v>
      </c>
      <c r="AY191" s="16">
        <f t="shared" si="324"/>
        <v>0</v>
      </c>
      <c r="AZ191" s="16">
        <f t="shared" si="324"/>
        <v>0</v>
      </c>
      <c r="BA191" s="16">
        <f t="shared" si="324"/>
        <v>86102138</v>
      </c>
      <c r="BB191" s="16">
        <f t="shared" si="324"/>
        <v>0</v>
      </c>
      <c r="BC191" s="16">
        <f t="shared" si="324"/>
        <v>0</v>
      </c>
      <c r="BD191" s="16">
        <f t="shared" si="324"/>
        <v>0</v>
      </c>
      <c r="BE191" s="16">
        <f t="shared" si="324"/>
        <v>0</v>
      </c>
      <c r="BF191" s="16">
        <f t="shared" si="324"/>
        <v>0</v>
      </c>
      <c r="BG191" s="16">
        <f t="shared" si="324"/>
        <v>0</v>
      </c>
      <c r="BH191" s="16">
        <f t="shared" si="324"/>
        <v>0</v>
      </c>
      <c r="BI191" s="16">
        <f t="shared" si="324"/>
        <v>0</v>
      </c>
      <c r="BJ191" s="16">
        <f t="shared" si="324"/>
        <v>0</v>
      </c>
      <c r="BK191" s="16">
        <f t="shared" si="324"/>
        <v>0</v>
      </c>
      <c r="BL191" s="16">
        <f t="shared" si="324"/>
        <v>0</v>
      </c>
      <c r="BM191" s="16">
        <f t="shared" si="324"/>
        <v>86102138</v>
      </c>
      <c r="BN191" s="16">
        <f t="shared" si="324"/>
        <v>0</v>
      </c>
      <c r="BO191" s="16">
        <f t="shared" si="324"/>
        <v>0</v>
      </c>
      <c r="BP191" s="16">
        <f t="shared" si="324"/>
        <v>0</v>
      </c>
      <c r="BQ191" s="16">
        <f t="shared" si="324"/>
        <v>0</v>
      </c>
      <c r="BR191" s="16">
        <f t="shared" si="324"/>
        <v>0</v>
      </c>
      <c r="BS191" s="16">
        <f t="shared" si="324"/>
        <v>0</v>
      </c>
      <c r="BT191" s="16">
        <f t="shared" ref="BT191:CW191" si="326">SUM(BT192:BT198)</f>
        <v>0</v>
      </c>
      <c r="BU191" s="16">
        <f t="shared" si="326"/>
        <v>0</v>
      </c>
      <c r="BV191" s="16">
        <f t="shared" si="326"/>
        <v>230042</v>
      </c>
      <c r="BW191" s="16">
        <f t="shared" si="326"/>
        <v>68075648</v>
      </c>
      <c r="BX191" s="16">
        <f t="shared" si="326"/>
        <v>17796448</v>
      </c>
      <c r="BY191" s="16">
        <f t="shared" si="326"/>
        <v>56036</v>
      </c>
      <c r="BZ191" s="16">
        <f t="shared" si="326"/>
        <v>56036</v>
      </c>
      <c r="CA191" s="16">
        <f t="shared" si="326"/>
        <v>56036</v>
      </c>
      <c r="CB191" s="16">
        <f t="shared" si="326"/>
        <v>0</v>
      </c>
      <c r="CC191" s="16">
        <f t="shared" si="326"/>
        <v>56036</v>
      </c>
      <c r="CD191" s="16">
        <f t="shared" si="326"/>
        <v>0</v>
      </c>
      <c r="CE191" s="16">
        <f t="shared" si="326"/>
        <v>0</v>
      </c>
      <c r="CF191" s="16">
        <f>SUM(CF192:CF198)</f>
        <v>0</v>
      </c>
      <c r="CG191" s="16">
        <f t="shared" si="326"/>
        <v>0</v>
      </c>
      <c r="CH191" s="16">
        <f t="shared" si="326"/>
        <v>0</v>
      </c>
      <c r="CI191" s="16">
        <f t="shared" si="326"/>
        <v>0</v>
      </c>
      <c r="CJ191" s="16">
        <f t="shared" ref="CJ191" si="327">SUM(CJ192:CJ198)</f>
        <v>0</v>
      </c>
      <c r="CK191" s="16">
        <f t="shared" si="326"/>
        <v>0</v>
      </c>
      <c r="CL191" s="16">
        <f t="shared" si="326"/>
        <v>0</v>
      </c>
      <c r="CM191" s="16">
        <f>SUM(CM192:CM198)</f>
        <v>0</v>
      </c>
      <c r="CN191" s="16">
        <f t="shared" si="326"/>
        <v>0</v>
      </c>
      <c r="CO191" s="16">
        <f t="shared" si="326"/>
        <v>0</v>
      </c>
      <c r="CP191" s="16">
        <f t="shared" si="326"/>
        <v>0</v>
      </c>
      <c r="CQ191" s="16">
        <f t="shared" si="326"/>
        <v>0</v>
      </c>
      <c r="CR191" s="16">
        <f t="shared" si="326"/>
        <v>0</v>
      </c>
      <c r="CS191" s="16">
        <f t="shared" si="326"/>
        <v>0</v>
      </c>
      <c r="CT191" s="16">
        <f t="shared" si="326"/>
        <v>0</v>
      </c>
      <c r="CU191" s="16">
        <f t="shared" si="326"/>
        <v>0</v>
      </c>
      <c r="CV191" s="16">
        <f t="shared" si="326"/>
        <v>0</v>
      </c>
      <c r="CW191" s="17">
        <f t="shared" si="326"/>
        <v>0</v>
      </c>
      <c r="CX191" s="40"/>
    </row>
    <row r="192" spans="1:102" ht="31.5" hidden="1" x14ac:dyDescent="0.25">
      <c r="A192" s="13" t="s">
        <v>1</v>
      </c>
      <c r="B192" s="14" t="s">
        <v>1</v>
      </c>
      <c r="C192" s="14" t="s">
        <v>9</v>
      </c>
      <c r="D192" s="30" t="s">
        <v>227</v>
      </c>
      <c r="E192" s="15">
        <f t="shared" ref="E192:E198" si="328">SUM(F192+BY192+CT192)</f>
        <v>981206</v>
      </c>
      <c r="F192" s="16">
        <f t="shared" ref="F192:F198" si="329">SUM(G192+BA192)</f>
        <v>981206</v>
      </c>
      <c r="G192" s="16">
        <f t="shared" ref="G192:G198" si="330">SUM(H192+I192+J192+Q192+T192+U192+V192+AE192)</f>
        <v>608795</v>
      </c>
      <c r="H192" s="16">
        <v>399440</v>
      </c>
      <c r="I192" s="16">
        <v>96010</v>
      </c>
      <c r="J192" s="16">
        <f t="shared" si="238"/>
        <v>113345</v>
      </c>
      <c r="K192" s="16">
        <v>0</v>
      </c>
      <c r="L192" s="16">
        <v>0</v>
      </c>
      <c r="M192" s="16">
        <v>0</v>
      </c>
      <c r="N192" s="16">
        <v>0</v>
      </c>
      <c r="O192" s="16">
        <v>113345</v>
      </c>
      <c r="P192" s="16">
        <v>0</v>
      </c>
      <c r="Q192" s="16">
        <f t="shared" si="239"/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f t="shared" ref="V192:V198" si="331">SUM(W192:AD192)</f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f t="shared" ref="AE192:AE198" si="332">SUM(AF192:AZ192)</f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6">
        <v>0</v>
      </c>
      <c r="AW192" s="16">
        <v>0</v>
      </c>
      <c r="AX192" s="16">
        <v>0</v>
      </c>
      <c r="AY192" s="16">
        <v>0</v>
      </c>
      <c r="AZ192" s="16">
        <v>0</v>
      </c>
      <c r="BA192" s="16">
        <f t="shared" ref="BA192:BA198" si="333">SUM(BB192+BF192+BI192+BK192+BM192)</f>
        <v>372411</v>
      </c>
      <c r="BB192" s="16">
        <f t="shared" ref="BB192:BB198" si="334">SUM(BC192:BE192)</f>
        <v>0</v>
      </c>
      <c r="BC192" s="16">
        <v>0</v>
      </c>
      <c r="BD192" s="16">
        <v>0</v>
      </c>
      <c r="BE192" s="16">
        <v>0</v>
      </c>
      <c r="BF192" s="16">
        <f t="shared" si="240"/>
        <v>0</v>
      </c>
      <c r="BG192" s="16">
        <v>0</v>
      </c>
      <c r="BH192" s="16">
        <v>0</v>
      </c>
      <c r="BI192" s="16">
        <v>0</v>
      </c>
      <c r="BJ192" s="16">
        <v>0</v>
      </c>
      <c r="BK192" s="16">
        <f t="shared" si="241"/>
        <v>0</v>
      </c>
      <c r="BL192" s="16">
        <v>0</v>
      </c>
      <c r="BM192" s="16">
        <f t="shared" si="242"/>
        <v>372411</v>
      </c>
      <c r="BN192" s="16">
        <v>0</v>
      </c>
      <c r="BO192" s="16">
        <v>0</v>
      </c>
      <c r="BP192" s="16">
        <v>0</v>
      </c>
      <c r="BQ192" s="16">
        <v>0</v>
      </c>
      <c r="BR192" s="16">
        <v>0</v>
      </c>
      <c r="BS192" s="16">
        <v>0</v>
      </c>
      <c r="BT192" s="16">
        <v>0</v>
      </c>
      <c r="BU192" s="16">
        <v>0</v>
      </c>
      <c r="BV192" s="16">
        <v>0</v>
      </c>
      <c r="BW192" s="16">
        <v>372411</v>
      </c>
      <c r="BX192" s="16">
        <v>0</v>
      </c>
      <c r="BY192" s="16">
        <f t="shared" ref="BY192:BY198" si="335">SUM(BZ192+CS192)</f>
        <v>0</v>
      </c>
      <c r="BZ192" s="16">
        <f t="shared" ref="BZ192:BZ198" si="336">SUM(CA192+CD192+CK192)</f>
        <v>0</v>
      </c>
      <c r="CA192" s="16">
        <f t="shared" si="243"/>
        <v>0</v>
      </c>
      <c r="CB192" s="16">
        <v>0</v>
      </c>
      <c r="CC192" s="16">
        <v>0</v>
      </c>
      <c r="CD192" s="16">
        <f t="shared" si="244"/>
        <v>0</v>
      </c>
      <c r="CE192" s="16">
        <v>0</v>
      </c>
      <c r="CF192" s="16">
        <v>0</v>
      </c>
      <c r="CG192" s="16">
        <v>0</v>
      </c>
      <c r="CH192" s="16">
        <v>0</v>
      </c>
      <c r="CI192" s="16">
        <v>0</v>
      </c>
      <c r="CJ192" s="16">
        <v>0</v>
      </c>
      <c r="CK192" s="16">
        <f t="shared" si="245"/>
        <v>0</v>
      </c>
      <c r="CL192" s="16">
        <v>0</v>
      </c>
      <c r="CM192" s="16">
        <v>0</v>
      </c>
      <c r="CN192" s="16">
        <v>0</v>
      </c>
      <c r="CO192" s="16">
        <v>0</v>
      </c>
      <c r="CP192" s="16">
        <v>0</v>
      </c>
      <c r="CQ192" s="16">
        <v>0</v>
      </c>
      <c r="CR192" s="16">
        <v>0</v>
      </c>
      <c r="CS192" s="16">
        <v>0</v>
      </c>
      <c r="CT192" s="16">
        <f t="shared" si="246"/>
        <v>0</v>
      </c>
      <c r="CU192" s="16">
        <f t="shared" si="247"/>
        <v>0</v>
      </c>
      <c r="CV192" s="16">
        <v>0</v>
      </c>
      <c r="CW192" s="17">
        <v>0</v>
      </c>
      <c r="CX192" s="40"/>
    </row>
    <row r="193" spans="1:102" ht="31.5" hidden="1" x14ac:dyDescent="0.25">
      <c r="A193" s="13" t="s">
        <v>1</v>
      </c>
      <c r="B193" s="14" t="s">
        <v>1</v>
      </c>
      <c r="C193" s="14" t="s">
        <v>5</v>
      </c>
      <c r="D193" s="30" t="s">
        <v>228</v>
      </c>
      <c r="E193" s="15">
        <f t="shared" si="328"/>
        <v>1567421</v>
      </c>
      <c r="F193" s="16">
        <f t="shared" si="329"/>
        <v>1525099</v>
      </c>
      <c r="G193" s="16">
        <f t="shared" si="330"/>
        <v>767257</v>
      </c>
      <c r="H193" s="16">
        <v>447538</v>
      </c>
      <c r="I193" s="16">
        <v>52931</v>
      </c>
      <c r="J193" s="16">
        <f t="shared" si="238"/>
        <v>202801</v>
      </c>
      <c r="K193" s="16">
        <v>0</v>
      </c>
      <c r="L193" s="16">
        <v>0</v>
      </c>
      <c r="M193" s="16">
        <v>0</v>
      </c>
      <c r="N193" s="16">
        <v>0</v>
      </c>
      <c r="O193" s="16">
        <v>202801</v>
      </c>
      <c r="P193" s="16">
        <v>0</v>
      </c>
      <c r="Q193" s="16">
        <f t="shared" si="239"/>
        <v>0</v>
      </c>
      <c r="R193" s="16">
        <v>0</v>
      </c>
      <c r="S193" s="16">
        <v>0</v>
      </c>
      <c r="T193" s="16">
        <v>0</v>
      </c>
      <c r="U193" s="16">
        <v>63987</v>
      </c>
      <c r="V193" s="16">
        <f t="shared" si="331"/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f t="shared" si="332"/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6">
        <v>0</v>
      </c>
      <c r="AW193" s="16">
        <v>0</v>
      </c>
      <c r="AX193" s="16">
        <v>0</v>
      </c>
      <c r="AY193" s="16">
        <v>0</v>
      </c>
      <c r="AZ193" s="16">
        <v>0</v>
      </c>
      <c r="BA193" s="16">
        <f t="shared" si="333"/>
        <v>757842</v>
      </c>
      <c r="BB193" s="16">
        <f t="shared" si="334"/>
        <v>0</v>
      </c>
      <c r="BC193" s="16">
        <v>0</v>
      </c>
      <c r="BD193" s="16">
        <v>0</v>
      </c>
      <c r="BE193" s="16">
        <v>0</v>
      </c>
      <c r="BF193" s="16">
        <f t="shared" si="240"/>
        <v>0</v>
      </c>
      <c r="BG193" s="16">
        <v>0</v>
      </c>
      <c r="BH193" s="16">
        <v>0</v>
      </c>
      <c r="BI193" s="16">
        <v>0</v>
      </c>
      <c r="BJ193" s="16">
        <v>0</v>
      </c>
      <c r="BK193" s="16">
        <f t="shared" si="241"/>
        <v>0</v>
      </c>
      <c r="BL193" s="16">
        <v>0</v>
      </c>
      <c r="BM193" s="16">
        <f t="shared" si="242"/>
        <v>757842</v>
      </c>
      <c r="BN193" s="16">
        <v>0</v>
      </c>
      <c r="BO193" s="16">
        <v>0</v>
      </c>
      <c r="BP193" s="16">
        <v>0</v>
      </c>
      <c r="BQ193" s="16">
        <v>0</v>
      </c>
      <c r="BR193" s="16">
        <v>0</v>
      </c>
      <c r="BS193" s="16">
        <v>0</v>
      </c>
      <c r="BT193" s="16">
        <v>0</v>
      </c>
      <c r="BU193" s="16">
        <v>0</v>
      </c>
      <c r="BV193" s="16">
        <v>0</v>
      </c>
      <c r="BW193" s="16">
        <v>757842</v>
      </c>
      <c r="BX193" s="16">
        <v>0</v>
      </c>
      <c r="BY193" s="16">
        <f t="shared" si="335"/>
        <v>42322</v>
      </c>
      <c r="BZ193" s="16">
        <f t="shared" si="336"/>
        <v>42322</v>
      </c>
      <c r="CA193" s="16">
        <f t="shared" si="243"/>
        <v>42322</v>
      </c>
      <c r="CB193" s="16">
        <v>0</v>
      </c>
      <c r="CC193" s="16">
        <v>42322</v>
      </c>
      <c r="CD193" s="16">
        <f t="shared" si="244"/>
        <v>0</v>
      </c>
      <c r="CE193" s="16">
        <v>0</v>
      </c>
      <c r="CF193" s="16">
        <v>0</v>
      </c>
      <c r="CG193" s="16">
        <v>0</v>
      </c>
      <c r="CH193" s="16">
        <v>0</v>
      </c>
      <c r="CI193" s="16">
        <v>0</v>
      </c>
      <c r="CJ193" s="16">
        <v>0</v>
      </c>
      <c r="CK193" s="16">
        <f t="shared" si="245"/>
        <v>0</v>
      </c>
      <c r="CL193" s="16">
        <v>0</v>
      </c>
      <c r="CM193" s="16">
        <v>0</v>
      </c>
      <c r="CN193" s="16">
        <v>0</v>
      </c>
      <c r="CO193" s="16">
        <v>0</v>
      </c>
      <c r="CP193" s="16">
        <v>0</v>
      </c>
      <c r="CQ193" s="16">
        <v>0</v>
      </c>
      <c r="CR193" s="16">
        <v>0</v>
      </c>
      <c r="CS193" s="16">
        <v>0</v>
      </c>
      <c r="CT193" s="16">
        <f t="shared" si="246"/>
        <v>0</v>
      </c>
      <c r="CU193" s="16">
        <f t="shared" si="247"/>
        <v>0</v>
      </c>
      <c r="CV193" s="16">
        <v>0</v>
      </c>
      <c r="CW193" s="17">
        <v>0</v>
      </c>
      <c r="CX193" s="40"/>
    </row>
    <row r="194" spans="1:102" ht="31.5" hidden="1" x14ac:dyDescent="0.25">
      <c r="A194" s="13" t="s">
        <v>1</v>
      </c>
      <c r="B194" s="14" t="s">
        <v>1</v>
      </c>
      <c r="C194" s="14" t="s">
        <v>19</v>
      </c>
      <c r="D194" s="30" t="s">
        <v>232</v>
      </c>
      <c r="E194" s="15">
        <f t="shared" si="328"/>
        <v>23543913</v>
      </c>
      <c r="F194" s="16">
        <f t="shared" si="329"/>
        <v>23543913</v>
      </c>
      <c r="G194" s="16">
        <f t="shared" si="330"/>
        <v>0</v>
      </c>
      <c r="H194" s="16">
        <v>0</v>
      </c>
      <c r="I194" s="16">
        <v>0</v>
      </c>
      <c r="J194" s="16">
        <f>SUM(K194:P194)</f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f>SUM(R194:S194)</f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f t="shared" si="331"/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f t="shared" si="332"/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16">
        <v>0</v>
      </c>
      <c r="AU194" s="16">
        <v>0</v>
      </c>
      <c r="AV194" s="16">
        <v>0</v>
      </c>
      <c r="AW194" s="16">
        <v>0</v>
      </c>
      <c r="AX194" s="16">
        <v>0</v>
      </c>
      <c r="AY194" s="16">
        <v>0</v>
      </c>
      <c r="AZ194" s="16">
        <v>0</v>
      </c>
      <c r="BA194" s="16">
        <f t="shared" si="333"/>
        <v>23543913</v>
      </c>
      <c r="BB194" s="16">
        <f t="shared" si="334"/>
        <v>0</v>
      </c>
      <c r="BC194" s="16">
        <v>0</v>
      </c>
      <c r="BD194" s="16">
        <v>0</v>
      </c>
      <c r="BE194" s="16">
        <v>0</v>
      </c>
      <c r="BF194" s="16">
        <f>SUM(BG194:BH194)</f>
        <v>0</v>
      </c>
      <c r="BG194" s="16">
        <v>0</v>
      </c>
      <c r="BH194" s="16">
        <v>0</v>
      </c>
      <c r="BI194" s="16">
        <v>0</v>
      </c>
      <c r="BJ194" s="16">
        <v>0</v>
      </c>
      <c r="BK194" s="16">
        <f>SUM(BL194)</f>
        <v>0</v>
      </c>
      <c r="BL194" s="16">
        <v>0</v>
      </c>
      <c r="BM194" s="16">
        <f>SUM(BN194:BX194)</f>
        <v>23543913</v>
      </c>
      <c r="BN194" s="16">
        <v>0</v>
      </c>
      <c r="BO194" s="16">
        <v>0</v>
      </c>
      <c r="BP194" s="16">
        <v>0</v>
      </c>
      <c r="BQ194" s="16">
        <v>0</v>
      </c>
      <c r="BR194" s="16">
        <v>0</v>
      </c>
      <c r="BS194" s="16">
        <v>0</v>
      </c>
      <c r="BT194" s="16">
        <v>0</v>
      </c>
      <c r="BU194" s="16">
        <v>0</v>
      </c>
      <c r="BV194" s="16">
        <f>262080-32038</f>
        <v>230042</v>
      </c>
      <c r="BW194" s="16">
        <f>6423146+331407-21146</f>
        <v>6733407</v>
      </c>
      <c r="BX194" s="16">
        <f>16580464</f>
        <v>16580464</v>
      </c>
      <c r="BY194" s="16">
        <f t="shared" si="335"/>
        <v>0</v>
      </c>
      <c r="BZ194" s="16">
        <f t="shared" si="336"/>
        <v>0</v>
      </c>
      <c r="CA194" s="16">
        <f>SUM(CB194:CC194)</f>
        <v>0</v>
      </c>
      <c r="CB194" s="16">
        <v>0</v>
      </c>
      <c r="CC194" s="16">
        <v>0</v>
      </c>
      <c r="CD194" s="16">
        <f>SUM(CE194:CI194)</f>
        <v>0</v>
      </c>
      <c r="CE194" s="16">
        <v>0</v>
      </c>
      <c r="CF194" s="16">
        <v>0</v>
      </c>
      <c r="CG194" s="16">
        <v>0</v>
      </c>
      <c r="CH194" s="16">
        <v>0</v>
      </c>
      <c r="CI194" s="16">
        <v>0</v>
      </c>
      <c r="CJ194" s="16">
        <v>0</v>
      </c>
      <c r="CK194" s="16">
        <f>SUM(CL194:CP194)</f>
        <v>0</v>
      </c>
      <c r="CL194" s="16">
        <v>0</v>
      </c>
      <c r="CM194" s="16">
        <v>0</v>
      </c>
      <c r="CN194" s="16">
        <v>0</v>
      </c>
      <c r="CO194" s="16">
        <v>0</v>
      </c>
      <c r="CP194" s="16">
        <v>0</v>
      </c>
      <c r="CQ194" s="16">
        <v>0</v>
      </c>
      <c r="CR194" s="16">
        <v>0</v>
      </c>
      <c r="CS194" s="16">
        <v>0</v>
      </c>
      <c r="CT194" s="16">
        <f>SUM(CU194)</f>
        <v>0</v>
      </c>
      <c r="CU194" s="16">
        <f>SUM(CV194:CW194)</f>
        <v>0</v>
      </c>
      <c r="CV194" s="16">
        <v>0</v>
      </c>
      <c r="CW194" s="17">
        <v>0</v>
      </c>
      <c r="CX194" s="40"/>
    </row>
    <row r="195" spans="1:102" ht="15.75" hidden="1" x14ac:dyDescent="0.25">
      <c r="A195" s="13" t="s">
        <v>1</v>
      </c>
      <c r="B195" s="14" t="s">
        <v>1</v>
      </c>
      <c r="C195" s="14" t="s">
        <v>19</v>
      </c>
      <c r="D195" s="30" t="s">
        <v>231</v>
      </c>
      <c r="E195" s="15">
        <f t="shared" si="328"/>
        <v>54383009</v>
      </c>
      <c r="F195" s="16">
        <f t="shared" si="329"/>
        <v>54383009</v>
      </c>
      <c r="G195" s="16">
        <f t="shared" si="330"/>
        <v>0</v>
      </c>
      <c r="H195" s="16">
        <v>0</v>
      </c>
      <c r="I195" s="16">
        <v>0</v>
      </c>
      <c r="J195" s="16">
        <f t="shared" si="238"/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f t="shared" si="239"/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f t="shared" si="331"/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f t="shared" si="332"/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f t="shared" si="333"/>
        <v>54383009</v>
      </c>
      <c r="BB195" s="16">
        <f t="shared" si="334"/>
        <v>0</v>
      </c>
      <c r="BC195" s="16">
        <v>0</v>
      </c>
      <c r="BD195" s="16">
        <v>0</v>
      </c>
      <c r="BE195" s="16">
        <v>0</v>
      </c>
      <c r="BF195" s="16">
        <f t="shared" si="240"/>
        <v>0</v>
      </c>
      <c r="BG195" s="16">
        <v>0</v>
      </c>
      <c r="BH195" s="16">
        <v>0</v>
      </c>
      <c r="BI195" s="16">
        <v>0</v>
      </c>
      <c r="BJ195" s="16">
        <v>0</v>
      </c>
      <c r="BK195" s="16">
        <f t="shared" si="241"/>
        <v>0</v>
      </c>
      <c r="BL195" s="16">
        <v>0</v>
      </c>
      <c r="BM195" s="16">
        <f t="shared" si="242"/>
        <v>54383009</v>
      </c>
      <c r="BN195" s="16">
        <v>0</v>
      </c>
      <c r="BO195" s="16">
        <v>0</v>
      </c>
      <c r="BP195" s="16">
        <v>0</v>
      </c>
      <c r="BQ195" s="16">
        <v>0</v>
      </c>
      <c r="BR195" s="16">
        <v>0</v>
      </c>
      <c r="BS195" s="16">
        <v>0</v>
      </c>
      <c r="BT195" s="16">
        <v>0</v>
      </c>
      <c r="BU195" s="16">
        <v>0</v>
      </c>
      <c r="BV195" s="16">
        <v>0</v>
      </c>
      <c r="BW195" s="16">
        <f>53922362+38907</f>
        <v>53961269</v>
      </c>
      <c r="BX195" s="16">
        <v>421740</v>
      </c>
      <c r="BY195" s="16">
        <f t="shared" si="335"/>
        <v>0</v>
      </c>
      <c r="BZ195" s="16">
        <f t="shared" si="336"/>
        <v>0</v>
      </c>
      <c r="CA195" s="16">
        <f t="shared" si="243"/>
        <v>0</v>
      </c>
      <c r="CB195" s="16">
        <v>0</v>
      </c>
      <c r="CC195" s="16">
        <v>0</v>
      </c>
      <c r="CD195" s="16">
        <f t="shared" si="244"/>
        <v>0</v>
      </c>
      <c r="CE195" s="16">
        <v>0</v>
      </c>
      <c r="CF195" s="16">
        <v>0</v>
      </c>
      <c r="CG195" s="16">
        <v>0</v>
      </c>
      <c r="CH195" s="16">
        <v>0</v>
      </c>
      <c r="CI195" s="16">
        <v>0</v>
      </c>
      <c r="CJ195" s="16">
        <v>0</v>
      </c>
      <c r="CK195" s="16">
        <f t="shared" si="245"/>
        <v>0</v>
      </c>
      <c r="CL195" s="16">
        <v>0</v>
      </c>
      <c r="CM195" s="16">
        <v>0</v>
      </c>
      <c r="CN195" s="16">
        <v>0</v>
      </c>
      <c r="CO195" s="16">
        <v>0</v>
      </c>
      <c r="CP195" s="16">
        <v>0</v>
      </c>
      <c r="CQ195" s="16">
        <v>0</v>
      </c>
      <c r="CR195" s="16">
        <v>0</v>
      </c>
      <c r="CS195" s="16">
        <v>0</v>
      </c>
      <c r="CT195" s="16">
        <f t="shared" si="246"/>
        <v>0</v>
      </c>
      <c r="CU195" s="16">
        <f t="shared" si="247"/>
        <v>0</v>
      </c>
      <c r="CV195" s="16">
        <v>0</v>
      </c>
      <c r="CW195" s="17">
        <v>0</v>
      </c>
      <c r="CX195" s="40"/>
    </row>
    <row r="196" spans="1:102" ht="31.5" hidden="1" x14ac:dyDescent="0.25">
      <c r="A196" s="13" t="s">
        <v>1</v>
      </c>
      <c r="B196" s="14" t="s">
        <v>1</v>
      </c>
      <c r="C196" s="14" t="s">
        <v>19</v>
      </c>
      <c r="D196" s="30" t="s">
        <v>230</v>
      </c>
      <c r="E196" s="15">
        <f t="shared" si="328"/>
        <v>6552939</v>
      </c>
      <c r="F196" s="16">
        <f t="shared" si="329"/>
        <v>6552939</v>
      </c>
      <c r="G196" s="16">
        <f t="shared" si="330"/>
        <v>0</v>
      </c>
      <c r="H196" s="16">
        <v>0</v>
      </c>
      <c r="I196" s="16">
        <v>0</v>
      </c>
      <c r="J196" s="16">
        <f>SUM(K196:P196)</f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f>SUM(R196:S196)</f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f t="shared" si="331"/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f t="shared" si="332"/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  <c r="AT196" s="16">
        <v>0</v>
      </c>
      <c r="AU196" s="16">
        <v>0</v>
      </c>
      <c r="AV196" s="16">
        <v>0</v>
      </c>
      <c r="AW196" s="16">
        <v>0</v>
      </c>
      <c r="AX196" s="16">
        <v>0</v>
      </c>
      <c r="AY196" s="16">
        <v>0</v>
      </c>
      <c r="AZ196" s="16">
        <v>0</v>
      </c>
      <c r="BA196" s="16">
        <f t="shared" si="333"/>
        <v>6552939</v>
      </c>
      <c r="BB196" s="16">
        <f t="shared" si="334"/>
        <v>0</v>
      </c>
      <c r="BC196" s="16">
        <v>0</v>
      </c>
      <c r="BD196" s="16">
        <v>0</v>
      </c>
      <c r="BE196" s="16">
        <v>0</v>
      </c>
      <c r="BF196" s="16">
        <f>SUM(BG196:BH196)</f>
        <v>0</v>
      </c>
      <c r="BG196" s="16">
        <v>0</v>
      </c>
      <c r="BH196" s="16">
        <v>0</v>
      </c>
      <c r="BI196" s="16">
        <v>0</v>
      </c>
      <c r="BJ196" s="16">
        <v>0</v>
      </c>
      <c r="BK196" s="16">
        <f>SUM(BL196)</f>
        <v>0</v>
      </c>
      <c r="BL196" s="16">
        <v>0</v>
      </c>
      <c r="BM196" s="16">
        <f>SUM(BN196:BX196)</f>
        <v>6552939</v>
      </c>
      <c r="BN196" s="16">
        <v>0</v>
      </c>
      <c r="BO196" s="16">
        <v>0</v>
      </c>
      <c r="BP196" s="16">
        <v>0</v>
      </c>
      <c r="BQ196" s="16">
        <v>0</v>
      </c>
      <c r="BR196" s="16">
        <v>0</v>
      </c>
      <c r="BS196" s="16">
        <v>0</v>
      </c>
      <c r="BT196" s="16">
        <v>0</v>
      </c>
      <c r="BU196" s="16">
        <v>0</v>
      </c>
      <c r="BV196" s="16">
        <v>0</v>
      </c>
      <c r="BW196" s="16">
        <f>7602063-1351344</f>
        <v>6250719</v>
      </c>
      <c r="BX196" s="16">
        <v>302220</v>
      </c>
      <c r="BY196" s="16">
        <f t="shared" si="335"/>
        <v>0</v>
      </c>
      <c r="BZ196" s="16">
        <f t="shared" si="336"/>
        <v>0</v>
      </c>
      <c r="CA196" s="16">
        <f>SUM(CB196:CC196)</f>
        <v>0</v>
      </c>
      <c r="CB196" s="16">
        <v>0</v>
      </c>
      <c r="CC196" s="16">
        <v>0</v>
      </c>
      <c r="CD196" s="16">
        <f>SUM(CE196:CI196)</f>
        <v>0</v>
      </c>
      <c r="CE196" s="16">
        <v>0</v>
      </c>
      <c r="CF196" s="16">
        <v>0</v>
      </c>
      <c r="CG196" s="16">
        <v>0</v>
      </c>
      <c r="CH196" s="16">
        <v>0</v>
      </c>
      <c r="CI196" s="16">
        <v>0</v>
      </c>
      <c r="CJ196" s="16">
        <v>0</v>
      </c>
      <c r="CK196" s="16">
        <f>SUM(CL196:CP196)</f>
        <v>0</v>
      </c>
      <c r="CL196" s="16">
        <v>0</v>
      </c>
      <c r="CM196" s="16">
        <v>0</v>
      </c>
      <c r="CN196" s="16">
        <v>0</v>
      </c>
      <c r="CO196" s="16">
        <v>0</v>
      </c>
      <c r="CP196" s="16">
        <v>0</v>
      </c>
      <c r="CQ196" s="16">
        <v>0</v>
      </c>
      <c r="CR196" s="16">
        <v>0</v>
      </c>
      <c r="CS196" s="16">
        <v>0</v>
      </c>
      <c r="CT196" s="16">
        <f>SUM(CU196)</f>
        <v>0</v>
      </c>
      <c r="CU196" s="16">
        <f>SUM(CV196:CW196)</f>
        <v>0</v>
      </c>
      <c r="CV196" s="16">
        <v>0</v>
      </c>
      <c r="CW196" s="17">
        <v>0</v>
      </c>
      <c r="CX196" s="40"/>
    </row>
    <row r="197" spans="1:102" ht="15.75" hidden="1" x14ac:dyDescent="0.25">
      <c r="A197" s="13" t="s">
        <v>1</v>
      </c>
      <c r="B197" s="14" t="s">
        <v>1</v>
      </c>
      <c r="C197" s="14" t="s">
        <v>19</v>
      </c>
      <c r="D197" s="30" t="s">
        <v>229</v>
      </c>
      <c r="E197" s="15">
        <f t="shared" si="328"/>
        <v>170976</v>
      </c>
      <c r="F197" s="16">
        <f t="shared" si="329"/>
        <v>170976</v>
      </c>
      <c r="G197" s="16">
        <f t="shared" si="330"/>
        <v>0</v>
      </c>
      <c r="H197" s="16">
        <v>0</v>
      </c>
      <c r="I197" s="16">
        <v>0</v>
      </c>
      <c r="J197" s="16">
        <f>SUM(K197:P197)</f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f>SUM(R197:S197)</f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f t="shared" si="331"/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f t="shared" si="332"/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16">
        <v>0</v>
      </c>
      <c r="AZ197" s="16">
        <v>0</v>
      </c>
      <c r="BA197" s="16">
        <f t="shared" si="333"/>
        <v>170976</v>
      </c>
      <c r="BB197" s="16">
        <f t="shared" si="334"/>
        <v>0</v>
      </c>
      <c r="BC197" s="16">
        <v>0</v>
      </c>
      <c r="BD197" s="16">
        <v>0</v>
      </c>
      <c r="BE197" s="16">
        <v>0</v>
      </c>
      <c r="BF197" s="16">
        <f>SUM(BG197:BH197)</f>
        <v>0</v>
      </c>
      <c r="BG197" s="16">
        <v>0</v>
      </c>
      <c r="BH197" s="16">
        <v>0</v>
      </c>
      <c r="BI197" s="16">
        <v>0</v>
      </c>
      <c r="BJ197" s="16">
        <v>0</v>
      </c>
      <c r="BK197" s="16">
        <f>SUM(BL197)</f>
        <v>0</v>
      </c>
      <c r="BL197" s="16">
        <v>0</v>
      </c>
      <c r="BM197" s="16">
        <f>SUM(BN197:BX197)</f>
        <v>170976</v>
      </c>
      <c r="BN197" s="16">
        <v>0</v>
      </c>
      <c r="BO197" s="16">
        <v>0</v>
      </c>
      <c r="BP197" s="16">
        <v>0</v>
      </c>
      <c r="BQ197" s="16">
        <v>0</v>
      </c>
      <c r="BR197" s="16">
        <v>0</v>
      </c>
      <c r="BS197" s="16">
        <v>0</v>
      </c>
      <c r="BT197" s="16">
        <v>0</v>
      </c>
      <c r="BU197" s="16">
        <v>0</v>
      </c>
      <c r="BV197" s="16">
        <v>0</v>
      </c>
      <c r="BW197" s="16">
        <v>0</v>
      </c>
      <c r="BX197" s="16">
        <f>374694-203718</f>
        <v>170976</v>
      </c>
      <c r="BY197" s="16">
        <f t="shared" si="335"/>
        <v>0</v>
      </c>
      <c r="BZ197" s="16">
        <f t="shared" si="336"/>
        <v>0</v>
      </c>
      <c r="CA197" s="16">
        <f>SUM(CB197:CC197)</f>
        <v>0</v>
      </c>
      <c r="CB197" s="16">
        <v>0</v>
      </c>
      <c r="CC197" s="16">
        <v>0</v>
      </c>
      <c r="CD197" s="16">
        <f>SUM(CE197:CI197)</f>
        <v>0</v>
      </c>
      <c r="CE197" s="16">
        <v>0</v>
      </c>
      <c r="CF197" s="16">
        <v>0</v>
      </c>
      <c r="CG197" s="16">
        <v>0</v>
      </c>
      <c r="CH197" s="16">
        <v>0</v>
      </c>
      <c r="CI197" s="16">
        <v>0</v>
      </c>
      <c r="CJ197" s="16">
        <v>0</v>
      </c>
      <c r="CK197" s="16">
        <f>SUM(CL197:CP197)</f>
        <v>0</v>
      </c>
      <c r="CL197" s="16">
        <v>0</v>
      </c>
      <c r="CM197" s="16">
        <v>0</v>
      </c>
      <c r="CN197" s="16">
        <v>0</v>
      </c>
      <c r="CO197" s="16">
        <v>0</v>
      </c>
      <c r="CP197" s="16">
        <v>0</v>
      </c>
      <c r="CQ197" s="16">
        <v>0</v>
      </c>
      <c r="CR197" s="16">
        <v>0</v>
      </c>
      <c r="CS197" s="16">
        <v>0</v>
      </c>
      <c r="CT197" s="16">
        <f>SUM(CU197)</f>
        <v>0</v>
      </c>
      <c r="CU197" s="16">
        <f>SUM(CV197:CW197)</f>
        <v>0</v>
      </c>
      <c r="CV197" s="16">
        <v>0</v>
      </c>
      <c r="CW197" s="17">
        <v>0</v>
      </c>
      <c r="CX197" s="40"/>
    </row>
    <row r="198" spans="1:102" ht="15.75" hidden="1" x14ac:dyDescent="0.25">
      <c r="A198" s="13" t="s">
        <v>1</v>
      </c>
      <c r="B198" s="14" t="s">
        <v>1</v>
      </c>
      <c r="C198" s="14" t="s">
        <v>113</v>
      </c>
      <c r="D198" s="30" t="s">
        <v>553</v>
      </c>
      <c r="E198" s="15">
        <f t="shared" si="328"/>
        <v>1009567</v>
      </c>
      <c r="F198" s="16">
        <f t="shared" si="329"/>
        <v>995853</v>
      </c>
      <c r="G198" s="16">
        <f t="shared" si="330"/>
        <v>674805</v>
      </c>
      <c r="H198" s="16">
        <v>598377</v>
      </c>
      <c r="I198" s="16">
        <v>37698</v>
      </c>
      <c r="J198" s="16">
        <f t="shared" si="238"/>
        <v>8506</v>
      </c>
      <c r="K198" s="16">
        <v>0</v>
      </c>
      <c r="L198" s="16">
        <v>8506</v>
      </c>
      <c r="M198" s="16">
        <v>0</v>
      </c>
      <c r="N198" s="16">
        <v>0</v>
      </c>
      <c r="O198" s="16">
        <v>0</v>
      </c>
      <c r="P198" s="16">
        <v>0</v>
      </c>
      <c r="Q198" s="16">
        <f t="shared" si="239"/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f t="shared" si="331"/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f t="shared" si="332"/>
        <v>30224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6857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23367</v>
      </c>
      <c r="AX198" s="16">
        <v>0</v>
      </c>
      <c r="AY198" s="16">
        <v>0</v>
      </c>
      <c r="AZ198" s="16">
        <v>0</v>
      </c>
      <c r="BA198" s="16">
        <f t="shared" si="333"/>
        <v>321048</v>
      </c>
      <c r="BB198" s="16">
        <f t="shared" si="334"/>
        <v>0</v>
      </c>
      <c r="BC198" s="16">
        <v>0</v>
      </c>
      <c r="BD198" s="16">
        <v>0</v>
      </c>
      <c r="BE198" s="16">
        <v>0</v>
      </c>
      <c r="BF198" s="16">
        <f t="shared" si="240"/>
        <v>0</v>
      </c>
      <c r="BG198" s="16">
        <v>0</v>
      </c>
      <c r="BH198" s="16">
        <v>0</v>
      </c>
      <c r="BI198" s="16">
        <v>0</v>
      </c>
      <c r="BJ198" s="16">
        <v>0</v>
      </c>
      <c r="BK198" s="16">
        <f t="shared" si="241"/>
        <v>0</v>
      </c>
      <c r="BL198" s="16">
        <v>0</v>
      </c>
      <c r="BM198" s="16">
        <f t="shared" si="242"/>
        <v>321048</v>
      </c>
      <c r="BN198" s="16">
        <v>0</v>
      </c>
      <c r="BO198" s="16">
        <v>0</v>
      </c>
      <c r="BP198" s="16">
        <v>0</v>
      </c>
      <c r="BQ198" s="16">
        <v>0</v>
      </c>
      <c r="BR198" s="16">
        <v>0</v>
      </c>
      <c r="BS198" s="16">
        <v>0</v>
      </c>
      <c r="BT198" s="16">
        <v>0</v>
      </c>
      <c r="BU198" s="16">
        <v>0</v>
      </c>
      <c r="BV198" s="16">
        <v>0</v>
      </c>
      <c r="BW198" s="16">
        <v>0</v>
      </c>
      <c r="BX198" s="16">
        <v>321048</v>
      </c>
      <c r="BY198" s="16">
        <f t="shared" si="335"/>
        <v>13714</v>
      </c>
      <c r="BZ198" s="16">
        <f t="shared" si="336"/>
        <v>13714</v>
      </c>
      <c r="CA198" s="16">
        <f t="shared" si="243"/>
        <v>13714</v>
      </c>
      <c r="CB198" s="16">
        <v>0</v>
      </c>
      <c r="CC198" s="16">
        <v>13714</v>
      </c>
      <c r="CD198" s="16">
        <f t="shared" si="244"/>
        <v>0</v>
      </c>
      <c r="CE198" s="16">
        <v>0</v>
      </c>
      <c r="CF198" s="16">
        <v>0</v>
      </c>
      <c r="CG198" s="16">
        <v>0</v>
      </c>
      <c r="CH198" s="16">
        <v>0</v>
      </c>
      <c r="CI198" s="16">
        <v>0</v>
      </c>
      <c r="CJ198" s="16">
        <v>0</v>
      </c>
      <c r="CK198" s="16">
        <f t="shared" si="245"/>
        <v>0</v>
      </c>
      <c r="CL198" s="16">
        <v>0</v>
      </c>
      <c r="CM198" s="16">
        <v>0</v>
      </c>
      <c r="CN198" s="16">
        <v>0</v>
      </c>
      <c r="CO198" s="16">
        <v>0</v>
      </c>
      <c r="CP198" s="16">
        <v>0</v>
      </c>
      <c r="CQ198" s="16">
        <v>0</v>
      </c>
      <c r="CR198" s="16">
        <v>0</v>
      </c>
      <c r="CS198" s="16">
        <v>0</v>
      </c>
      <c r="CT198" s="16">
        <f t="shared" si="246"/>
        <v>0</v>
      </c>
      <c r="CU198" s="16">
        <f t="shared" si="247"/>
        <v>0</v>
      </c>
      <c r="CV198" s="16">
        <v>0</v>
      </c>
      <c r="CW198" s="17">
        <v>0</v>
      </c>
      <c r="CX198" s="40"/>
    </row>
    <row r="199" spans="1:102" ht="31.5" hidden="1" x14ac:dyDescent="0.25">
      <c r="A199" s="13" t="s">
        <v>209</v>
      </c>
      <c r="B199" s="14" t="s">
        <v>233</v>
      </c>
      <c r="C199" s="14" t="s">
        <v>1</v>
      </c>
      <c r="D199" s="30" t="s">
        <v>234</v>
      </c>
      <c r="E199" s="15">
        <f t="shared" ref="E199:AJ199" si="337">SUM(E200)</f>
        <v>61396038</v>
      </c>
      <c r="F199" s="16">
        <f t="shared" si="337"/>
        <v>61396038</v>
      </c>
      <c r="G199" s="16">
        <f t="shared" si="337"/>
        <v>61396038</v>
      </c>
      <c r="H199" s="16">
        <f t="shared" si="337"/>
        <v>0</v>
      </c>
      <c r="I199" s="16">
        <f t="shared" si="337"/>
        <v>0</v>
      </c>
      <c r="J199" s="16">
        <f t="shared" si="337"/>
        <v>0</v>
      </c>
      <c r="K199" s="16">
        <f t="shared" si="337"/>
        <v>0</v>
      </c>
      <c r="L199" s="16">
        <f t="shared" si="337"/>
        <v>0</v>
      </c>
      <c r="M199" s="16">
        <f t="shared" si="337"/>
        <v>0</v>
      </c>
      <c r="N199" s="16">
        <f t="shared" si="337"/>
        <v>0</v>
      </c>
      <c r="O199" s="16">
        <f t="shared" si="337"/>
        <v>0</v>
      </c>
      <c r="P199" s="16">
        <f t="shared" si="337"/>
        <v>0</v>
      </c>
      <c r="Q199" s="16">
        <f t="shared" si="337"/>
        <v>0</v>
      </c>
      <c r="R199" s="16">
        <f t="shared" si="337"/>
        <v>0</v>
      </c>
      <c r="S199" s="16">
        <f t="shared" si="337"/>
        <v>0</v>
      </c>
      <c r="T199" s="16">
        <f t="shared" si="337"/>
        <v>0</v>
      </c>
      <c r="U199" s="16">
        <f t="shared" si="337"/>
        <v>0</v>
      </c>
      <c r="V199" s="16">
        <f t="shared" si="337"/>
        <v>61396038</v>
      </c>
      <c r="W199" s="16">
        <f t="shared" si="337"/>
        <v>0</v>
      </c>
      <c r="X199" s="16">
        <f t="shared" si="337"/>
        <v>0</v>
      </c>
      <c r="Y199" s="16">
        <f t="shared" si="337"/>
        <v>0</v>
      </c>
      <c r="Z199" s="16">
        <f t="shared" si="337"/>
        <v>0</v>
      </c>
      <c r="AA199" s="16">
        <f t="shared" si="337"/>
        <v>0</v>
      </c>
      <c r="AB199" s="16">
        <f t="shared" si="337"/>
        <v>0</v>
      </c>
      <c r="AC199" s="16">
        <f t="shared" si="337"/>
        <v>61396038</v>
      </c>
      <c r="AD199" s="16">
        <f t="shared" si="337"/>
        <v>0</v>
      </c>
      <c r="AE199" s="16">
        <f t="shared" si="337"/>
        <v>0</v>
      </c>
      <c r="AF199" s="16">
        <f t="shared" si="337"/>
        <v>0</v>
      </c>
      <c r="AG199" s="16">
        <f t="shared" si="337"/>
        <v>0</v>
      </c>
      <c r="AH199" s="16">
        <f t="shared" si="337"/>
        <v>0</v>
      </c>
      <c r="AI199" s="16">
        <f t="shared" si="337"/>
        <v>0</v>
      </c>
      <c r="AJ199" s="16">
        <f t="shared" si="337"/>
        <v>0</v>
      </c>
      <c r="AK199" s="16">
        <f t="shared" ref="AK199:BR199" si="338">SUM(AK200)</f>
        <v>0</v>
      </c>
      <c r="AL199" s="16">
        <f t="shared" si="338"/>
        <v>0</v>
      </c>
      <c r="AM199" s="16">
        <f t="shared" si="338"/>
        <v>0</v>
      </c>
      <c r="AN199" s="16">
        <f t="shared" si="338"/>
        <v>0</v>
      </c>
      <c r="AO199" s="16">
        <f t="shared" si="338"/>
        <v>0</v>
      </c>
      <c r="AP199" s="16">
        <f t="shared" si="338"/>
        <v>0</v>
      </c>
      <c r="AQ199" s="16">
        <f t="shared" si="338"/>
        <v>0</v>
      </c>
      <c r="AR199" s="16">
        <f t="shared" si="338"/>
        <v>0</v>
      </c>
      <c r="AS199" s="16">
        <f t="shared" si="338"/>
        <v>0</v>
      </c>
      <c r="AT199" s="16">
        <f t="shared" si="338"/>
        <v>0</v>
      </c>
      <c r="AU199" s="16">
        <f t="shared" si="338"/>
        <v>0</v>
      </c>
      <c r="AV199" s="16">
        <f t="shared" si="338"/>
        <v>0</v>
      </c>
      <c r="AW199" s="16">
        <f t="shared" si="338"/>
        <v>0</v>
      </c>
      <c r="AX199" s="16">
        <f t="shared" si="338"/>
        <v>0</v>
      </c>
      <c r="AY199" s="16">
        <f t="shared" si="338"/>
        <v>0</v>
      </c>
      <c r="AZ199" s="16">
        <f t="shared" si="338"/>
        <v>0</v>
      </c>
      <c r="BA199" s="16">
        <f t="shared" si="338"/>
        <v>0</v>
      </c>
      <c r="BB199" s="16">
        <f t="shared" si="338"/>
        <v>0</v>
      </c>
      <c r="BC199" s="16">
        <f t="shared" si="338"/>
        <v>0</v>
      </c>
      <c r="BD199" s="16">
        <f t="shared" si="338"/>
        <v>0</v>
      </c>
      <c r="BE199" s="16">
        <f t="shared" si="338"/>
        <v>0</v>
      </c>
      <c r="BF199" s="16">
        <f t="shared" si="338"/>
        <v>0</v>
      </c>
      <c r="BG199" s="16">
        <f t="shared" si="338"/>
        <v>0</v>
      </c>
      <c r="BH199" s="16">
        <f t="shared" si="338"/>
        <v>0</v>
      </c>
      <c r="BI199" s="16">
        <f t="shared" si="338"/>
        <v>0</v>
      </c>
      <c r="BJ199" s="16">
        <f t="shared" si="338"/>
        <v>0</v>
      </c>
      <c r="BK199" s="16">
        <f t="shared" si="338"/>
        <v>0</v>
      </c>
      <c r="BL199" s="16">
        <f t="shared" si="338"/>
        <v>0</v>
      </c>
      <c r="BM199" s="16">
        <f t="shared" si="338"/>
        <v>0</v>
      </c>
      <c r="BN199" s="16">
        <f t="shared" si="338"/>
        <v>0</v>
      </c>
      <c r="BO199" s="16">
        <f t="shared" si="338"/>
        <v>0</v>
      </c>
      <c r="BP199" s="16">
        <f t="shared" si="338"/>
        <v>0</v>
      </c>
      <c r="BQ199" s="16">
        <f t="shared" si="338"/>
        <v>0</v>
      </c>
      <c r="BR199" s="16">
        <f t="shared" si="338"/>
        <v>0</v>
      </c>
      <c r="BS199" s="16">
        <f t="shared" ref="BS199:CW199" si="339">SUM(BS200)</f>
        <v>0</v>
      </c>
      <c r="BT199" s="16">
        <f t="shared" si="339"/>
        <v>0</v>
      </c>
      <c r="BU199" s="16">
        <f t="shared" si="339"/>
        <v>0</v>
      </c>
      <c r="BV199" s="16">
        <f t="shared" si="339"/>
        <v>0</v>
      </c>
      <c r="BW199" s="16">
        <f t="shared" si="339"/>
        <v>0</v>
      </c>
      <c r="BX199" s="16">
        <f t="shared" si="339"/>
        <v>0</v>
      </c>
      <c r="BY199" s="16">
        <f t="shared" si="339"/>
        <v>0</v>
      </c>
      <c r="BZ199" s="16">
        <f t="shared" si="339"/>
        <v>0</v>
      </c>
      <c r="CA199" s="16">
        <f t="shared" si="339"/>
        <v>0</v>
      </c>
      <c r="CB199" s="16">
        <f t="shared" si="339"/>
        <v>0</v>
      </c>
      <c r="CC199" s="16">
        <f t="shared" si="339"/>
        <v>0</v>
      </c>
      <c r="CD199" s="16">
        <f t="shared" si="339"/>
        <v>0</v>
      </c>
      <c r="CE199" s="16">
        <f t="shared" si="339"/>
        <v>0</v>
      </c>
      <c r="CF199" s="16">
        <f t="shared" si="339"/>
        <v>0</v>
      </c>
      <c r="CG199" s="16">
        <f t="shared" si="339"/>
        <v>0</v>
      </c>
      <c r="CH199" s="16">
        <f t="shared" si="339"/>
        <v>0</v>
      </c>
      <c r="CI199" s="16">
        <f t="shared" si="339"/>
        <v>0</v>
      </c>
      <c r="CJ199" s="16">
        <f t="shared" si="339"/>
        <v>0</v>
      </c>
      <c r="CK199" s="16">
        <f t="shared" si="339"/>
        <v>0</v>
      </c>
      <c r="CL199" s="16">
        <f t="shared" si="339"/>
        <v>0</v>
      </c>
      <c r="CM199" s="16">
        <f t="shared" si="339"/>
        <v>0</v>
      </c>
      <c r="CN199" s="16">
        <f t="shared" si="339"/>
        <v>0</v>
      </c>
      <c r="CO199" s="16">
        <f t="shared" si="339"/>
        <v>0</v>
      </c>
      <c r="CP199" s="16">
        <f t="shared" si="339"/>
        <v>0</v>
      </c>
      <c r="CQ199" s="16">
        <f t="shared" si="339"/>
        <v>0</v>
      </c>
      <c r="CR199" s="16">
        <f t="shared" si="339"/>
        <v>0</v>
      </c>
      <c r="CS199" s="16">
        <f t="shared" si="339"/>
        <v>0</v>
      </c>
      <c r="CT199" s="16">
        <f t="shared" si="339"/>
        <v>0</v>
      </c>
      <c r="CU199" s="16">
        <f t="shared" si="339"/>
        <v>0</v>
      </c>
      <c r="CV199" s="16">
        <f t="shared" si="339"/>
        <v>0</v>
      </c>
      <c r="CW199" s="17">
        <f t="shared" si="339"/>
        <v>0</v>
      </c>
      <c r="CX199" s="40"/>
    </row>
    <row r="200" spans="1:102" ht="31.5" hidden="1" x14ac:dyDescent="0.25">
      <c r="A200" s="13" t="s">
        <v>1</v>
      </c>
      <c r="B200" s="14" t="s">
        <v>1</v>
      </c>
      <c r="C200" s="14" t="s">
        <v>43</v>
      </c>
      <c r="D200" s="30" t="s">
        <v>234</v>
      </c>
      <c r="E200" s="15">
        <f>SUM(F200+BY200+CT200)</f>
        <v>61396038</v>
      </c>
      <c r="F200" s="16">
        <f>SUM(G200+BA200)</f>
        <v>61396038</v>
      </c>
      <c r="G200" s="16">
        <f>SUM(H200+I200+J200+Q200+T200+U200+V200+AE200)</f>
        <v>61396038</v>
      </c>
      <c r="H200" s="16">
        <v>0</v>
      </c>
      <c r="I200" s="16">
        <v>0</v>
      </c>
      <c r="J200" s="16">
        <f t="shared" si="238"/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f t="shared" si="239"/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f>SUM(W200:AD200)</f>
        <v>61396038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61396038</v>
      </c>
      <c r="AD200" s="16">
        <v>0</v>
      </c>
      <c r="AE200" s="16">
        <f>SUM(AF200:AZ200)</f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0</v>
      </c>
      <c r="AY200" s="16">
        <v>0</v>
      </c>
      <c r="AZ200" s="16">
        <v>0</v>
      </c>
      <c r="BA200" s="16">
        <f>SUM(BB200+BF200+BI200+BK200+BM200)</f>
        <v>0</v>
      </c>
      <c r="BB200" s="16">
        <f>SUM(BC200:BE200)</f>
        <v>0</v>
      </c>
      <c r="BC200" s="16">
        <v>0</v>
      </c>
      <c r="BD200" s="16">
        <v>0</v>
      </c>
      <c r="BE200" s="16">
        <v>0</v>
      </c>
      <c r="BF200" s="16">
        <f t="shared" si="240"/>
        <v>0</v>
      </c>
      <c r="BG200" s="16">
        <v>0</v>
      </c>
      <c r="BH200" s="16">
        <v>0</v>
      </c>
      <c r="BI200" s="16">
        <v>0</v>
      </c>
      <c r="BJ200" s="16">
        <v>0</v>
      </c>
      <c r="BK200" s="16">
        <f t="shared" si="241"/>
        <v>0</v>
      </c>
      <c r="BL200" s="16">
        <v>0</v>
      </c>
      <c r="BM200" s="16">
        <f t="shared" si="242"/>
        <v>0</v>
      </c>
      <c r="BN200" s="16">
        <v>0</v>
      </c>
      <c r="BO200" s="16">
        <v>0</v>
      </c>
      <c r="BP200" s="16">
        <v>0</v>
      </c>
      <c r="BQ200" s="16">
        <v>0</v>
      </c>
      <c r="BR200" s="16">
        <v>0</v>
      </c>
      <c r="BS200" s="16">
        <v>0</v>
      </c>
      <c r="BT200" s="16">
        <v>0</v>
      </c>
      <c r="BU200" s="16">
        <v>0</v>
      </c>
      <c r="BV200" s="16">
        <v>0</v>
      </c>
      <c r="BW200" s="16">
        <v>0</v>
      </c>
      <c r="BX200" s="16">
        <v>0</v>
      </c>
      <c r="BY200" s="16">
        <f>SUM(BZ200+CS200)</f>
        <v>0</v>
      </c>
      <c r="BZ200" s="16">
        <f>SUM(CA200+CD200+CK200)</f>
        <v>0</v>
      </c>
      <c r="CA200" s="16">
        <f t="shared" si="243"/>
        <v>0</v>
      </c>
      <c r="CB200" s="16">
        <v>0</v>
      </c>
      <c r="CC200" s="16">
        <v>0</v>
      </c>
      <c r="CD200" s="16">
        <f t="shared" si="244"/>
        <v>0</v>
      </c>
      <c r="CE200" s="16">
        <v>0</v>
      </c>
      <c r="CF200" s="16">
        <v>0</v>
      </c>
      <c r="CG200" s="16">
        <v>0</v>
      </c>
      <c r="CH200" s="16">
        <v>0</v>
      </c>
      <c r="CI200" s="16">
        <v>0</v>
      </c>
      <c r="CJ200" s="16">
        <v>0</v>
      </c>
      <c r="CK200" s="16">
        <f t="shared" si="245"/>
        <v>0</v>
      </c>
      <c r="CL200" s="16">
        <v>0</v>
      </c>
      <c r="CM200" s="16">
        <v>0</v>
      </c>
      <c r="CN200" s="16">
        <v>0</v>
      </c>
      <c r="CO200" s="16">
        <v>0</v>
      </c>
      <c r="CP200" s="16">
        <v>0</v>
      </c>
      <c r="CQ200" s="16">
        <v>0</v>
      </c>
      <c r="CR200" s="16">
        <v>0</v>
      </c>
      <c r="CS200" s="16">
        <v>0</v>
      </c>
      <c r="CT200" s="16">
        <f t="shared" si="246"/>
        <v>0</v>
      </c>
      <c r="CU200" s="16">
        <f t="shared" si="247"/>
        <v>0</v>
      </c>
      <c r="CV200" s="16">
        <v>0</v>
      </c>
      <c r="CW200" s="17">
        <v>0</v>
      </c>
      <c r="CX200" s="40"/>
    </row>
    <row r="201" spans="1:102" ht="31.5" hidden="1" x14ac:dyDescent="0.25">
      <c r="A201" s="18" t="s">
        <v>235</v>
      </c>
      <c r="B201" s="19" t="s">
        <v>1</v>
      </c>
      <c r="C201" s="19" t="s">
        <v>1</v>
      </c>
      <c r="D201" s="31" t="s">
        <v>236</v>
      </c>
      <c r="E201" s="20">
        <f>SUM(E202)</f>
        <v>34500</v>
      </c>
      <c r="F201" s="21">
        <f t="shared" ref="F201:BS205" si="340">SUM(F202)</f>
        <v>0</v>
      </c>
      <c r="G201" s="21">
        <f t="shared" si="340"/>
        <v>0</v>
      </c>
      <c r="H201" s="21">
        <f t="shared" si="340"/>
        <v>0</v>
      </c>
      <c r="I201" s="21">
        <f t="shared" si="340"/>
        <v>0</v>
      </c>
      <c r="J201" s="21">
        <f t="shared" si="340"/>
        <v>0</v>
      </c>
      <c r="K201" s="21">
        <f t="shared" si="340"/>
        <v>0</v>
      </c>
      <c r="L201" s="21">
        <f t="shared" si="340"/>
        <v>0</v>
      </c>
      <c r="M201" s="21">
        <f t="shared" si="340"/>
        <v>0</v>
      </c>
      <c r="N201" s="21">
        <f t="shared" si="340"/>
        <v>0</v>
      </c>
      <c r="O201" s="21">
        <f t="shared" si="340"/>
        <v>0</v>
      </c>
      <c r="P201" s="21">
        <f t="shared" si="340"/>
        <v>0</v>
      </c>
      <c r="Q201" s="21">
        <f t="shared" si="340"/>
        <v>0</v>
      </c>
      <c r="R201" s="21">
        <f t="shared" si="340"/>
        <v>0</v>
      </c>
      <c r="S201" s="21">
        <f t="shared" si="340"/>
        <v>0</v>
      </c>
      <c r="T201" s="21">
        <f t="shared" si="340"/>
        <v>0</v>
      </c>
      <c r="U201" s="21">
        <f t="shared" si="340"/>
        <v>0</v>
      </c>
      <c r="V201" s="21">
        <f t="shared" si="340"/>
        <v>0</v>
      </c>
      <c r="W201" s="21">
        <f t="shared" si="340"/>
        <v>0</v>
      </c>
      <c r="X201" s="21">
        <f t="shared" si="340"/>
        <v>0</v>
      </c>
      <c r="Y201" s="21">
        <f t="shared" si="340"/>
        <v>0</v>
      </c>
      <c r="Z201" s="21">
        <f t="shared" si="340"/>
        <v>0</v>
      </c>
      <c r="AA201" s="21">
        <f t="shared" si="340"/>
        <v>0</v>
      </c>
      <c r="AB201" s="21">
        <f t="shared" si="340"/>
        <v>0</v>
      </c>
      <c r="AC201" s="21">
        <f t="shared" si="340"/>
        <v>0</v>
      </c>
      <c r="AD201" s="21">
        <f t="shared" ref="AD201:AD205" si="341">SUM(AD202)</f>
        <v>0</v>
      </c>
      <c r="AE201" s="21">
        <f t="shared" si="340"/>
        <v>0</v>
      </c>
      <c r="AF201" s="21">
        <f t="shared" si="340"/>
        <v>0</v>
      </c>
      <c r="AG201" s="21">
        <f t="shared" si="340"/>
        <v>0</v>
      </c>
      <c r="AH201" s="21">
        <f t="shared" si="340"/>
        <v>0</v>
      </c>
      <c r="AI201" s="21">
        <f t="shared" si="340"/>
        <v>0</v>
      </c>
      <c r="AJ201" s="21">
        <f t="shared" si="340"/>
        <v>0</v>
      </c>
      <c r="AK201" s="21">
        <f t="shared" si="340"/>
        <v>0</v>
      </c>
      <c r="AL201" s="21">
        <f t="shared" si="340"/>
        <v>0</v>
      </c>
      <c r="AM201" s="21">
        <f t="shared" si="340"/>
        <v>0</v>
      </c>
      <c r="AN201" s="21">
        <f t="shared" si="340"/>
        <v>0</v>
      </c>
      <c r="AO201" s="21">
        <f t="shared" si="340"/>
        <v>0</v>
      </c>
      <c r="AP201" s="21">
        <f>SUM(AP202)</f>
        <v>0</v>
      </c>
      <c r="AQ201" s="21">
        <f t="shared" si="340"/>
        <v>0</v>
      </c>
      <c r="AR201" s="21">
        <f t="shared" si="340"/>
        <v>0</v>
      </c>
      <c r="AS201" s="21">
        <f t="shared" si="340"/>
        <v>0</v>
      </c>
      <c r="AT201" s="21">
        <f t="shared" si="340"/>
        <v>0</v>
      </c>
      <c r="AU201" s="21">
        <f t="shared" si="340"/>
        <v>0</v>
      </c>
      <c r="AV201" s="21">
        <f t="shared" si="340"/>
        <v>0</v>
      </c>
      <c r="AW201" s="21">
        <f t="shared" si="340"/>
        <v>0</v>
      </c>
      <c r="AX201" s="21">
        <f t="shared" si="340"/>
        <v>0</v>
      </c>
      <c r="AY201" s="21">
        <f>SUM(AY202)</f>
        <v>0</v>
      </c>
      <c r="AZ201" s="21">
        <f t="shared" si="340"/>
        <v>0</v>
      </c>
      <c r="BA201" s="21">
        <f t="shared" si="340"/>
        <v>0</v>
      </c>
      <c r="BB201" s="21">
        <f t="shared" si="340"/>
        <v>0</v>
      </c>
      <c r="BC201" s="21">
        <f t="shared" si="340"/>
        <v>0</v>
      </c>
      <c r="BD201" s="21">
        <f t="shared" si="340"/>
        <v>0</v>
      </c>
      <c r="BE201" s="21">
        <f t="shared" si="340"/>
        <v>0</v>
      </c>
      <c r="BF201" s="21">
        <f t="shared" si="340"/>
        <v>0</v>
      </c>
      <c r="BG201" s="21">
        <f t="shared" si="340"/>
        <v>0</v>
      </c>
      <c r="BH201" s="21">
        <f t="shared" si="340"/>
        <v>0</v>
      </c>
      <c r="BI201" s="21">
        <f t="shared" si="340"/>
        <v>0</v>
      </c>
      <c r="BJ201" s="21">
        <f t="shared" si="340"/>
        <v>0</v>
      </c>
      <c r="BK201" s="21">
        <f t="shared" si="340"/>
        <v>0</v>
      </c>
      <c r="BL201" s="21">
        <f t="shared" si="340"/>
        <v>0</v>
      </c>
      <c r="BM201" s="21">
        <f t="shared" si="340"/>
        <v>0</v>
      </c>
      <c r="BN201" s="21">
        <f t="shared" si="340"/>
        <v>0</v>
      </c>
      <c r="BO201" s="21">
        <f t="shared" si="340"/>
        <v>0</v>
      </c>
      <c r="BP201" s="21">
        <f t="shared" si="340"/>
        <v>0</v>
      </c>
      <c r="BQ201" s="21">
        <f t="shared" si="340"/>
        <v>0</v>
      </c>
      <c r="BR201" s="21">
        <f t="shared" si="340"/>
        <v>0</v>
      </c>
      <c r="BS201" s="21">
        <f t="shared" si="340"/>
        <v>0</v>
      </c>
      <c r="BT201" s="21">
        <f t="shared" ref="BT201:CW205" si="342">SUM(BT202)</f>
        <v>0</v>
      </c>
      <c r="BU201" s="21">
        <f t="shared" si="342"/>
        <v>0</v>
      </c>
      <c r="BV201" s="21">
        <f t="shared" si="342"/>
        <v>0</v>
      </c>
      <c r="BW201" s="21">
        <f t="shared" si="342"/>
        <v>0</v>
      </c>
      <c r="BX201" s="21">
        <f t="shared" si="342"/>
        <v>0</v>
      </c>
      <c r="BY201" s="21">
        <f t="shared" si="342"/>
        <v>0</v>
      </c>
      <c r="BZ201" s="21">
        <f t="shared" si="342"/>
        <v>0</v>
      </c>
      <c r="CA201" s="21">
        <f t="shared" si="342"/>
        <v>0</v>
      </c>
      <c r="CB201" s="21">
        <f t="shared" si="342"/>
        <v>0</v>
      </c>
      <c r="CC201" s="21">
        <f t="shared" si="342"/>
        <v>0</v>
      </c>
      <c r="CD201" s="21">
        <f t="shared" si="342"/>
        <v>0</v>
      </c>
      <c r="CE201" s="21">
        <f t="shared" si="342"/>
        <v>0</v>
      </c>
      <c r="CF201" s="21">
        <f t="shared" si="342"/>
        <v>0</v>
      </c>
      <c r="CG201" s="21">
        <f t="shared" si="342"/>
        <v>0</v>
      </c>
      <c r="CH201" s="21">
        <f t="shared" si="342"/>
        <v>0</v>
      </c>
      <c r="CI201" s="21">
        <f t="shared" si="342"/>
        <v>0</v>
      </c>
      <c r="CJ201" s="21">
        <f t="shared" si="342"/>
        <v>0</v>
      </c>
      <c r="CK201" s="21">
        <f t="shared" si="342"/>
        <v>0</v>
      </c>
      <c r="CL201" s="21">
        <f t="shared" si="342"/>
        <v>0</v>
      </c>
      <c r="CM201" s="21">
        <f t="shared" si="342"/>
        <v>0</v>
      </c>
      <c r="CN201" s="21">
        <f t="shared" si="342"/>
        <v>0</v>
      </c>
      <c r="CO201" s="21">
        <f t="shared" si="342"/>
        <v>0</v>
      </c>
      <c r="CP201" s="21">
        <f t="shared" si="342"/>
        <v>0</v>
      </c>
      <c r="CQ201" s="21">
        <f t="shared" si="342"/>
        <v>0</v>
      </c>
      <c r="CR201" s="21">
        <f t="shared" si="342"/>
        <v>0</v>
      </c>
      <c r="CS201" s="21">
        <f t="shared" si="342"/>
        <v>0</v>
      </c>
      <c r="CT201" s="21">
        <f t="shared" si="342"/>
        <v>34500</v>
      </c>
      <c r="CU201" s="21">
        <f t="shared" si="342"/>
        <v>34500</v>
      </c>
      <c r="CV201" s="21">
        <f t="shared" si="342"/>
        <v>34500</v>
      </c>
      <c r="CW201" s="22">
        <f t="shared" si="342"/>
        <v>0</v>
      </c>
      <c r="CX201" s="40"/>
    </row>
    <row r="202" spans="1:102" ht="15.75" hidden="1" x14ac:dyDescent="0.25">
      <c r="A202" s="13" t="s">
        <v>237</v>
      </c>
      <c r="B202" s="14" t="s">
        <v>3</v>
      </c>
      <c r="C202" s="14" t="s">
        <v>1</v>
      </c>
      <c r="D202" s="30" t="s">
        <v>238</v>
      </c>
      <c r="E202" s="15">
        <f>SUM(E203)</f>
        <v>34500</v>
      </c>
      <c r="F202" s="16">
        <f t="shared" si="340"/>
        <v>0</v>
      </c>
      <c r="G202" s="16">
        <f t="shared" si="340"/>
        <v>0</v>
      </c>
      <c r="H202" s="16">
        <f t="shared" si="340"/>
        <v>0</v>
      </c>
      <c r="I202" s="16">
        <f t="shared" si="340"/>
        <v>0</v>
      </c>
      <c r="J202" s="16">
        <f t="shared" si="340"/>
        <v>0</v>
      </c>
      <c r="K202" s="16">
        <f t="shared" si="340"/>
        <v>0</v>
      </c>
      <c r="L202" s="16">
        <f t="shared" si="340"/>
        <v>0</v>
      </c>
      <c r="M202" s="16">
        <f t="shared" si="340"/>
        <v>0</v>
      </c>
      <c r="N202" s="16">
        <f t="shared" si="340"/>
        <v>0</v>
      </c>
      <c r="O202" s="16">
        <f t="shared" si="340"/>
        <v>0</v>
      </c>
      <c r="P202" s="16">
        <f t="shared" si="340"/>
        <v>0</v>
      </c>
      <c r="Q202" s="16">
        <f t="shared" si="340"/>
        <v>0</v>
      </c>
      <c r="R202" s="16">
        <f t="shared" si="340"/>
        <v>0</v>
      </c>
      <c r="S202" s="16">
        <f t="shared" si="340"/>
        <v>0</v>
      </c>
      <c r="T202" s="16">
        <f t="shared" si="340"/>
        <v>0</v>
      </c>
      <c r="U202" s="16">
        <f t="shared" si="340"/>
        <v>0</v>
      </c>
      <c r="V202" s="16">
        <f t="shared" si="340"/>
        <v>0</v>
      </c>
      <c r="W202" s="16">
        <f t="shared" si="340"/>
        <v>0</v>
      </c>
      <c r="X202" s="16">
        <f t="shared" si="340"/>
        <v>0</v>
      </c>
      <c r="Y202" s="16">
        <f t="shared" si="340"/>
        <v>0</v>
      </c>
      <c r="Z202" s="16">
        <f t="shared" si="340"/>
        <v>0</v>
      </c>
      <c r="AA202" s="16">
        <f t="shared" si="340"/>
        <v>0</v>
      </c>
      <c r="AB202" s="16">
        <f t="shared" si="340"/>
        <v>0</v>
      </c>
      <c r="AC202" s="16">
        <f t="shared" si="340"/>
        <v>0</v>
      </c>
      <c r="AD202" s="16">
        <f t="shared" si="341"/>
        <v>0</v>
      </c>
      <c r="AE202" s="16">
        <f t="shared" si="340"/>
        <v>0</v>
      </c>
      <c r="AF202" s="16">
        <f t="shared" si="340"/>
        <v>0</v>
      </c>
      <c r="AG202" s="16">
        <f t="shared" si="340"/>
        <v>0</v>
      </c>
      <c r="AH202" s="16">
        <f t="shared" si="340"/>
        <v>0</v>
      </c>
      <c r="AI202" s="16">
        <f t="shared" si="340"/>
        <v>0</v>
      </c>
      <c r="AJ202" s="16">
        <f t="shared" si="340"/>
        <v>0</v>
      </c>
      <c r="AK202" s="16">
        <f t="shared" si="340"/>
        <v>0</v>
      </c>
      <c r="AL202" s="16">
        <f t="shared" si="340"/>
        <v>0</v>
      </c>
      <c r="AM202" s="16">
        <f t="shared" si="340"/>
        <v>0</v>
      </c>
      <c r="AN202" s="16">
        <f t="shared" si="340"/>
        <v>0</v>
      </c>
      <c r="AO202" s="16">
        <f t="shared" si="340"/>
        <v>0</v>
      </c>
      <c r="AP202" s="16">
        <f>SUM(AP203)</f>
        <v>0</v>
      </c>
      <c r="AQ202" s="16">
        <f t="shared" si="340"/>
        <v>0</v>
      </c>
      <c r="AR202" s="16">
        <f t="shared" si="340"/>
        <v>0</v>
      </c>
      <c r="AS202" s="16">
        <f t="shared" si="340"/>
        <v>0</v>
      </c>
      <c r="AT202" s="16">
        <f t="shared" si="340"/>
        <v>0</v>
      </c>
      <c r="AU202" s="16">
        <f t="shared" si="340"/>
        <v>0</v>
      </c>
      <c r="AV202" s="16">
        <f t="shared" si="340"/>
        <v>0</v>
      </c>
      <c r="AW202" s="16">
        <f t="shared" si="340"/>
        <v>0</v>
      </c>
      <c r="AX202" s="16">
        <f t="shared" si="340"/>
        <v>0</v>
      </c>
      <c r="AY202" s="16">
        <f>SUM(AY203)</f>
        <v>0</v>
      </c>
      <c r="AZ202" s="16">
        <f t="shared" si="340"/>
        <v>0</v>
      </c>
      <c r="BA202" s="16">
        <f t="shared" si="340"/>
        <v>0</v>
      </c>
      <c r="BB202" s="16">
        <f t="shared" si="340"/>
        <v>0</v>
      </c>
      <c r="BC202" s="16">
        <f t="shared" si="340"/>
        <v>0</v>
      </c>
      <c r="BD202" s="16">
        <f t="shared" si="340"/>
        <v>0</v>
      </c>
      <c r="BE202" s="16">
        <f t="shared" si="340"/>
        <v>0</v>
      </c>
      <c r="BF202" s="16">
        <f t="shared" si="340"/>
        <v>0</v>
      </c>
      <c r="BG202" s="16">
        <f t="shared" si="340"/>
        <v>0</v>
      </c>
      <c r="BH202" s="16">
        <f t="shared" si="340"/>
        <v>0</v>
      </c>
      <c r="BI202" s="16">
        <f t="shared" si="340"/>
        <v>0</v>
      </c>
      <c r="BJ202" s="16">
        <f t="shared" si="340"/>
        <v>0</v>
      </c>
      <c r="BK202" s="16">
        <f t="shared" si="340"/>
        <v>0</v>
      </c>
      <c r="BL202" s="16">
        <f t="shared" si="340"/>
        <v>0</v>
      </c>
      <c r="BM202" s="16">
        <f t="shared" si="340"/>
        <v>0</v>
      </c>
      <c r="BN202" s="16">
        <f t="shared" si="340"/>
        <v>0</v>
      </c>
      <c r="BO202" s="16">
        <f t="shared" si="340"/>
        <v>0</v>
      </c>
      <c r="BP202" s="16">
        <f t="shared" si="340"/>
        <v>0</v>
      </c>
      <c r="BQ202" s="16">
        <f t="shared" si="340"/>
        <v>0</v>
      </c>
      <c r="BR202" s="16">
        <f t="shared" si="340"/>
        <v>0</v>
      </c>
      <c r="BS202" s="16">
        <f t="shared" si="340"/>
        <v>0</v>
      </c>
      <c r="BT202" s="16">
        <f t="shared" si="342"/>
        <v>0</v>
      </c>
      <c r="BU202" s="16">
        <f t="shared" si="342"/>
        <v>0</v>
      </c>
      <c r="BV202" s="16">
        <f t="shared" si="342"/>
        <v>0</v>
      </c>
      <c r="BW202" s="16">
        <f t="shared" si="342"/>
        <v>0</v>
      </c>
      <c r="BX202" s="16">
        <f t="shared" si="342"/>
        <v>0</v>
      </c>
      <c r="BY202" s="16">
        <f t="shared" si="342"/>
        <v>0</v>
      </c>
      <c r="BZ202" s="16">
        <f t="shared" si="342"/>
        <v>0</v>
      </c>
      <c r="CA202" s="16">
        <f t="shared" si="342"/>
        <v>0</v>
      </c>
      <c r="CB202" s="16">
        <f t="shared" si="342"/>
        <v>0</v>
      </c>
      <c r="CC202" s="16">
        <f t="shared" si="342"/>
        <v>0</v>
      </c>
      <c r="CD202" s="16">
        <f t="shared" si="342"/>
        <v>0</v>
      </c>
      <c r="CE202" s="16">
        <f t="shared" si="342"/>
        <v>0</v>
      </c>
      <c r="CF202" s="16">
        <f t="shared" si="342"/>
        <v>0</v>
      </c>
      <c r="CG202" s="16">
        <f t="shared" si="342"/>
        <v>0</v>
      </c>
      <c r="CH202" s="16">
        <f t="shared" si="342"/>
        <v>0</v>
      </c>
      <c r="CI202" s="16">
        <f t="shared" si="342"/>
        <v>0</v>
      </c>
      <c r="CJ202" s="16">
        <f t="shared" si="342"/>
        <v>0</v>
      </c>
      <c r="CK202" s="16">
        <f t="shared" si="342"/>
        <v>0</v>
      </c>
      <c r="CL202" s="16">
        <f t="shared" si="342"/>
        <v>0</v>
      </c>
      <c r="CM202" s="16">
        <f t="shared" si="342"/>
        <v>0</v>
      </c>
      <c r="CN202" s="16">
        <f t="shared" si="342"/>
        <v>0</v>
      </c>
      <c r="CO202" s="16">
        <f t="shared" si="342"/>
        <v>0</v>
      </c>
      <c r="CP202" s="16">
        <f t="shared" si="342"/>
        <v>0</v>
      </c>
      <c r="CQ202" s="16">
        <f t="shared" si="342"/>
        <v>0</v>
      </c>
      <c r="CR202" s="16">
        <f t="shared" si="342"/>
        <v>0</v>
      </c>
      <c r="CS202" s="16">
        <f t="shared" si="342"/>
        <v>0</v>
      </c>
      <c r="CT202" s="16">
        <f t="shared" si="342"/>
        <v>34500</v>
      </c>
      <c r="CU202" s="16">
        <f t="shared" si="342"/>
        <v>34500</v>
      </c>
      <c r="CV202" s="16">
        <f t="shared" si="342"/>
        <v>34500</v>
      </c>
      <c r="CW202" s="17">
        <f t="shared" si="342"/>
        <v>0</v>
      </c>
      <c r="CX202" s="40"/>
    </row>
    <row r="203" spans="1:102" ht="15.75" hidden="1" x14ac:dyDescent="0.25">
      <c r="A203" s="13" t="s">
        <v>1</v>
      </c>
      <c r="B203" s="14" t="s">
        <v>1</v>
      </c>
      <c r="C203" s="14" t="s">
        <v>43</v>
      </c>
      <c r="D203" s="30" t="s">
        <v>238</v>
      </c>
      <c r="E203" s="15">
        <f>SUM(F203+BY203+CT203)</f>
        <v>34500</v>
      </c>
      <c r="F203" s="16">
        <f>SUM(G203+BA203)</f>
        <v>0</v>
      </c>
      <c r="G203" s="16">
        <f>SUM(H203+I203+J203+Q203+T203+U203+V203+AE203)</f>
        <v>0</v>
      </c>
      <c r="H203" s="16">
        <v>0</v>
      </c>
      <c r="I203" s="16">
        <v>0</v>
      </c>
      <c r="J203" s="16">
        <f t="shared" si="238"/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f t="shared" si="239"/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f>SUM(W203:AD203)</f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f>SUM(AF203:AZ203)</f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f>SUM(BB203+BF203+BI203+BK203+BM203)</f>
        <v>0</v>
      </c>
      <c r="BB203" s="16">
        <f>SUM(BC203:BE203)</f>
        <v>0</v>
      </c>
      <c r="BC203" s="16">
        <v>0</v>
      </c>
      <c r="BD203" s="16">
        <v>0</v>
      </c>
      <c r="BE203" s="16">
        <v>0</v>
      </c>
      <c r="BF203" s="16">
        <f t="shared" si="240"/>
        <v>0</v>
      </c>
      <c r="BG203" s="16">
        <v>0</v>
      </c>
      <c r="BH203" s="16">
        <v>0</v>
      </c>
      <c r="BI203" s="16">
        <v>0</v>
      </c>
      <c r="BJ203" s="16">
        <v>0</v>
      </c>
      <c r="BK203" s="16">
        <f t="shared" si="241"/>
        <v>0</v>
      </c>
      <c r="BL203" s="16">
        <v>0</v>
      </c>
      <c r="BM203" s="16">
        <f t="shared" si="242"/>
        <v>0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  <c r="BW203" s="16">
        <v>0</v>
      </c>
      <c r="BX203" s="16">
        <v>0</v>
      </c>
      <c r="BY203" s="16">
        <f>SUM(BZ203+CS203)</f>
        <v>0</v>
      </c>
      <c r="BZ203" s="16">
        <f>SUM(CA203+CD203+CK203)</f>
        <v>0</v>
      </c>
      <c r="CA203" s="16">
        <f t="shared" si="243"/>
        <v>0</v>
      </c>
      <c r="CB203" s="16">
        <v>0</v>
      </c>
      <c r="CC203" s="16">
        <v>0</v>
      </c>
      <c r="CD203" s="16">
        <f t="shared" si="244"/>
        <v>0</v>
      </c>
      <c r="CE203" s="16">
        <v>0</v>
      </c>
      <c r="CF203" s="16">
        <v>0</v>
      </c>
      <c r="CG203" s="16">
        <v>0</v>
      </c>
      <c r="CH203" s="16">
        <v>0</v>
      </c>
      <c r="CI203" s="16">
        <v>0</v>
      </c>
      <c r="CJ203" s="16">
        <v>0</v>
      </c>
      <c r="CK203" s="16">
        <f t="shared" si="245"/>
        <v>0</v>
      </c>
      <c r="CL203" s="16">
        <v>0</v>
      </c>
      <c r="CM203" s="16">
        <v>0</v>
      </c>
      <c r="CN203" s="16">
        <v>0</v>
      </c>
      <c r="CO203" s="16">
        <v>0</v>
      </c>
      <c r="CP203" s="16">
        <v>0</v>
      </c>
      <c r="CQ203" s="16">
        <v>0</v>
      </c>
      <c r="CR203" s="16">
        <v>0</v>
      </c>
      <c r="CS203" s="16">
        <v>0</v>
      </c>
      <c r="CT203" s="16">
        <f t="shared" si="246"/>
        <v>34500</v>
      </c>
      <c r="CU203" s="16">
        <f t="shared" si="247"/>
        <v>34500</v>
      </c>
      <c r="CV203" s="16">
        <v>34500</v>
      </c>
      <c r="CW203" s="17">
        <v>0</v>
      </c>
      <c r="CX203" s="40"/>
    </row>
    <row r="204" spans="1:102" ht="31.5" hidden="1" x14ac:dyDescent="0.25">
      <c r="A204" s="18" t="s">
        <v>527</v>
      </c>
      <c r="B204" s="19" t="s">
        <v>1</v>
      </c>
      <c r="C204" s="19" t="s">
        <v>1</v>
      </c>
      <c r="D204" s="31" t="s">
        <v>530</v>
      </c>
      <c r="E204" s="20">
        <f>SUM(E205)</f>
        <v>3875517</v>
      </c>
      <c r="F204" s="21">
        <f t="shared" si="340"/>
        <v>0</v>
      </c>
      <c r="G204" s="21">
        <f t="shared" si="340"/>
        <v>0</v>
      </c>
      <c r="H204" s="21">
        <f t="shared" si="340"/>
        <v>0</v>
      </c>
      <c r="I204" s="21">
        <f t="shared" si="340"/>
        <v>0</v>
      </c>
      <c r="J204" s="21">
        <f t="shared" si="340"/>
        <v>0</v>
      </c>
      <c r="K204" s="21">
        <f t="shared" si="340"/>
        <v>0</v>
      </c>
      <c r="L204" s="21">
        <f t="shared" si="340"/>
        <v>0</v>
      </c>
      <c r="M204" s="21">
        <f t="shared" si="340"/>
        <v>0</v>
      </c>
      <c r="N204" s="21">
        <f t="shared" si="340"/>
        <v>0</v>
      </c>
      <c r="O204" s="21">
        <f t="shared" si="340"/>
        <v>0</v>
      </c>
      <c r="P204" s="21">
        <f t="shared" si="340"/>
        <v>0</v>
      </c>
      <c r="Q204" s="21">
        <f t="shared" si="340"/>
        <v>0</v>
      </c>
      <c r="R204" s="21">
        <f t="shared" si="340"/>
        <v>0</v>
      </c>
      <c r="S204" s="21">
        <f t="shared" si="340"/>
        <v>0</v>
      </c>
      <c r="T204" s="21">
        <f t="shared" si="340"/>
        <v>0</v>
      </c>
      <c r="U204" s="21">
        <f t="shared" si="340"/>
        <v>0</v>
      </c>
      <c r="V204" s="21">
        <f t="shared" si="340"/>
        <v>0</v>
      </c>
      <c r="W204" s="21">
        <f t="shared" si="340"/>
        <v>0</v>
      </c>
      <c r="X204" s="21">
        <f t="shared" si="340"/>
        <v>0</v>
      </c>
      <c r="Y204" s="21">
        <f t="shared" si="340"/>
        <v>0</v>
      </c>
      <c r="Z204" s="21">
        <f t="shared" si="340"/>
        <v>0</v>
      </c>
      <c r="AA204" s="21">
        <f t="shared" si="340"/>
        <v>0</v>
      </c>
      <c r="AB204" s="21">
        <f t="shared" si="340"/>
        <v>0</v>
      </c>
      <c r="AC204" s="21">
        <f t="shared" si="340"/>
        <v>0</v>
      </c>
      <c r="AD204" s="21">
        <f t="shared" si="341"/>
        <v>0</v>
      </c>
      <c r="AE204" s="21">
        <f t="shared" si="340"/>
        <v>0</v>
      </c>
      <c r="AF204" s="21">
        <f t="shared" si="340"/>
        <v>0</v>
      </c>
      <c r="AG204" s="21">
        <f t="shared" si="340"/>
        <v>0</v>
      </c>
      <c r="AH204" s="21">
        <f t="shared" si="340"/>
        <v>0</v>
      </c>
      <c r="AI204" s="21">
        <f t="shared" si="340"/>
        <v>0</v>
      </c>
      <c r="AJ204" s="21">
        <f t="shared" si="340"/>
        <v>0</v>
      </c>
      <c r="AK204" s="21">
        <f t="shared" si="340"/>
        <v>0</v>
      </c>
      <c r="AL204" s="21">
        <f t="shared" si="340"/>
        <v>0</v>
      </c>
      <c r="AM204" s="21">
        <f t="shared" si="340"/>
        <v>0</v>
      </c>
      <c r="AN204" s="21">
        <f t="shared" si="340"/>
        <v>0</v>
      </c>
      <c r="AO204" s="21">
        <f t="shared" si="340"/>
        <v>0</v>
      </c>
      <c r="AP204" s="21">
        <f>SUM(AP205)</f>
        <v>0</v>
      </c>
      <c r="AQ204" s="21">
        <f t="shared" si="340"/>
        <v>0</v>
      </c>
      <c r="AR204" s="21">
        <f t="shared" si="340"/>
        <v>0</v>
      </c>
      <c r="AS204" s="21">
        <f t="shared" si="340"/>
        <v>0</v>
      </c>
      <c r="AT204" s="21">
        <f t="shared" si="340"/>
        <v>0</v>
      </c>
      <c r="AU204" s="21">
        <f t="shared" si="340"/>
        <v>0</v>
      </c>
      <c r="AV204" s="21">
        <f t="shared" si="340"/>
        <v>0</v>
      </c>
      <c r="AW204" s="21">
        <f t="shared" si="340"/>
        <v>0</v>
      </c>
      <c r="AX204" s="21">
        <f t="shared" si="340"/>
        <v>0</v>
      </c>
      <c r="AY204" s="21">
        <f>SUM(AY205)</f>
        <v>0</v>
      </c>
      <c r="AZ204" s="21">
        <f t="shared" si="340"/>
        <v>0</v>
      </c>
      <c r="BA204" s="21">
        <f t="shared" si="340"/>
        <v>0</v>
      </c>
      <c r="BB204" s="21">
        <f t="shared" si="340"/>
        <v>0</v>
      </c>
      <c r="BC204" s="21">
        <f t="shared" si="340"/>
        <v>0</v>
      </c>
      <c r="BD204" s="21">
        <f t="shared" si="340"/>
        <v>0</v>
      </c>
      <c r="BE204" s="21">
        <f t="shared" si="340"/>
        <v>0</v>
      </c>
      <c r="BF204" s="21">
        <f t="shared" si="340"/>
        <v>0</v>
      </c>
      <c r="BG204" s="21">
        <f t="shared" si="340"/>
        <v>0</v>
      </c>
      <c r="BH204" s="21">
        <f t="shared" si="340"/>
        <v>0</v>
      </c>
      <c r="BI204" s="21">
        <f t="shared" si="340"/>
        <v>0</v>
      </c>
      <c r="BJ204" s="21">
        <f t="shared" si="340"/>
        <v>0</v>
      </c>
      <c r="BK204" s="21">
        <f t="shared" si="340"/>
        <v>0</v>
      </c>
      <c r="BL204" s="21">
        <f t="shared" si="340"/>
        <v>0</v>
      </c>
      <c r="BM204" s="21">
        <f t="shared" si="340"/>
        <v>0</v>
      </c>
      <c r="BN204" s="21">
        <f t="shared" si="340"/>
        <v>0</v>
      </c>
      <c r="BO204" s="21">
        <f t="shared" si="340"/>
        <v>0</v>
      </c>
      <c r="BP204" s="21">
        <f t="shared" si="340"/>
        <v>0</v>
      </c>
      <c r="BQ204" s="21">
        <f t="shared" si="340"/>
        <v>0</v>
      </c>
      <c r="BR204" s="21">
        <f t="shared" si="340"/>
        <v>0</v>
      </c>
      <c r="BS204" s="21">
        <f t="shared" si="340"/>
        <v>0</v>
      </c>
      <c r="BT204" s="21">
        <f t="shared" si="342"/>
        <v>0</v>
      </c>
      <c r="BU204" s="21">
        <f t="shared" si="342"/>
        <v>0</v>
      </c>
      <c r="BV204" s="21">
        <f t="shared" si="342"/>
        <v>0</v>
      </c>
      <c r="BW204" s="21">
        <f t="shared" si="342"/>
        <v>0</v>
      </c>
      <c r="BX204" s="21">
        <f t="shared" si="342"/>
        <v>0</v>
      </c>
      <c r="BY204" s="21">
        <f t="shared" si="342"/>
        <v>3875517</v>
      </c>
      <c r="BZ204" s="21">
        <f t="shared" si="342"/>
        <v>0</v>
      </c>
      <c r="CA204" s="21">
        <f t="shared" si="342"/>
        <v>0</v>
      </c>
      <c r="CB204" s="21">
        <f t="shared" si="342"/>
        <v>0</v>
      </c>
      <c r="CC204" s="21">
        <f t="shared" si="342"/>
        <v>0</v>
      </c>
      <c r="CD204" s="21">
        <f t="shared" si="342"/>
        <v>0</v>
      </c>
      <c r="CE204" s="21">
        <f t="shared" si="342"/>
        <v>0</v>
      </c>
      <c r="CF204" s="21">
        <f t="shared" si="342"/>
        <v>0</v>
      </c>
      <c r="CG204" s="21">
        <f t="shared" si="342"/>
        <v>0</v>
      </c>
      <c r="CH204" s="21">
        <f t="shared" si="342"/>
        <v>0</v>
      </c>
      <c r="CI204" s="21">
        <f t="shared" si="342"/>
        <v>0</v>
      </c>
      <c r="CJ204" s="21">
        <f t="shared" si="342"/>
        <v>0</v>
      </c>
      <c r="CK204" s="21">
        <f t="shared" si="342"/>
        <v>0</v>
      </c>
      <c r="CL204" s="21">
        <f t="shared" si="342"/>
        <v>0</v>
      </c>
      <c r="CM204" s="21">
        <f t="shared" si="342"/>
        <v>0</v>
      </c>
      <c r="CN204" s="21">
        <f t="shared" si="342"/>
        <v>0</v>
      </c>
      <c r="CO204" s="21">
        <f t="shared" si="342"/>
        <v>0</v>
      </c>
      <c r="CP204" s="21">
        <f t="shared" si="342"/>
        <v>0</v>
      </c>
      <c r="CQ204" s="21">
        <f t="shared" si="342"/>
        <v>3875517</v>
      </c>
      <c r="CR204" s="21">
        <f t="shared" si="342"/>
        <v>3875517</v>
      </c>
      <c r="CS204" s="21">
        <f t="shared" si="342"/>
        <v>0</v>
      </c>
      <c r="CT204" s="21">
        <f t="shared" si="342"/>
        <v>0</v>
      </c>
      <c r="CU204" s="21">
        <f t="shared" si="342"/>
        <v>0</v>
      </c>
      <c r="CV204" s="21">
        <f t="shared" si="342"/>
        <v>0</v>
      </c>
      <c r="CW204" s="22">
        <f t="shared" si="342"/>
        <v>0</v>
      </c>
      <c r="CX204" s="40"/>
    </row>
    <row r="205" spans="1:102" ht="15.75" hidden="1" x14ac:dyDescent="0.25">
      <c r="A205" s="13" t="s">
        <v>528</v>
      </c>
      <c r="B205" s="14" t="s">
        <v>15</v>
      </c>
      <c r="C205" s="14" t="s">
        <v>1</v>
      </c>
      <c r="D205" s="30" t="s">
        <v>529</v>
      </c>
      <c r="E205" s="15">
        <f>SUM(E206)</f>
        <v>3875517</v>
      </c>
      <c r="F205" s="16">
        <f t="shared" si="340"/>
        <v>0</v>
      </c>
      <c r="G205" s="16">
        <f t="shared" si="340"/>
        <v>0</v>
      </c>
      <c r="H205" s="16">
        <f t="shared" si="340"/>
        <v>0</v>
      </c>
      <c r="I205" s="16">
        <f t="shared" si="340"/>
        <v>0</v>
      </c>
      <c r="J205" s="16">
        <f t="shared" si="340"/>
        <v>0</v>
      </c>
      <c r="K205" s="16">
        <f t="shared" si="340"/>
        <v>0</v>
      </c>
      <c r="L205" s="16">
        <f t="shared" si="340"/>
        <v>0</v>
      </c>
      <c r="M205" s="16">
        <f t="shared" si="340"/>
        <v>0</v>
      </c>
      <c r="N205" s="16">
        <f t="shared" si="340"/>
        <v>0</v>
      </c>
      <c r="O205" s="16">
        <f t="shared" si="340"/>
        <v>0</v>
      </c>
      <c r="P205" s="16">
        <f t="shared" si="340"/>
        <v>0</v>
      </c>
      <c r="Q205" s="16">
        <f t="shared" si="340"/>
        <v>0</v>
      </c>
      <c r="R205" s="16">
        <f t="shared" si="340"/>
        <v>0</v>
      </c>
      <c r="S205" s="16">
        <f t="shared" si="340"/>
        <v>0</v>
      </c>
      <c r="T205" s="16">
        <f t="shared" si="340"/>
        <v>0</v>
      </c>
      <c r="U205" s="16">
        <f t="shared" si="340"/>
        <v>0</v>
      </c>
      <c r="V205" s="16">
        <f t="shared" si="340"/>
        <v>0</v>
      </c>
      <c r="W205" s="16">
        <f t="shared" si="340"/>
        <v>0</v>
      </c>
      <c r="X205" s="16">
        <f t="shared" si="340"/>
        <v>0</v>
      </c>
      <c r="Y205" s="16">
        <f t="shared" si="340"/>
        <v>0</v>
      </c>
      <c r="Z205" s="16">
        <f t="shared" si="340"/>
        <v>0</v>
      </c>
      <c r="AA205" s="16">
        <f t="shared" si="340"/>
        <v>0</v>
      </c>
      <c r="AB205" s="16">
        <f t="shared" si="340"/>
        <v>0</v>
      </c>
      <c r="AC205" s="16">
        <f t="shared" si="340"/>
        <v>0</v>
      </c>
      <c r="AD205" s="16">
        <f t="shared" si="341"/>
        <v>0</v>
      </c>
      <c r="AE205" s="16">
        <f t="shared" si="340"/>
        <v>0</v>
      </c>
      <c r="AF205" s="16">
        <f t="shared" si="340"/>
        <v>0</v>
      </c>
      <c r="AG205" s="16">
        <f t="shared" si="340"/>
        <v>0</v>
      </c>
      <c r="AH205" s="16">
        <f t="shared" si="340"/>
        <v>0</v>
      </c>
      <c r="AI205" s="16">
        <f t="shared" si="340"/>
        <v>0</v>
      </c>
      <c r="AJ205" s="16">
        <f t="shared" si="340"/>
        <v>0</v>
      </c>
      <c r="AK205" s="16">
        <f t="shared" si="340"/>
        <v>0</v>
      </c>
      <c r="AL205" s="16">
        <f t="shared" si="340"/>
        <v>0</v>
      </c>
      <c r="AM205" s="16">
        <f t="shared" si="340"/>
        <v>0</v>
      </c>
      <c r="AN205" s="16">
        <f t="shared" si="340"/>
        <v>0</v>
      </c>
      <c r="AO205" s="16">
        <f t="shared" si="340"/>
        <v>0</v>
      </c>
      <c r="AP205" s="16">
        <f>SUM(AP206)</f>
        <v>0</v>
      </c>
      <c r="AQ205" s="16">
        <f t="shared" si="340"/>
        <v>0</v>
      </c>
      <c r="AR205" s="16">
        <f t="shared" si="340"/>
        <v>0</v>
      </c>
      <c r="AS205" s="16">
        <f t="shared" si="340"/>
        <v>0</v>
      </c>
      <c r="AT205" s="16">
        <f t="shared" si="340"/>
        <v>0</v>
      </c>
      <c r="AU205" s="16">
        <f t="shared" si="340"/>
        <v>0</v>
      </c>
      <c r="AV205" s="16">
        <f t="shared" si="340"/>
        <v>0</v>
      </c>
      <c r="AW205" s="16">
        <f t="shared" si="340"/>
        <v>0</v>
      </c>
      <c r="AX205" s="16">
        <f t="shared" si="340"/>
        <v>0</v>
      </c>
      <c r="AY205" s="16">
        <f>SUM(AY206)</f>
        <v>0</v>
      </c>
      <c r="AZ205" s="16">
        <f t="shared" si="340"/>
        <v>0</v>
      </c>
      <c r="BA205" s="16">
        <f t="shared" si="340"/>
        <v>0</v>
      </c>
      <c r="BB205" s="16">
        <f t="shared" si="340"/>
        <v>0</v>
      </c>
      <c r="BC205" s="16">
        <f t="shared" si="340"/>
        <v>0</v>
      </c>
      <c r="BD205" s="16">
        <f t="shared" si="340"/>
        <v>0</v>
      </c>
      <c r="BE205" s="16">
        <f t="shared" si="340"/>
        <v>0</v>
      </c>
      <c r="BF205" s="16">
        <f t="shared" si="340"/>
        <v>0</v>
      </c>
      <c r="BG205" s="16">
        <f t="shared" si="340"/>
        <v>0</v>
      </c>
      <c r="BH205" s="16">
        <f t="shared" si="340"/>
        <v>0</v>
      </c>
      <c r="BI205" s="16">
        <f t="shared" si="340"/>
        <v>0</v>
      </c>
      <c r="BJ205" s="16">
        <f t="shared" si="340"/>
        <v>0</v>
      </c>
      <c r="BK205" s="16">
        <f t="shared" si="340"/>
        <v>0</v>
      </c>
      <c r="BL205" s="16">
        <f t="shared" si="340"/>
        <v>0</v>
      </c>
      <c r="BM205" s="16">
        <f t="shared" si="340"/>
        <v>0</v>
      </c>
      <c r="BN205" s="16">
        <f t="shared" si="340"/>
        <v>0</v>
      </c>
      <c r="BO205" s="16">
        <f t="shared" si="340"/>
        <v>0</v>
      </c>
      <c r="BP205" s="16">
        <f t="shared" si="340"/>
        <v>0</v>
      </c>
      <c r="BQ205" s="16">
        <f t="shared" si="340"/>
        <v>0</v>
      </c>
      <c r="BR205" s="16">
        <f t="shared" si="340"/>
        <v>0</v>
      </c>
      <c r="BS205" s="16">
        <f>SUM(BS206)</f>
        <v>0</v>
      </c>
      <c r="BT205" s="16">
        <f t="shared" si="342"/>
        <v>0</v>
      </c>
      <c r="BU205" s="16">
        <f t="shared" si="342"/>
        <v>0</v>
      </c>
      <c r="BV205" s="16">
        <f t="shared" si="342"/>
        <v>0</v>
      </c>
      <c r="BW205" s="16">
        <f t="shared" si="342"/>
        <v>0</v>
      </c>
      <c r="BX205" s="16">
        <f t="shared" si="342"/>
        <v>0</v>
      </c>
      <c r="BY205" s="16">
        <f t="shared" si="342"/>
        <v>3875517</v>
      </c>
      <c r="BZ205" s="16">
        <f t="shared" si="342"/>
        <v>0</v>
      </c>
      <c r="CA205" s="16">
        <f t="shared" si="342"/>
        <v>0</v>
      </c>
      <c r="CB205" s="16">
        <f t="shared" si="342"/>
        <v>0</v>
      </c>
      <c r="CC205" s="16">
        <f t="shared" si="342"/>
        <v>0</v>
      </c>
      <c r="CD205" s="16">
        <f t="shared" si="342"/>
        <v>0</v>
      </c>
      <c r="CE205" s="16">
        <f t="shared" si="342"/>
        <v>0</v>
      </c>
      <c r="CF205" s="16">
        <f t="shared" si="342"/>
        <v>0</v>
      </c>
      <c r="CG205" s="16">
        <f t="shared" si="342"/>
        <v>0</v>
      </c>
      <c r="CH205" s="16">
        <f t="shared" si="342"/>
        <v>0</v>
      </c>
      <c r="CI205" s="16">
        <f t="shared" si="342"/>
        <v>0</v>
      </c>
      <c r="CJ205" s="16">
        <f t="shared" si="342"/>
        <v>0</v>
      </c>
      <c r="CK205" s="16">
        <f t="shared" si="342"/>
        <v>0</v>
      </c>
      <c r="CL205" s="16">
        <f t="shared" si="342"/>
        <v>0</v>
      </c>
      <c r="CM205" s="16">
        <f t="shared" si="342"/>
        <v>0</v>
      </c>
      <c r="CN205" s="16">
        <f t="shared" si="342"/>
        <v>0</v>
      </c>
      <c r="CO205" s="16">
        <f t="shared" si="342"/>
        <v>0</v>
      </c>
      <c r="CP205" s="16">
        <f t="shared" si="342"/>
        <v>0</v>
      </c>
      <c r="CQ205" s="16">
        <f t="shared" si="342"/>
        <v>3875517</v>
      </c>
      <c r="CR205" s="16">
        <f t="shared" si="342"/>
        <v>3875517</v>
      </c>
      <c r="CS205" s="16">
        <f t="shared" si="342"/>
        <v>0</v>
      </c>
      <c r="CT205" s="16">
        <f t="shared" si="342"/>
        <v>0</v>
      </c>
      <c r="CU205" s="16">
        <f t="shared" si="342"/>
        <v>0</v>
      </c>
      <c r="CV205" s="16">
        <f t="shared" si="342"/>
        <v>0</v>
      </c>
      <c r="CW205" s="17">
        <f t="shared" si="342"/>
        <v>0</v>
      </c>
      <c r="CX205" s="40"/>
    </row>
    <row r="206" spans="1:102" ht="15.75" hidden="1" x14ac:dyDescent="0.25">
      <c r="A206" s="13" t="s">
        <v>1</v>
      </c>
      <c r="B206" s="14" t="s">
        <v>1</v>
      </c>
      <c r="C206" s="14" t="s">
        <v>41</v>
      </c>
      <c r="D206" s="30" t="s">
        <v>529</v>
      </c>
      <c r="E206" s="15">
        <f>SUM(F206+BY206+CT206)</f>
        <v>3875517</v>
      </c>
      <c r="F206" s="16">
        <f>SUM(G206+BA206)</f>
        <v>0</v>
      </c>
      <c r="G206" s="16">
        <f>SUM(H206+I206+J206+Q206+T206+U206+V206+AE206)</f>
        <v>0</v>
      </c>
      <c r="H206" s="16">
        <v>0</v>
      </c>
      <c r="I206" s="16">
        <v>0</v>
      </c>
      <c r="J206" s="16">
        <f>SUM(K206:P206)</f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f>SUM(R206:S206)</f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f>SUM(W206:AD206)</f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f>SUM(AF206:AZ206)</f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16"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0</v>
      </c>
      <c r="AZ206" s="16"/>
      <c r="BA206" s="16">
        <f>SUM(BB206+BF206+BI206+BK206+BM206)</f>
        <v>0</v>
      </c>
      <c r="BB206" s="16">
        <f>SUM(BC206:BE206)</f>
        <v>0</v>
      </c>
      <c r="BC206" s="16">
        <v>0</v>
      </c>
      <c r="BD206" s="16">
        <v>0</v>
      </c>
      <c r="BE206" s="16">
        <v>0</v>
      </c>
      <c r="BF206" s="16">
        <f>SUM(BG206:BH206)</f>
        <v>0</v>
      </c>
      <c r="BG206" s="16">
        <v>0</v>
      </c>
      <c r="BH206" s="16">
        <v>0</v>
      </c>
      <c r="BI206" s="16">
        <v>0</v>
      </c>
      <c r="BJ206" s="16">
        <v>0</v>
      </c>
      <c r="BK206" s="16">
        <f>SUM(BL206)</f>
        <v>0</v>
      </c>
      <c r="BL206" s="16">
        <v>0</v>
      </c>
      <c r="BM206" s="16">
        <f>SUM(BN206:BX206)</f>
        <v>0</v>
      </c>
      <c r="BN206" s="16">
        <v>0</v>
      </c>
      <c r="BO206" s="16">
        <v>0</v>
      </c>
      <c r="BP206" s="16">
        <v>0</v>
      </c>
      <c r="BQ206" s="16">
        <v>0</v>
      </c>
      <c r="BR206" s="16">
        <v>0</v>
      </c>
      <c r="BS206" s="16">
        <v>0</v>
      </c>
      <c r="BT206" s="16">
        <v>0</v>
      </c>
      <c r="BU206" s="16">
        <v>0</v>
      </c>
      <c r="BV206" s="16">
        <v>0</v>
      </c>
      <c r="BW206" s="16">
        <v>0</v>
      </c>
      <c r="BX206" s="16">
        <v>0</v>
      </c>
      <c r="BY206" s="16">
        <f>SUM(BZ206+CS206+CQ206)</f>
        <v>3875517</v>
      </c>
      <c r="BZ206" s="16">
        <f>SUM(CA206+CD206+CK206)</f>
        <v>0</v>
      </c>
      <c r="CA206" s="16">
        <f>SUM(CB206:CC206)</f>
        <v>0</v>
      </c>
      <c r="CB206" s="16">
        <v>0</v>
      </c>
      <c r="CC206" s="16">
        <v>0</v>
      </c>
      <c r="CD206" s="16">
        <f>SUM(CE206:CI206)</f>
        <v>0</v>
      </c>
      <c r="CE206" s="16">
        <v>0</v>
      </c>
      <c r="CF206" s="16">
        <v>0</v>
      </c>
      <c r="CG206" s="16">
        <v>0</v>
      </c>
      <c r="CH206" s="16">
        <v>0</v>
      </c>
      <c r="CI206" s="16">
        <v>0</v>
      </c>
      <c r="CJ206" s="16">
        <v>0</v>
      </c>
      <c r="CK206" s="16">
        <f>SUM(CL206:CP206)</f>
        <v>0</v>
      </c>
      <c r="CL206" s="16">
        <v>0</v>
      </c>
      <c r="CM206" s="16">
        <v>0</v>
      </c>
      <c r="CN206" s="16">
        <v>0</v>
      </c>
      <c r="CO206" s="16">
        <v>0</v>
      </c>
      <c r="CP206" s="16">
        <v>0</v>
      </c>
      <c r="CQ206" s="16">
        <f>SUM(CR206)</f>
        <v>3875517</v>
      </c>
      <c r="CR206" s="16">
        <f>20110000+3875517-20110000</f>
        <v>3875517</v>
      </c>
      <c r="CS206" s="16">
        <v>0</v>
      </c>
      <c r="CT206" s="16">
        <f>SUM(CU206)</f>
        <v>0</v>
      </c>
      <c r="CU206" s="16">
        <f>SUM(CV206:CW206)</f>
        <v>0</v>
      </c>
      <c r="CV206" s="16"/>
      <c r="CW206" s="17">
        <v>0</v>
      </c>
      <c r="CX206" s="40"/>
    </row>
    <row r="207" spans="1:102" ht="31.5" hidden="1" x14ac:dyDescent="0.25">
      <c r="A207" s="18" t="s">
        <v>239</v>
      </c>
      <c r="B207" s="19" t="s">
        <v>1</v>
      </c>
      <c r="C207" s="19" t="s">
        <v>1</v>
      </c>
      <c r="D207" s="31" t="s">
        <v>240</v>
      </c>
      <c r="E207" s="20">
        <f>SUM(E208)</f>
        <v>177113890</v>
      </c>
      <c r="F207" s="21">
        <f t="shared" ref="F207:BS207" si="343">SUM(F208)</f>
        <v>177113890</v>
      </c>
      <c r="G207" s="21">
        <f t="shared" si="343"/>
        <v>0</v>
      </c>
      <c r="H207" s="21">
        <f t="shared" si="343"/>
        <v>0</v>
      </c>
      <c r="I207" s="21">
        <f t="shared" si="343"/>
        <v>0</v>
      </c>
      <c r="J207" s="21">
        <f t="shared" si="343"/>
        <v>0</v>
      </c>
      <c r="K207" s="21">
        <f t="shared" si="343"/>
        <v>0</v>
      </c>
      <c r="L207" s="21">
        <f t="shared" si="343"/>
        <v>0</v>
      </c>
      <c r="M207" s="21">
        <f t="shared" si="343"/>
        <v>0</v>
      </c>
      <c r="N207" s="21">
        <f t="shared" si="343"/>
        <v>0</v>
      </c>
      <c r="O207" s="21">
        <f t="shared" si="343"/>
        <v>0</v>
      </c>
      <c r="P207" s="21">
        <f t="shared" si="343"/>
        <v>0</v>
      </c>
      <c r="Q207" s="21">
        <f t="shared" si="343"/>
        <v>0</v>
      </c>
      <c r="R207" s="21">
        <f t="shared" si="343"/>
        <v>0</v>
      </c>
      <c r="S207" s="21">
        <f t="shared" si="343"/>
        <v>0</v>
      </c>
      <c r="T207" s="21">
        <f t="shared" si="343"/>
        <v>0</v>
      </c>
      <c r="U207" s="21">
        <f t="shared" si="343"/>
        <v>0</v>
      </c>
      <c r="V207" s="21">
        <f t="shared" si="343"/>
        <v>0</v>
      </c>
      <c r="W207" s="21">
        <f t="shared" si="343"/>
        <v>0</v>
      </c>
      <c r="X207" s="21">
        <f t="shared" si="343"/>
        <v>0</v>
      </c>
      <c r="Y207" s="21">
        <f t="shared" si="343"/>
        <v>0</v>
      </c>
      <c r="Z207" s="21">
        <f t="shared" si="343"/>
        <v>0</v>
      </c>
      <c r="AA207" s="21">
        <f t="shared" si="343"/>
        <v>0</v>
      </c>
      <c r="AB207" s="21">
        <f t="shared" si="343"/>
        <v>0</v>
      </c>
      <c r="AC207" s="21">
        <f t="shared" si="343"/>
        <v>0</v>
      </c>
      <c r="AD207" s="21">
        <f t="shared" si="343"/>
        <v>0</v>
      </c>
      <c r="AE207" s="21">
        <f t="shared" si="343"/>
        <v>0</v>
      </c>
      <c r="AF207" s="21">
        <f t="shared" si="343"/>
        <v>0</v>
      </c>
      <c r="AG207" s="21">
        <f t="shared" si="343"/>
        <v>0</v>
      </c>
      <c r="AH207" s="21">
        <f t="shared" si="343"/>
        <v>0</v>
      </c>
      <c r="AI207" s="21">
        <f t="shared" si="343"/>
        <v>0</v>
      </c>
      <c r="AJ207" s="21">
        <f t="shared" si="343"/>
        <v>0</v>
      </c>
      <c r="AK207" s="21">
        <f t="shared" si="343"/>
        <v>0</v>
      </c>
      <c r="AL207" s="21">
        <f t="shared" si="343"/>
        <v>0</v>
      </c>
      <c r="AM207" s="21">
        <f t="shared" si="343"/>
        <v>0</v>
      </c>
      <c r="AN207" s="21">
        <f t="shared" si="343"/>
        <v>0</v>
      </c>
      <c r="AO207" s="21">
        <f t="shared" si="343"/>
        <v>0</v>
      </c>
      <c r="AP207" s="21">
        <f t="shared" si="343"/>
        <v>0</v>
      </c>
      <c r="AQ207" s="21">
        <f t="shared" si="343"/>
        <v>0</v>
      </c>
      <c r="AR207" s="21">
        <f t="shared" si="343"/>
        <v>0</v>
      </c>
      <c r="AS207" s="21">
        <f t="shared" si="343"/>
        <v>0</v>
      </c>
      <c r="AT207" s="21">
        <f t="shared" si="343"/>
        <v>0</v>
      </c>
      <c r="AU207" s="21">
        <f t="shared" si="343"/>
        <v>0</v>
      </c>
      <c r="AV207" s="21">
        <f t="shared" si="343"/>
        <v>0</v>
      </c>
      <c r="AW207" s="21">
        <f t="shared" si="343"/>
        <v>0</v>
      </c>
      <c r="AX207" s="21">
        <f t="shared" si="343"/>
        <v>0</v>
      </c>
      <c r="AY207" s="21">
        <f t="shared" si="343"/>
        <v>0</v>
      </c>
      <c r="AZ207" s="21">
        <f t="shared" si="343"/>
        <v>0</v>
      </c>
      <c r="BA207" s="21">
        <f t="shared" si="343"/>
        <v>177113890</v>
      </c>
      <c r="BB207" s="21">
        <f t="shared" si="343"/>
        <v>737394</v>
      </c>
      <c r="BC207" s="21">
        <f t="shared" si="343"/>
        <v>737394</v>
      </c>
      <c r="BD207" s="21">
        <f t="shared" si="343"/>
        <v>0</v>
      </c>
      <c r="BE207" s="21">
        <f t="shared" si="343"/>
        <v>0</v>
      </c>
      <c r="BF207" s="21">
        <f t="shared" si="343"/>
        <v>0</v>
      </c>
      <c r="BG207" s="21">
        <f t="shared" si="343"/>
        <v>0</v>
      </c>
      <c r="BH207" s="21">
        <f t="shared" si="343"/>
        <v>0</v>
      </c>
      <c r="BI207" s="21">
        <f t="shared" si="343"/>
        <v>176376496</v>
      </c>
      <c r="BJ207" s="21">
        <f t="shared" si="343"/>
        <v>0</v>
      </c>
      <c r="BK207" s="21">
        <f t="shared" si="343"/>
        <v>0</v>
      </c>
      <c r="BL207" s="21">
        <f t="shared" si="343"/>
        <v>0</v>
      </c>
      <c r="BM207" s="21">
        <f t="shared" si="343"/>
        <v>0</v>
      </c>
      <c r="BN207" s="21">
        <f t="shared" si="343"/>
        <v>0</v>
      </c>
      <c r="BO207" s="21">
        <f t="shared" si="343"/>
        <v>0</v>
      </c>
      <c r="BP207" s="21">
        <f t="shared" si="343"/>
        <v>0</v>
      </c>
      <c r="BQ207" s="21">
        <f t="shared" si="343"/>
        <v>0</v>
      </c>
      <c r="BR207" s="21">
        <f t="shared" si="343"/>
        <v>0</v>
      </c>
      <c r="BS207" s="21">
        <f t="shared" si="343"/>
        <v>0</v>
      </c>
      <c r="BT207" s="21">
        <f t="shared" ref="BT207:CW207" si="344">SUM(BT208)</f>
        <v>0</v>
      </c>
      <c r="BU207" s="21">
        <f t="shared" si="344"/>
        <v>0</v>
      </c>
      <c r="BV207" s="21">
        <f t="shared" si="344"/>
        <v>0</v>
      </c>
      <c r="BW207" s="21">
        <f t="shared" si="344"/>
        <v>0</v>
      </c>
      <c r="BX207" s="21">
        <f t="shared" si="344"/>
        <v>0</v>
      </c>
      <c r="BY207" s="21">
        <f t="shared" si="344"/>
        <v>0</v>
      </c>
      <c r="BZ207" s="21">
        <f t="shared" si="344"/>
        <v>0</v>
      </c>
      <c r="CA207" s="21">
        <f t="shared" si="344"/>
        <v>0</v>
      </c>
      <c r="CB207" s="21">
        <f t="shared" si="344"/>
        <v>0</v>
      </c>
      <c r="CC207" s="21">
        <f t="shared" si="344"/>
        <v>0</v>
      </c>
      <c r="CD207" s="21">
        <f t="shared" si="344"/>
        <v>0</v>
      </c>
      <c r="CE207" s="21">
        <f t="shared" si="344"/>
        <v>0</v>
      </c>
      <c r="CF207" s="21">
        <f t="shared" si="344"/>
        <v>0</v>
      </c>
      <c r="CG207" s="21">
        <f t="shared" si="344"/>
        <v>0</v>
      </c>
      <c r="CH207" s="21">
        <f t="shared" si="344"/>
        <v>0</v>
      </c>
      <c r="CI207" s="21">
        <f t="shared" si="344"/>
        <v>0</v>
      </c>
      <c r="CJ207" s="21">
        <f t="shared" si="344"/>
        <v>0</v>
      </c>
      <c r="CK207" s="21">
        <f t="shared" si="344"/>
        <v>0</v>
      </c>
      <c r="CL207" s="21">
        <f t="shared" si="344"/>
        <v>0</v>
      </c>
      <c r="CM207" s="21">
        <f t="shared" si="344"/>
        <v>0</v>
      </c>
      <c r="CN207" s="21">
        <f t="shared" si="344"/>
        <v>0</v>
      </c>
      <c r="CO207" s="21">
        <f t="shared" si="344"/>
        <v>0</v>
      </c>
      <c r="CP207" s="21">
        <f t="shared" si="344"/>
        <v>0</v>
      </c>
      <c r="CQ207" s="21">
        <f t="shared" si="344"/>
        <v>0</v>
      </c>
      <c r="CR207" s="21">
        <f t="shared" si="344"/>
        <v>0</v>
      </c>
      <c r="CS207" s="21">
        <f t="shared" si="344"/>
        <v>0</v>
      </c>
      <c r="CT207" s="21">
        <f t="shared" si="344"/>
        <v>0</v>
      </c>
      <c r="CU207" s="21">
        <f t="shared" si="344"/>
        <v>0</v>
      </c>
      <c r="CV207" s="21">
        <f t="shared" si="344"/>
        <v>0</v>
      </c>
      <c r="CW207" s="22">
        <f t="shared" si="344"/>
        <v>0</v>
      </c>
      <c r="CX207" s="40"/>
    </row>
    <row r="208" spans="1:102" ht="15.75" hidden="1" x14ac:dyDescent="0.25">
      <c r="A208" s="13" t="s">
        <v>241</v>
      </c>
      <c r="B208" s="14" t="s">
        <v>3</v>
      </c>
      <c r="C208" s="14" t="s">
        <v>1</v>
      </c>
      <c r="D208" s="30" t="s">
        <v>242</v>
      </c>
      <c r="E208" s="15">
        <f>SUM(E209:E210)</f>
        <v>177113890</v>
      </c>
      <c r="F208" s="16">
        <f t="shared" ref="F208:BS208" si="345">SUM(F209:F210)</f>
        <v>177113890</v>
      </c>
      <c r="G208" s="16">
        <f t="shared" si="345"/>
        <v>0</v>
      </c>
      <c r="H208" s="16">
        <f t="shared" si="345"/>
        <v>0</v>
      </c>
      <c r="I208" s="16">
        <f t="shared" si="345"/>
        <v>0</v>
      </c>
      <c r="J208" s="16">
        <f t="shared" si="345"/>
        <v>0</v>
      </c>
      <c r="K208" s="16">
        <f t="shared" si="345"/>
        <v>0</v>
      </c>
      <c r="L208" s="16">
        <f t="shared" si="345"/>
        <v>0</v>
      </c>
      <c r="M208" s="16">
        <f t="shared" si="345"/>
        <v>0</v>
      </c>
      <c r="N208" s="16">
        <f t="shared" si="345"/>
        <v>0</v>
      </c>
      <c r="O208" s="16">
        <f t="shared" si="345"/>
        <v>0</v>
      </c>
      <c r="P208" s="16">
        <f t="shared" si="345"/>
        <v>0</v>
      </c>
      <c r="Q208" s="16">
        <f t="shared" si="345"/>
        <v>0</v>
      </c>
      <c r="R208" s="16">
        <f t="shared" si="345"/>
        <v>0</v>
      </c>
      <c r="S208" s="16">
        <f t="shared" si="345"/>
        <v>0</v>
      </c>
      <c r="T208" s="16">
        <f t="shared" si="345"/>
        <v>0</v>
      </c>
      <c r="U208" s="16">
        <f t="shared" si="345"/>
        <v>0</v>
      </c>
      <c r="V208" s="16">
        <f t="shared" si="345"/>
        <v>0</v>
      </c>
      <c r="W208" s="16">
        <f t="shared" si="345"/>
        <v>0</v>
      </c>
      <c r="X208" s="16">
        <f t="shared" si="345"/>
        <v>0</v>
      </c>
      <c r="Y208" s="16">
        <f t="shared" si="345"/>
        <v>0</v>
      </c>
      <c r="Z208" s="16">
        <f t="shared" si="345"/>
        <v>0</v>
      </c>
      <c r="AA208" s="16">
        <f t="shared" si="345"/>
        <v>0</v>
      </c>
      <c r="AB208" s="16">
        <f t="shared" si="345"/>
        <v>0</v>
      </c>
      <c r="AC208" s="16">
        <f t="shared" si="345"/>
        <v>0</v>
      </c>
      <c r="AD208" s="16">
        <f t="shared" ref="AD208" si="346">SUM(AD209:AD210)</f>
        <v>0</v>
      </c>
      <c r="AE208" s="16">
        <f t="shared" si="345"/>
        <v>0</v>
      </c>
      <c r="AF208" s="16">
        <f t="shared" si="345"/>
        <v>0</v>
      </c>
      <c r="AG208" s="16">
        <f t="shared" si="345"/>
        <v>0</v>
      </c>
      <c r="AH208" s="16">
        <f t="shared" si="345"/>
        <v>0</v>
      </c>
      <c r="AI208" s="16">
        <f t="shared" si="345"/>
        <v>0</v>
      </c>
      <c r="AJ208" s="16">
        <f t="shared" si="345"/>
        <v>0</v>
      </c>
      <c r="AK208" s="16">
        <f t="shared" si="345"/>
        <v>0</v>
      </c>
      <c r="AL208" s="16">
        <f t="shared" si="345"/>
        <v>0</v>
      </c>
      <c r="AM208" s="16">
        <f t="shared" si="345"/>
        <v>0</v>
      </c>
      <c r="AN208" s="16">
        <f t="shared" si="345"/>
        <v>0</v>
      </c>
      <c r="AO208" s="16">
        <f t="shared" si="345"/>
        <v>0</v>
      </c>
      <c r="AP208" s="16">
        <f>SUM(AP209:AP210)</f>
        <v>0</v>
      </c>
      <c r="AQ208" s="16">
        <f t="shared" si="345"/>
        <v>0</v>
      </c>
      <c r="AR208" s="16">
        <f t="shared" si="345"/>
        <v>0</v>
      </c>
      <c r="AS208" s="16">
        <f t="shared" si="345"/>
        <v>0</v>
      </c>
      <c r="AT208" s="16">
        <f t="shared" si="345"/>
        <v>0</v>
      </c>
      <c r="AU208" s="16">
        <f t="shared" si="345"/>
        <v>0</v>
      </c>
      <c r="AV208" s="16">
        <f t="shared" si="345"/>
        <v>0</v>
      </c>
      <c r="AW208" s="16">
        <f t="shared" si="345"/>
        <v>0</v>
      </c>
      <c r="AX208" s="16">
        <f t="shared" si="345"/>
        <v>0</v>
      </c>
      <c r="AY208" s="16">
        <f t="shared" si="345"/>
        <v>0</v>
      </c>
      <c r="AZ208" s="16">
        <f t="shared" si="345"/>
        <v>0</v>
      </c>
      <c r="BA208" s="16">
        <f t="shared" si="345"/>
        <v>177113890</v>
      </c>
      <c r="BB208" s="16">
        <f t="shared" si="345"/>
        <v>737394</v>
      </c>
      <c r="BC208" s="16">
        <f t="shared" si="345"/>
        <v>737394</v>
      </c>
      <c r="BD208" s="16">
        <f t="shared" si="345"/>
        <v>0</v>
      </c>
      <c r="BE208" s="16">
        <f t="shared" si="345"/>
        <v>0</v>
      </c>
      <c r="BF208" s="16">
        <f t="shared" si="345"/>
        <v>0</v>
      </c>
      <c r="BG208" s="16">
        <f t="shared" si="345"/>
        <v>0</v>
      </c>
      <c r="BH208" s="16">
        <f t="shared" si="345"/>
        <v>0</v>
      </c>
      <c r="BI208" s="16">
        <f t="shared" si="345"/>
        <v>176376496</v>
      </c>
      <c r="BJ208" s="16">
        <f t="shared" si="345"/>
        <v>0</v>
      </c>
      <c r="BK208" s="16">
        <f t="shared" si="345"/>
        <v>0</v>
      </c>
      <c r="BL208" s="16">
        <f t="shared" si="345"/>
        <v>0</v>
      </c>
      <c r="BM208" s="16">
        <f t="shared" si="345"/>
        <v>0</v>
      </c>
      <c r="BN208" s="16">
        <f t="shared" si="345"/>
        <v>0</v>
      </c>
      <c r="BO208" s="16">
        <f t="shared" si="345"/>
        <v>0</v>
      </c>
      <c r="BP208" s="16">
        <f t="shared" si="345"/>
        <v>0</v>
      </c>
      <c r="BQ208" s="16">
        <f t="shared" si="345"/>
        <v>0</v>
      </c>
      <c r="BR208" s="16">
        <f t="shared" si="345"/>
        <v>0</v>
      </c>
      <c r="BS208" s="16">
        <f t="shared" si="345"/>
        <v>0</v>
      </c>
      <c r="BT208" s="16">
        <f t="shared" ref="BT208:CW208" si="347">SUM(BT209:BT210)</f>
        <v>0</v>
      </c>
      <c r="BU208" s="16">
        <f t="shared" si="347"/>
        <v>0</v>
      </c>
      <c r="BV208" s="16">
        <f t="shared" si="347"/>
        <v>0</v>
      </c>
      <c r="BW208" s="16">
        <f t="shared" si="347"/>
        <v>0</v>
      </c>
      <c r="BX208" s="16">
        <f t="shared" si="347"/>
        <v>0</v>
      </c>
      <c r="BY208" s="16">
        <f t="shared" si="347"/>
        <v>0</v>
      </c>
      <c r="BZ208" s="16">
        <f t="shared" si="347"/>
        <v>0</v>
      </c>
      <c r="CA208" s="16">
        <f t="shared" si="347"/>
        <v>0</v>
      </c>
      <c r="CB208" s="16">
        <f t="shared" si="347"/>
        <v>0</v>
      </c>
      <c r="CC208" s="16">
        <f t="shared" si="347"/>
        <v>0</v>
      </c>
      <c r="CD208" s="16">
        <f t="shared" si="347"/>
        <v>0</v>
      </c>
      <c r="CE208" s="16">
        <f t="shared" si="347"/>
        <v>0</v>
      </c>
      <c r="CF208" s="16">
        <f>SUM(CF209:CF210)</f>
        <v>0</v>
      </c>
      <c r="CG208" s="16">
        <f t="shared" si="347"/>
        <v>0</v>
      </c>
      <c r="CH208" s="16">
        <f t="shared" si="347"/>
        <v>0</v>
      </c>
      <c r="CI208" s="16">
        <f t="shared" si="347"/>
        <v>0</v>
      </c>
      <c r="CJ208" s="16">
        <f t="shared" ref="CJ208" si="348">SUM(CJ209:CJ210)</f>
        <v>0</v>
      </c>
      <c r="CK208" s="16">
        <f t="shared" si="347"/>
        <v>0</v>
      </c>
      <c r="CL208" s="16">
        <f t="shared" si="347"/>
        <v>0</v>
      </c>
      <c r="CM208" s="16">
        <f>SUM(CM209:CM210)</f>
        <v>0</v>
      </c>
      <c r="CN208" s="16">
        <f t="shared" si="347"/>
        <v>0</v>
      </c>
      <c r="CO208" s="16">
        <f t="shared" si="347"/>
        <v>0</v>
      </c>
      <c r="CP208" s="16">
        <f t="shared" si="347"/>
        <v>0</v>
      </c>
      <c r="CQ208" s="16">
        <f t="shared" si="347"/>
        <v>0</v>
      </c>
      <c r="CR208" s="16">
        <f t="shared" si="347"/>
        <v>0</v>
      </c>
      <c r="CS208" s="16">
        <f t="shared" si="347"/>
        <v>0</v>
      </c>
      <c r="CT208" s="16">
        <f t="shared" si="347"/>
        <v>0</v>
      </c>
      <c r="CU208" s="16">
        <f t="shared" si="347"/>
        <v>0</v>
      </c>
      <c r="CV208" s="16">
        <f t="shared" si="347"/>
        <v>0</v>
      </c>
      <c r="CW208" s="17">
        <f t="shared" si="347"/>
        <v>0</v>
      </c>
      <c r="CX208" s="40"/>
    </row>
    <row r="209" spans="1:102" ht="31.5" hidden="1" x14ac:dyDescent="0.25">
      <c r="A209" s="13" t="s">
        <v>1</v>
      </c>
      <c r="B209" s="14" t="s">
        <v>1</v>
      </c>
      <c r="C209" s="14" t="s">
        <v>43</v>
      </c>
      <c r="D209" s="30" t="s">
        <v>243</v>
      </c>
      <c r="E209" s="15">
        <f>SUM(F209+BY209+CT209)</f>
        <v>176376496</v>
      </c>
      <c r="F209" s="16">
        <f>SUM(G209+BA209)</f>
        <v>176376496</v>
      </c>
      <c r="G209" s="16">
        <f>SUM(H209+I209+J209+Q209+T209+U209+V209+AE209)</f>
        <v>0</v>
      </c>
      <c r="H209" s="16">
        <v>0</v>
      </c>
      <c r="I209" s="16">
        <v>0</v>
      </c>
      <c r="J209" s="16">
        <f t="shared" si="238"/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f t="shared" si="239"/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f>SUM(W209:AD209)</f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f>SUM(AF209:AZ209)</f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6">
        <v>0</v>
      </c>
      <c r="AW209" s="16">
        <v>0</v>
      </c>
      <c r="AX209" s="16">
        <v>0</v>
      </c>
      <c r="AY209" s="16">
        <v>0</v>
      </c>
      <c r="AZ209" s="16">
        <v>0</v>
      </c>
      <c r="BA209" s="16">
        <f>SUM(BB209+BF209+BI209+BK209+BM209)</f>
        <v>176376496</v>
      </c>
      <c r="BB209" s="16">
        <f>SUM(BC209:BE209)</f>
        <v>0</v>
      </c>
      <c r="BC209" s="16">
        <v>0</v>
      </c>
      <c r="BD209" s="16">
        <v>0</v>
      </c>
      <c r="BE209" s="16">
        <v>0</v>
      </c>
      <c r="BF209" s="16">
        <f t="shared" si="240"/>
        <v>0</v>
      </c>
      <c r="BG209" s="16">
        <v>0</v>
      </c>
      <c r="BH209" s="16">
        <v>0</v>
      </c>
      <c r="BI209" s="16">
        <f>136083958+505829+39786709</f>
        <v>176376496</v>
      </c>
      <c r="BJ209" s="16">
        <v>0</v>
      </c>
      <c r="BK209" s="16">
        <f t="shared" si="241"/>
        <v>0</v>
      </c>
      <c r="BL209" s="16">
        <v>0</v>
      </c>
      <c r="BM209" s="16">
        <f t="shared" si="242"/>
        <v>0</v>
      </c>
      <c r="BN209" s="16">
        <v>0</v>
      </c>
      <c r="BO209" s="16">
        <v>0</v>
      </c>
      <c r="BP209" s="16">
        <v>0</v>
      </c>
      <c r="BQ209" s="16">
        <v>0</v>
      </c>
      <c r="BR209" s="16">
        <v>0</v>
      </c>
      <c r="BS209" s="16">
        <v>0</v>
      </c>
      <c r="BT209" s="16">
        <v>0</v>
      </c>
      <c r="BU209" s="16">
        <v>0</v>
      </c>
      <c r="BV209" s="16">
        <v>0</v>
      </c>
      <c r="BW209" s="16">
        <v>0</v>
      </c>
      <c r="BX209" s="16">
        <v>0</v>
      </c>
      <c r="BY209" s="16">
        <f>SUM(BZ209+CS209)</f>
        <v>0</v>
      </c>
      <c r="BZ209" s="16">
        <f>SUM(CA209+CD209+CK209)</f>
        <v>0</v>
      </c>
      <c r="CA209" s="16">
        <f t="shared" si="243"/>
        <v>0</v>
      </c>
      <c r="CB209" s="16">
        <v>0</v>
      </c>
      <c r="CC209" s="16">
        <v>0</v>
      </c>
      <c r="CD209" s="16">
        <f t="shared" si="244"/>
        <v>0</v>
      </c>
      <c r="CE209" s="16">
        <v>0</v>
      </c>
      <c r="CF209" s="16">
        <v>0</v>
      </c>
      <c r="CG209" s="16">
        <v>0</v>
      </c>
      <c r="CH209" s="16">
        <v>0</v>
      </c>
      <c r="CI209" s="16">
        <v>0</v>
      </c>
      <c r="CJ209" s="16">
        <v>0</v>
      </c>
      <c r="CK209" s="16">
        <f t="shared" si="245"/>
        <v>0</v>
      </c>
      <c r="CL209" s="16">
        <v>0</v>
      </c>
      <c r="CM209" s="16">
        <v>0</v>
      </c>
      <c r="CN209" s="16">
        <v>0</v>
      </c>
      <c r="CO209" s="16">
        <v>0</v>
      </c>
      <c r="CP209" s="16">
        <v>0</v>
      </c>
      <c r="CQ209" s="16">
        <v>0</v>
      </c>
      <c r="CR209" s="16">
        <v>0</v>
      </c>
      <c r="CS209" s="16">
        <v>0</v>
      </c>
      <c r="CT209" s="16">
        <f t="shared" si="246"/>
        <v>0</v>
      </c>
      <c r="CU209" s="16">
        <f t="shared" si="247"/>
        <v>0</v>
      </c>
      <c r="CV209" s="16">
        <v>0</v>
      </c>
      <c r="CW209" s="17">
        <v>0</v>
      </c>
      <c r="CX209" s="40"/>
    </row>
    <row r="210" spans="1:102" ht="31.5" hidden="1" x14ac:dyDescent="0.25">
      <c r="A210" s="13" t="s">
        <v>1</v>
      </c>
      <c r="B210" s="14" t="s">
        <v>1</v>
      </c>
      <c r="C210" s="14" t="s">
        <v>43</v>
      </c>
      <c r="D210" s="30" t="s">
        <v>244</v>
      </c>
      <c r="E210" s="15">
        <f>SUM(F210+BY210+CT210)</f>
        <v>737394</v>
      </c>
      <c r="F210" s="16">
        <f>SUM(G210+BA210)</f>
        <v>737394</v>
      </c>
      <c r="G210" s="16">
        <f>SUM(H210+I210+J210+Q210+T210+U210+V210+AE210)</f>
        <v>0</v>
      </c>
      <c r="H210" s="16">
        <v>0</v>
      </c>
      <c r="I210" s="16">
        <v>0</v>
      </c>
      <c r="J210" s="16">
        <f t="shared" si="238"/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f t="shared" si="239"/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f>SUM(W210:AD210)</f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f>SUM(AF210:AZ210)</f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0</v>
      </c>
      <c r="AU210" s="16">
        <v>0</v>
      </c>
      <c r="AV210" s="16">
        <v>0</v>
      </c>
      <c r="AW210" s="16">
        <v>0</v>
      </c>
      <c r="AX210" s="16">
        <v>0</v>
      </c>
      <c r="AY210" s="16">
        <v>0</v>
      </c>
      <c r="AZ210" s="16">
        <v>0</v>
      </c>
      <c r="BA210" s="16">
        <f>SUM(BB210+BF210+BI210+BK210+BM210)</f>
        <v>737394</v>
      </c>
      <c r="BB210" s="16">
        <f>SUM(BC210:BE210)</f>
        <v>737394</v>
      </c>
      <c r="BC210" s="16">
        <v>737394</v>
      </c>
      <c r="BD210" s="16">
        <v>0</v>
      </c>
      <c r="BE210" s="16">
        <v>0</v>
      </c>
      <c r="BF210" s="16">
        <f t="shared" si="240"/>
        <v>0</v>
      </c>
      <c r="BG210" s="16">
        <v>0</v>
      </c>
      <c r="BH210" s="16">
        <v>0</v>
      </c>
      <c r="BI210" s="16">
        <v>0</v>
      </c>
      <c r="BJ210" s="16">
        <v>0</v>
      </c>
      <c r="BK210" s="16">
        <f t="shared" si="241"/>
        <v>0</v>
      </c>
      <c r="BL210" s="16">
        <v>0</v>
      </c>
      <c r="BM210" s="16">
        <f t="shared" si="242"/>
        <v>0</v>
      </c>
      <c r="BN210" s="16">
        <v>0</v>
      </c>
      <c r="BO210" s="16">
        <v>0</v>
      </c>
      <c r="BP210" s="16">
        <v>0</v>
      </c>
      <c r="BQ210" s="16">
        <v>0</v>
      </c>
      <c r="BR210" s="16">
        <v>0</v>
      </c>
      <c r="BS210" s="16">
        <v>0</v>
      </c>
      <c r="BT210" s="16">
        <v>0</v>
      </c>
      <c r="BU210" s="16">
        <v>0</v>
      </c>
      <c r="BV210" s="16">
        <v>0</v>
      </c>
      <c r="BW210" s="16">
        <v>0</v>
      </c>
      <c r="BX210" s="16">
        <v>0</v>
      </c>
      <c r="BY210" s="16">
        <f>SUM(BZ210+CS210)</f>
        <v>0</v>
      </c>
      <c r="BZ210" s="16">
        <f>SUM(CA210+CD210+CK210)</f>
        <v>0</v>
      </c>
      <c r="CA210" s="16">
        <f t="shared" si="243"/>
        <v>0</v>
      </c>
      <c r="CB210" s="16">
        <v>0</v>
      </c>
      <c r="CC210" s="16">
        <v>0</v>
      </c>
      <c r="CD210" s="16">
        <f t="shared" si="244"/>
        <v>0</v>
      </c>
      <c r="CE210" s="16">
        <v>0</v>
      </c>
      <c r="CF210" s="16">
        <v>0</v>
      </c>
      <c r="CG210" s="16">
        <v>0</v>
      </c>
      <c r="CH210" s="16">
        <v>0</v>
      </c>
      <c r="CI210" s="16">
        <v>0</v>
      </c>
      <c r="CJ210" s="16">
        <v>0</v>
      </c>
      <c r="CK210" s="16">
        <f t="shared" si="245"/>
        <v>0</v>
      </c>
      <c r="CL210" s="16">
        <v>0</v>
      </c>
      <c r="CM210" s="16">
        <v>0</v>
      </c>
      <c r="CN210" s="16">
        <v>0</v>
      </c>
      <c r="CO210" s="16">
        <v>0</v>
      </c>
      <c r="CP210" s="16">
        <v>0</v>
      </c>
      <c r="CQ210" s="16">
        <v>0</v>
      </c>
      <c r="CR210" s="16">
        <v>0</v>
      </c>
      <c r="CS210" s="16">
        <v>0</v>
      </c>
      <c r="CT210" s="16">
        <f t="shared" si="246"/>
        <v>0</v>
      </c>
      <c r="CU210" s="16">
        <f t="shared" si="247"/>
        <v>0</v>
      </c>
      <c r="CV210" s="16">
        <v>0</v>
      </c>
      <c r="CW210" s="17">
        <v>0</v>
      </c>
      <c r="CX210" s="40"/>
    </row>
    <row r="211" spans="1:102" ht="15.75" hidden="1" x14ac:dyDescent="0.25">
      <c r="A211" s="18" t="s">
        <v>245</v>
      </c>
      <c r="B211" s="19" t="s">
        <v>1</v>
      </c>
      <c r="C211" s="19" t="s">
        <v>1</v>
      </c>
      <c r="D211" s="31" t="s">
        <v>246</v>
      </c>
      <c r="E211" s="20">
        <f t="shared" ref="E211:AJ211" si="349">SUM(E212+E214+E217+E265+E279)</f>
        <v>590079383</v>
      </c>
      <c r="F211" s="21">
        <f t="shared" si="349"/>
        <v>447815322</v>
      </c>
      <c r="G211" s="21">
        <f t="shared" si="349"/>
        <v>287971131</v>
      </c>
      <c r="H211" s="21">
        <f t="shared" si="349"/>
        <v>97548499</v>
      </c>
      <c r="I211" s="21">
        <f t="shared" si="349"/>
        <v>19413417</v>
      </c>
      <c r="J211" s="21">
        <f t="shared" si="349"/>
        <v>48822920</v>
      </c>
      <c r="K211" s="21">
        <f t="shared" si="349"/>
        <v>15066346</v>
      </c>
      <c r="L211" s="21">
        <f t="shared" si="349"/>
        <v>2797489</v>
      </c>
      <c r="M211" s="21">
        <f t="shared" si="349"/>
        <v>4245236</v>
      </c>
      <c r="N211" s="21">
        <f t="shared" si="349"/>
        <v>4013</v>
      </c>
      <c r="O211" s="21">
        <f t="shared" si="349"/>
        <v>10393622</v>
      </c>
      <c r="P211" s="21">
        <f t="shared" si="349"/>
        <v>16316214</v>
      </c>
      <c r="Q211" s="21">
        <f t="shared" si="349"/>
        <v>801174</v>
      </c>
      <c r="R211" s="21">
        <f t="shared" si="349"/>
        <v>157396</v>
      </c>
      <c r="S211" s="21">
        <f t="shared" si="349"/>
        <v>643778</v>
      </c>
      <c r="T211" s="21">
        <f t="shared" si="349"/>
        <v>308024</v>
      </c>
      <c r="U211" s="21">
        <f t="shared" si="349"/>
        <v>1937389</v>
      </c>
      <c r="V211" s="21">
        <f t="shared" si="349"/>
        <v>26959777</v>
      </c>
      <c r="W211" s="21">
        <f t="shared" si="349"/>
        <v>2276448</v>
      </c>
      <c r="X211" s="21">
        <f t="shared" si="349"/>
        <v>4093637</v>
      </c>
      <c r="Y211" s="21">
        <f t="shared" si="349"/>
        <v>18269673</v>
      </c>
      <c r="Z211" s="21">
        <f t="shared" si="349"/>
        <v>1098771</v>
      </c>
      <c r="AA211" s="21">
        <f t="shared" si="349"/>
        <v>741987</v>
      </c>
      <c r="AB211" s="21">
        <f t="shared" si="349"/>
        <v>302713</v>
      </c>
      <c r="AC211" s="21">
        <f t="shared" si="349"/>
        <v>0</v>
      </c>
      <c r="AD211" s="21">
        <f t="shared" ref="AD211" si="350">SUM(AD212+AD214+AD217+AD265+AD279)</f>
        <v>176548</v>
      </c>
      <c r="AE211" s="21">
        <f t="shared" si="349"/>
        <v>92179931</v>
      </c>
      <c r="AF211" s="21">
        <f t="shared" si="349"/>
        <v>339000</v>
      </c>
      <c r="AG211" s="21">
        <f t="shared" si="349"/>
        <v>3605289</v>
      </c>
      <c r="AH211" s="21">
        <f t="shared" si="349"/>
        <v>8879210</v>
      </c>
      <c r="AI211" s="21">
        <f t="shared" si="349"/>
        <v>865379</v>
      </c>
      <c r="AJ211" s="21">
        <f t="shared" si="349"/>
        <v>1934243</v>
      </c>
      <c r="AK211" s="21">
        <f t="shared" ref="AK211:BP211" si="351">SUM(AK212+AK214+AK217+AK265+AK279)</f>
        <v>15380</v>
      </c>
      <c r="AL211" s="21">
        <f t="shared" si="351"/>
        <v>523848</v>
      </c>
      <c r="AM211" s="21">
        <f t="shared" si="351"/>
        <v>2843983</v>
      </c>
      <c r="AN211" s="21">
        <f t="shared" si="351"/>
        <v>21833</v>
      </c>
      <c r="AO211" s="21">
        <f t="shared" si="351"/>
        <v>22635</v>
      </c>
      <c r="AP211" s="21">
        <f t="shared" si="351"/>
        <v>974849</v>
      </c>
      <c r="AQ211" s="21">
        <f t="shared" si="351"/>
        <v>8055897</v>
      </c>
      <c r="AR211" s="21">
        <f t="shared" si="351"/>
        <v>837120</v>
      </c>
      <c r="AS211" s="21">
        <f t="shared" si="351"/>
        <v>436875</v>
      </c>
      <c r="AT211" s="21">
        <f t="shared" si="351"/>
        <v>0</v>
      </c>
      <c r="AU211" s="21">
        <f t="shared" si="351"/>
        <v>5888</v>
      </c>
      <c r="AV211" s="21">
        <f t="shared" si="351"/>
        <v>61706</v>
      </c>
      <c r="AW211" s="21">
        <f t="shared" si="351"/>
        <v>1600375</v>
      </c>
      <c r="AX211" s="21">
        <f t="shared" si="351"/>
        <v>0</v>
      </c>
      <c r="AY211" s="21">
        <f t="shared" si="351"/>
        <v>0</v>
      </c>
      <c r="AZ211" s="21">
        <f t="shared" si="351"/>
        <v>61156421</v>
      </c>
      <c r="BA211" s="21">
        <f t="shared" si="351"/>
        <v>159844191</v>
      </c>
      <c r="BB211" s="21">
        <f t="shared" si="351"/>
        <v>0</v>
      </c>
      <c r="BC211" s="21">
        <f t="shared" si="351"/>
        <v>0</v>
      </c>
      <c r="BD211" s="21">
        <f t="shared" si="351"/>
        <v>0</v>
      </c>
      <c r="BE211" s="21">
        <f t="shared" si="351"/>
        <v>0</v>
      </c>
      <c r="BF211" s="21">
        <f t="shared" si="351"/>
        <v>0</v>
      </c>
      <c r="BG211" s="21">
        <f t="shared" si="351"/>
        <v>0</v>
      </c>
      <c r="BH211" s="21">
        <f t="shared" si="351"/>
        <v>0</v>
      </c>
      <c r="BI211" s="21">
        <f t="shared" si="351"/>
        <v>159835357</v>
      </c>
      <c r="BJ211" s="21">
        <f t="shared" si="351"/>
        <v>4214513</v>
      </c>
      <c r="BK211" s="21">
        <f t="shared" si="351"/>
        <v>0</v>
      </c>
      <c r="BL211" s="21">
        <f t="shared" si="351"/>
        <v>0</v>
      </c>
      <c r="BM211" s="21">
        <f t="shared" si="351"/>
        <v>8834</v>
      </c>
      <c r="BN211" s="21">
        <f t="shared" si="351"/>
        <v>0</v>
      </c>
      <c r="BO211" s="21">
        <f t="shared" si="351"/>
        <v>0</v>
      </c>
      <c r="BP211" s="21">
        <f t="shared" si="351"/>
        <v>5000</v>
      </c>
      <c r="BQ211" s="21">
        <f t="shared" ref="BQ211:CV211" si="352">SUM(BQ212+BQ214+BQ217+BQ265+BQ279)</f>
        <v>0</v>
      </c>
      <c r="BR211" s="21">
        <f t="shared" si="352"/>
        <v>0</v>
      </c>
      <c r="BS211" s="21">
        <f t="shared" si="352"/>
        <v>0</v>
      </c>
      <c r="BT211" s="21">
        <f t="shared" si="352"/>
        <v>0</v>
      </c>
      <c r="BU211" s="21">
        <f t="shared" si="352"/>
        <v>0</v>
      </c>
      <c r="BV211" s="21">
        <f t="shared" si="352"/>
        <v>0</v>
      </c>
      <c r="BW211" s="21">
        <f t="shared" si="352"/>
        <v>3834</v>
      </c>
      <c r="BX211" s="21">
        <f t="shared" si="352"/>
        <v>0</v>
      </c>
      <c r="BY211" s="21">
        <f t="shared" si="352"/>
        <v>142264061</v>
      </c>
      <c r="BZ211" s="21">
        <f t="shared" si="352"/>
        <v>24966087</v>
      </c>
      <c r="CA211" s="21">
        <f t="shared" si="352"/>
        <v>17603396</v>
      </c>
      <c r="CB211" s="21">
        <f t="shared" si="352"/>
        <v>2988565</v>
      </c>
      <c r="CC211" s="21">
        <f t="shared" si="352"/>
        <v>14614831</v>
      </c>
      <c r="CD211" s="21">
        <f t="shared" si="352"/>
        <v>800000</v>
      </c>
      <c r="CE211" s="21">
        <f t="shared" si="352"/>
        <v>0</v>
      </c>
      <c r="CF211" s="21">
        <f t="shared" si="352"/>
        <v>0</v>
      </c>
      <c r="CG211" s="21">
        <f t="shared" si="352"/>
        <v>0</v>
      </c>
      <c r="CH211" s="21">
        <f t="shared" si="352"/>
        <v>800000</v>
      </c>
      <c r="CI211" s="21">
        <f t="shared" si="352"/>
        <v>0</v>
      </c>
      <c r="CJ211" s="21">
        <f t="shared" si="352"/>
        <v>0</v>
      </c>
      <c r="CK211" s="21">
        <f t="shared" si="352"/>
        <v>6562691</v>
      </c>
      <c r="CL211" s="21">
        <f t="shared" si="352"/>
        <v>0</v>
      </c>
      <c r="CM211" s="21">
        <f t="shared" si="352"/>
        <v>0</v>
      </c>
      <c r="CN211" s="21">
        <f t="shared" si="352"/>
        <v>4598137</v>
      </c>
      <c r="CO211" s="21">
        <f t="shared" si="352"/>
        <v>1245122</v>
      </c>
      <c r="CP211" s="21">
        <f t="shared" si="352"/>
        <v>719432</v>
      </c>
      <c r="CQ211" s="21">
        <f t="shared" si="352"/>
        <v>0</v>
      </c>
      <c r="CR211" s="21">
        <f t="shared" si="352"/>
        <v>0</v>
      </c>
      <c r="CS211" s="21">
        <f t="shared" si="352"/>
        <v>117297974</v>
      </c>
      <c r="CT211" s="21">
        <f t="shared" si="352"/>
        <v>0</v>
      </c>
      <c r="CU211" s="21">
        <f t="shared" si="352"/>
        <v>0</v>
      </c>
      <c r="CV211" s="21">
        <f t="shared" si="352"/>
        <v>0</v>
      </c>
      <c r="CW211" s="22">
        <f t="shared" ref="CW211" si="353">SUM(CW212+CW214+CW217+CW265+CW279)</f>
        <v>0</v>
      </c>
      <c r="CX211" s="40"/>
    </row>
    <row r="212" spans="1:102" ht="15.75" hidden="1" x14ac:dyDescent="0.25">
      <c r="A212" s="13" t="s">
        <v>247</v>
      </c>
      <c r="B212" s="14" t="s">
        <v>3</v>
      </c>
      <c r="C212" s="14" t="s">
        <v>1</v>
      </c>
      <c r="D212" s="30" t="s">
        <v>248</v>
      </c>
      <c r="E212" s="15">
        <f>SUM(E213)</f>
        <v>6508573</v>
      </c>
      <c r="F212" s="16">
        <f t="shared" ref="F212:BS212" si="354">SUM(F213)</f>
        <v>0</v>
      </c>
      <c r="G212" s="16">
        <f t="shared" si="354"/>
        <v>0</v>
      </c>
      <c r="H212" s="16">
        <f t="shared" si="354"/>
        <v>0</v>
      </c>
      <c r="I212" s="16">
        <f t="shared" si="354"/>
        <v>0</v>
      </c>
      <c r="J212" s="16">
        <f t="shared" si="354"/>
        <v>0</v>
      </c>
      <c r="K212" s="16">
        <f t="shared" si="354"/>
        <v>0</v>
      </c>
      <c r="L212" s="16">
        <f t="shared" si="354"/>
        <v>0</v>
      </c>
      <c r="M212" s="16">
        <f t="shared" si="354"/>
        <v>0</v>
      </c>
      <c r="N212" s="16">
        <f t="shared" si="354"/>
        <v>0</v>
      </c>
      <c r="O212" s="16">
        <f t="shared" si="354"/>
        <v>0</v>
      </c>
      <c r="P212" s="16">
        <f t="shared" si="354"/>
        <v>0</v>
      </c>
      <c r="Q212" s="16">
        <f t="shared" si="354"/>
        <v>0</v>
      </c>
      <c r="R212" s="16">
        <f t="shared" si="354"/>
        <v>0</v>
      </c>
      <c r="S212" s="16">
        <f t="shared" si="354"/>
        <v>0</v>
      </c>
      <c r="T212" s="16">
        <f t="shared" si="354"/>
        <v>0</v>
      </c>
      <c r="U212" s="16">
        <f t="shared" si="354"/>
        <v>0</v>
      </c>
      <c r="V212" s="16">
        <f t="shared" si="354"/>
        <v>0</v>
      </c>
      <c r="W212" s="16">
        <f t="shared" si="354"/>
        <v>0</v>
      </c>
      <c r="X212" s="16">
        <f t="shared" si="354"/>
        <v>0</v>
      </c>
      <c r="Y212" s="16">
        <f t="shared" si="354"/>
        <v>0</v>
      </c>
      <c r="Z212" s="16">
        <f t="shared" si="354"/>
        <v>0</v>
      </c>
      <c r="AA212" s="16">
        <f t="shared" si="354"/>
        <v>0</v>
      </c>
      <c r="AB212" s="16">
        <f t="shared" si="354"/>
        <v>0</v>
      </c>
      <c r="AC212" s="16">
        <f t="shared" si="354"/>
        <v>0</v>
      </c>
      <c r="AD212" s="16">
        <f t="shared" si="354"/>
        <v>0</v>
      </c>
      <c r="AE212" s="16">
        <f t="shared" si="354"/>
        <v>0</v>
      </c>
      <c r="AF212" s="16">
        <f t="shared" si="354"/>
        <v>0</v>
      </c>
      <c r="AG212" s="16">
        <f t="shared" si="354"/>
        <v>0</v>
      </c>
      <c r="AH212" s="16">
        <f t="shared" si="354"/>
        <v>0</v>
      </c>
      <c r="AI212" s="16">
        <f t="shared" si="354"/>
        <v>0</v>
      </c>
      <c r="AJ212" s="16">
        <f t="shared" si="354"/>
        <v>0</v>
      </c>
      <c r="AK212" s="16">
        <f t="shared" si="354"/>
        <v>0</v>
      </c>
      <c r="AL212" s="16">
        <f t="shared" si="354"/>
        <v>0</v>
      </c>
      <c r="AM212" s="16">
        <f t="shared" si="354"/>
        <v>0</v>
      </c>
      <c r="AN212" s="16">
        <f t="shared" si="354"/>
        <v>0</v>
      </c>
      <c r="AO212" s="16">
        <f t="shared" si="354"/>
        <v>0</v>
      </c>
      <c r="AP212" s="16">
        <f t="shared" si="354"/>
        <v>0</v>
      </c>
      <c r="AQ212" s="16">
        <f t="shared" si="354"/>
        <v>0</v>
      </c>
      <c r="AR212" s="16">
        <f t="shared" si="354"/>
        <v>0</v>
      </c>
      <c r="AS212" s="16">
        <f t="shared" si="354"/>
        <v>0</v>
      </c>
      <c r="AT212" s="16">
        <f t="shared" si="354"/>
        <v>0</v>
      </c>
      <c r="AU212" s="16">
        <f t="shared" si="354"/>
        <v>0</v>
      </c>
      <c r="AV212" s="16">
        <f t="shared" si="354"/>
        <v>0</v>
      </c>
      <c r="AW212" s="16">
        <f t="shared" si="354"/>
        <v>0</v>
      </c>
      <c r="AX212" s="16">
        <f t="shared" si="354"/>
        <v>0</v>
      </c>
      <c r="AY212" s="16">
        <f t="shared" si="354"/>
        <v>0</v>
      </c>
      <c r="AZ212" s="16">
        <f t="shared" si="354"/>
        <v>0</v>
      </c>
      <c r="BA212" s="16">
        <f t="shared" si="354"/>
        <v>0</v>
      </c>
      <c r="BB212" s="16">
        <f t="shared" si="354"/>
        <v>0</v>
      </c>
      <c r="BC212" s="16">
        <f t="shared" si="354"/>
        <v>0</v>
      </c>
      <c r="BD212" s="16">
        <f t="shared" si="354"/>
        <v>0</v>
      </c>
      <c r="BE212" s="16">
        <f t="shared" si="354"/>
        <v>0</v>
      </c>
      <c r="BF212" s="16">
        <f t="shared" si="354"/>
        <v>0</v>
      </c>
      <c r="BG212" s="16">
        <f t="shared" si="354"/>
        <v>0</v>
      </c>
      <c r="BH212" s="16">
        <f t="shared" si="354"/>
        <v>0</v>
      </c>
      <c r="BI212" s="16">
        <f t="shared" si="354"/>
        <v>0</v>
      </c>
      <c r="BJ212" s="16">
        <f t="shared" si="354"/>
        <v>0</v>
      </c>
      <c r="BK212" s="16">
        <f t="shared" si="354"/>
        <v>0</v>
      </c>
      <c r="BL212" s="16">
        <f t="shared" si="354"/>
        <v>0</v>
      </c>
      <c r="BM212" s="16">
        <f t="shared" si="354"/>
        <v>0</v>
      </c>
      <c r="BN212" s="16">
        <f t="shared" si="354"/>
        <v>0</v>
      </c>
      <c r="BO212" s="16">
        <f t="shared" si="354"/>
        <v>0</v>
      </c>
      <c r="BP212" s="16">
        <f t="shared" si="354"/>
        <v>0</v>
      </c>
      <c r="BQ212" s="16">
        <f t="shared" si="354"/>
        <v>0</v>
      </c>
      <c r="BR212" s="16">
        <f t="shared" si="354"/>
        <v>0</v>
      </c>
      <c r="BS212" s="16">
        <f t="shared" si="354"/>
        <v>0</v>
      </c>
      <c r="BT212" s="16">
        <f t="shared" ref="BT212:CW212" si="355">SUM(BT213)</f>
        <v>0</v>
      </c>
      <c r="BU212" s="16">
        <f t="shared" si="355"/>
        <v>0</v>
      </c>
      <c r="BV212" s="16">
        <f t="shared" si="355"/>
        <v>0</v>
      </c>
      <c r="BW212" s="16">
        <f t="shared" si="355"/>
        <v>0</v>
      </c>
      <c r="BX212" s="16">
        <f t="shared" si="355"/>
        <v>0</v>
      </c>
      <c r="BY212" s="16">
        <f t="shared" si="355"/>
        <v>6508573</v>
      </c>
      <c r="BZ212" s="16">
        <f t="shared" si="355"/>
        <v>0</v>
      </c>
      <c r="CA212" s="16">
        <f t="shared" si="355"/>
        <v>0</v>
      </c>
      <c r="CB212" s="16">
        <f t="shared" si="355"/>
        <v>0</v>
      </c>
      <c r="CC212" s="16">
        <f t="shared" si="355"/>
        <v>0</v>
      </c>
      <c r="CD212" s="16">
        <f t="shared" si="355"/>
        <v>0</v>
      </c>
      <c r="CE212" s="16">
        <f t="shared" si="355"/>
        <v>0</v>
      </c>
      <c r="CF212" s="16">
        <f t="shared" si="355"/>
        <v>0</v>
      </c>
      <c r="CG212" s="16">
        <f t="shared" si="355"/>
        <v>0</v>
      </c>
      <c r="CH212" s="16">
        <f t="shared" si="355"/>
        <v>0</v>
      </c>
      <c r="CI212" s="16">
        <f t="shared" si="355"/>
        <v>0</v>
      </c>
      <c r="CJ212" s="16">
        <f t="shared" si="355"/>
        <v>0</v>
      </c>
      <c r="CK212" s="16">
        <f t="shared" si="355"/>
        <v>0</v>
      </c>
      <c r="CL212" s="16">
        <f t="shared" si="355"/>
        <v>0</v>
      </c>
      <c r="CM212" s="16">
        <f t="shared" si="355"/>
        <v>0</v>
      </c>
      <c r="CN212" s="16">
        <f t="shared" si="355"/>
        <v>0</v>
      </c>
      <c r="CO212" s="16">
        <f t="shared" si="355"/>
        <v>0</v>
      </c>
      <c r="CP212" s="16">
        <f t="shared" si="355"/>
        <v>0</v>
      </c>
      <c r="CQ212" s="16">
        <f t="shared" si="355"/>
        <v>0</v>
      </c>
      <c r="CR212" s="16">
        <f t="shared" si="355"/>
        <v>0</v>
      </c>
      <c r="CS212" s="16">
        <f t="shared" si="355"/>
        <v>6508573</v>
      </c>
      <c r="CT212" s="16">
        <f t="shared" si="355"/>
        <v>0</v>
      </c>
      <c r="CU212" s="16">
        <f t="shared" si="355"/>
        <v>0</v>
      </c>
      <c r="CV212" s="16">
        <f t="shared" si="355"/>
        <v>0</v>
      </c>
      <c r="CW212" s="17">
        <f t="shared" si="355"/>
        <v>0</v>
      </c>
      <c r="CX212" s="40"/>
    </row>
    <row r="213" spans="1:102" ht="15.75" hidden="1" x14ac:dyDescent="0.25">
      <c r="A213" s="13" t="s">
        <v>1</v>
      </c>
      <c r="B213" s="14" t="s">
        <v>1</v>
      </c>
      <c r="C213" s="14" t="s">
        <v>249</v>
      </c>
      <c r="D213" s="30" t="s">
        <v>248</v>
      </c>
      <c r="E213" s="15">
        <f>SUM(F213+BY213+CT213)</f>
        <v>6508573</v>
      </c>
      <c r="F213" s="16">
        <f>SUM(G213+BA213)</f>
        <v>0</v>
      </c>
      <c r="G213" s="16">
        <f>SUM(H213+I213+J213+Q213+T213+U213+V213+AE213)</f>
        <v>0</v>
      </c>
      <c r="H213" s="16">
        <v>0</v>
      </c>
      <c r="I213" s="16">
        <v>0</v>
      </c>
      <c r="J213" s="16">
        <f t="shared" si="238"/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f t="shared" si="239"/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f>SUM(W213:AD213)</f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f>SUM(AF213:AZ213)</f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6">
        <v>0</v>
      </c>
      <c r="AW213" s="16">
        <v>0</v>
      </c>
      <c r="AX213" s="16">
        <v>0</v>
      </c>
      <c r="AY213" s="16">
        <v>0</v>
      </c>
      <c r="AZ213" s="16">
        <v>0</v>
      </c>
      <c r="BA213" s="16">
        <f>SUM(BB213+BF213+BI213+BK213+BM213)</f>
        <v>0</v>
      </c>
      <c r="BB213" s="16">
        <f>SUM(BC213:BE213)</f>
        <v>0</v>
      </c>
      <c r="BC213" s="16">
        <v>0</v>
      </c>
      <c r="BD213" s="16">
        <v>0</v>
      </c>
      <c r="BE213" s="16">
        <v>0</v>
      </c>
      <c r="BF213" s="16">
        <f t="shared" si="240"/>
        <v>0</v>
      </c>
      <c r="BG213" s="16">
        <v>0</v>
      </c>
      <c r="BH213" s="16">
        <v>0</v>
      </c>
      <c r="BI213" s="16">
        <v>0</v>
      </c>
      <c r="BJ213" s="16">
        <v>0</v>
      </c>
      <c r="BK213" s="16">
        <f t="shared" si="241"/>
        <v>0</v>
      </c>
      <c r="BL213" s="16">
        <v>0</v>
      </c>
      <c r="BM213" s="16">
        <f t="shared" si="242"/>
        <v>0</v>
      </c>
      <c r="BN213" s="16">
        <v>0</v>
      </c>
      <c r="BO213" s="16">
        <v>0</v>
      </c>
      <c r="BP213" s="16">
        <v>0</v>
      </c>
      <c r="BQ213" s="16">
        <v>0</v>
      </c>
      <c r="BR213" s="16">
        <v>0</v>
      </c>
      <c r="BS213" s="16">
        <v>0</v>
      </c>
      <c r="BT213" s="16">
        <v>0</v>
      </c>
      <c r="BU213" s="16">
        <v>0</v>
      </c>
      <c r="BV213" s="16">
        <v>0</v>
      </c>
      <c r="BW213" s="16">
        <v>0</v>
      </c>
      <c r="BX213" s="16">
        <v>0</v>
      </c>
      <c r="BY213" s="16">
        <f>SUM(BZ213+CS213)</f>
        <v>6508573</v>
      </c>
      <c r="BZ213" s="16">
        <f>SUM(CA213+CD213+CK213)</f>
        <v>0</v>
      </c>
      <c r="CA213" s="16">
        <f t="shared" si="243"/>
        <v>0</v>
      </c>
      <c r="CB213" s="16">
        <v>0</v>
      </c>
      <c r="CC213" s="16">
        <v>0</v>
      </c>
      <c r="CD213" s="16">
        <f t="shared" si="244"/>
        <v>0</v>
      </c>
      <c r="CE213" s="16">
        <v>0</v>
      </c>
      <c r="CF213" s="16">
        <v>0</v>
      </c>
      <c r="CG213" s="16">
        <v>0</v>
      </c>
      <c r="CH213" s="16">
        <v>0</v>
      </c>
      <c r="CI213" s="16">
        <v>0</v>
      </c>
      <c r="CJ213" s="16">
        <v>0</v>
      </c>
      <c r="CK213" s="16">
        <f t="shared" si="245"/>
        <v>0</v>
      </c>
      <c r="CL213" s="16">
        <v>0</v>
      </c>
      <c r="CM213" s="16">
        <v>0</v>
      </c>
      <c r="CN213" s="16">
        <v>0</v>
      </c>
      <c r="CO213" s="16">
        <v>0</v>
      </c>
      <c r="CP213" s="16">
        <v>0</v>
      </c>
      <c r="CQ213" s="16">
        <v>0</v>
      </c>
      <c r="CR213" s="16">
        <v>0</v>
      </c>
      <c r="CS213" s="16">
        <f>6000000-1160-490267+1000000</f>
        <v>6508573</v>
      </c>
      <c r="CT213" s="16">
        <f t="shared" si="246"/>
        <v>0</v>
      </c>
      <c r="CU213" s="16">
        <f t="shared" si="247"/>
        <v>0</v>
      </c>
      <c r="CV213" s="16">
        <v>0</v>
      </c>
      <c r="CW213" s="17">
        <v>0</v>
      </c>
      <c r="CX213" s="40"/>
    </row>
    <row r="214" spans="1:102" ht="15.75" hidden="1" x14ac:dyDescent="0.25">
      <c r="A214" s="13" t="s">
        <v>247</v>
      </c>
      <c r="B214" s="14" t="s">
        <v>50</v>
      </c>
      <c r="C214" s="14" t="s">
        <v>1</v>
      </c>
      <c r="D214" s="30" t="s">
        <v>250</v>
      </c>
      <c r="E214" s="15">
        <f>SUM(E215:E216)</f>
        <v>10698569</v>
      </c>
      <c r="F214" s="16">
        <f t="shared" ref="F214:BS214" si="356">SUM(F215:F216)</f>
        <v>10635643</v>
      </c>
      <c r="G214" s="16">
        <f t="shared" si="356"/>
        <v>10631809</v>
      </c>
      <c r="H214" s="16">
        <f t="shared" si="356"/>
        <v>723925</v>
      </c>
      <c r="I214" s="16">
        <f t="shared" si="356"/>
        <v>173320</v>
      </c>
      <c r="J214" s="16">
        <f t="shared" si="356"/>
        <v>87655</v>
      </c>
      <c r="K214" s="16">
        <f t="shared" si="356"/>
        <v>0</v>
      </c>
      <c r="L214" s="16">
        <f t="shared" si="356"/>
        <v>0</v>
      </c>
      <c r="M214" s="16">
        <f t="shared" si="356"/>
        <v>0</v>
      </c>
      <c r="N214" s="16">
        <f t="shared" si="356"/>
        <v>0</v>
      </c>
      <c r="O214" s="16">
        <f t="shared" si="356"/>
        <v>80300</v>
      </c>
      <c r="P214" s="16">
        <f t="shared" si="356"/>
        <v>7355</v>
      </c>
      <c r="Q214" s="16">
        <f t="shared" si="356"/>
        <v>16246</v>
      </c>
      <c r="R214" s="16">
        <f t="shared" si="356"/>
        <v>0</v>
      </c>
      <c r="S214" s="16">
        <f t="shared" si="356"/>
        <v>16246</v>
      </c>
      <c r="T214" s="16">
        <f t="shared" si="356"/>
        <v>0</v>
      </c>
      <c r="U214" s="16">
        <f t="shared" si="356"/>
        <v>31943</v>
      </c>
      <c r="V214" s="16">
        <f t="shared" si="356"/>
        <v>20969</v>
      </c>
      <c r="W214" s="16">
        <f t="shared" si="356"/>
        <v>0</v>
      </c>
      <c r="X214" s="16">
        <f t="shared" si="356"/>
        <v>15054</v>
      </c>
      <c r="Y214" s="16">
        <f t="shared" si="356"/>
        <v>5310</v>
      </c>
      <c r="Z214" s="16">
        <f t="shared" si="356"/>
        <v>605</v>
      </c>
      <c r="AA214" s="16">
        <f t="shared" si="356"/>
        <v>0</v>
      </c>
      <c r="AB214" s="16">
        <f t="shared" si="356"/>
        <v>0</v>
      </c>
      <c r="AC214" s="16">
        <f t="shared" si="356"/>
        <v>0</v>
      </c>
      <c r="AD214" s="16">
        <f t="shared" ref="AD214" si="357">SUM(AD215:AD216)</f>
        <v>0</v>
      </c>
      <c r="AE214" s="16">
        <f t="shared" si="356"/>
        <v>9577751</v>
      </c>
      <c r="AF214" s="16">
        <f t="shared" si="356"/>
        <v>0</v>
      </c>
      <c r="AG214" s="16">
        <f t="shared" si="356"/>
        <v>1616</v>
      </c>
      <c r="AH214" s="16">
        <f t="shared" si="356"/>
        <v>3854</v>
      </c>
      <c r="AI214" s="16">
        <f t="shared" si="356"/>
        <v>0</v>
      </c>
      <c r="AJ214" s="16">
        <f t="shared" si="356"/>
        <v>1591</v>
      </c>
      <c r="AK214" s="16">
        <f t="shared" si="356"/>
        <v>0</v>
      </c>
      <c r="AL214" s="16">
        <f t="shared" si="356"/>
        <v>6358</v>
      </c>
      <c r="AM214" s="16">
        <f t="shared" si="356"/>
        <v>0</v>
      </c>
      <c r="AN214" s="16">
        <f t="shared" si="356"/>
        <v>6833</v>
      </c>
      <c r="AO214" s="16">
        <f t="shared" si="356"/>
        <v>0</v>
      </c>
      <c r="AP214" s="16">
        <f>SUM(AP215:AP216)</f>
        <v>0</v>
      </c>
      <c r="AQ214" s="16">
        <f t="shared" si="356"/>
        <v>0</v>
      </c>
      <c r="AR214" s="16">
        <f t="shared" si="356"/>
        <v>84873</v>
      </c>
      <c r="AS214" s="16">
        <f t="shared" si="356"/>
        <v>1760</v>
      </c>
      <c r="AT214" s="16">
        <f t="shared" si="356"/>
        <v>0</v>
      </c>
      <c r="AU214" s="16">
        <f t="shared" si="356"/>
        <v>0</v>
      </c>
      <c r="AV214" s="16">
        <f t="shared" si="356"/>
        <v>0</v>
      </c>
      <c r="AW214" s="16">
        <f t="shared" si="356"/>
        <v>0</v>
      </c>
      <c r="AX214" s="16">
        <f t="shared" si="356"/>
        <v>0</v>
      </c>
      <c r="AY214" s="16">
        <f t="shared" si="356"/>
        <v>0</v>
      </c>
      <c r="AZ214" s="16">
        <f t="shared" si="356"/>
        <v>9470866</v>
      </c>
      <c r="BA214" s="16">
        <f t="shared" si="356"/>
        <v>3834</v>
      </c>
      <c r="BB214" s="16">
        <f t="shared" si="356"/>
        <v>0</v>
      </c>
      <c r="BC214" s="16">
        <f t="shared" si="356"/>
        <v>0</v>
      </c>
      <c r="BD214" s="16">
        <f t="shared" si="356"/>
        <v>0</v>
      </c>
      <c r="BE214" s="16">
        <f t="shared" si="356"/>
        <v>0</v>
      </c>
      <c r="BF214" s="16">
        <f t="shared" si="356"/>
        <v>0</v>
      </c>
      <c r="BG214" s="16">
        <f t="shared" si="356"/>
        <v>0</v>
      </c>
      <c r="BH214" s="16">
        <f t="shared" si="356"/>
        <v>0</v>
      </c>
      <c r="BI214" s="16">
        <f t="shared" si="356"/>
        <v>0</v>
      </c>
      <c r="BJ214" s="16">
        <f t="shared" si="356"/>
        <v>0</v>
      </c>
      <c r="BK214" s="16">
        <f t="shared" si="356"/>
        <v>0</v>
      </c>
      <c r="BL214" s="16">
        <f t="shared" si="356"/>
        <v>0</v>
      </c>
      <c r="BM214" s="16">
        <f t="shared" si="356"/>
        <v>3834</v>
      </c>
      <c r="BN214" s="16">
        <f t="shared" si="356"/>
        <v>0</v>
      </c>
      <c r="BO214" s="16">
        <f t="shared" si="356"/>
        <v>0</v>
      </c>
      <c r="BP214" s="16">
        <f t="shared" si="356"/>
        <v>0</v>
      </c>
      <c r="BQ214" s="16">
        <f t="shared" si="356"/>
        <v>0</v>
      </c>
      <c r="BR214" s="16">
        <f t="shared" si="356"/>
        <v>0</v>
      </c>
      <c r="BS214" s="16">
        <f t="shared" si="356"/>
        <v>0</v>
      </c>
      <c r="BT214" s="16">
        <f t="shared" ref="BT214:CW214" si="358">SUM(BT215:BT216)</f>
        <v>0</v>
      </c>
      <c r="BU214" s="16">
        <f t="shared" si="358"/>
        <v>0</v>
      </c>
      <c r="BV214" s="16">
        <f t="shared" si="358"/>
        <v>0</v>
      </c>
      <c r="BW214" s="16">
        <f t="shared" si="358"/>
        <v>3834</v>
      </c>
      <c r="BX214" s="16">
        <f t="shared" si="358"/>
        <v>0</v>
      </c>
      <c r="BY214" s="16">
        <f t="shared" si="358"/>
        <v>62926</v>
      </c>
      <c r="BZ214" s="16">
        <f t="shared" si="358"/>
        <v>62926</v>
      </c>
      <c r="CA214" s="16">
        <f t="shared" si="358"/>
        <v>62926</v>
      </c>
      <c r="CB214" s="16">
        <f t="shared" si="358"/>
        <v>0</v>
      </c>
      <c r="CC214" s="16">
        <f t="shared" si="358"/>
        <v>62926</v>
      </c>
      <c r="CD214" s="16">
        <f t="shared" si="358"/>
        <v>0</v>
      </c>
      <c r="CE214" s="16">
        <f t="shared" si="358"/>
        <v>0</v>
      </c>
      <c r="CF214" s="16">
        <f>SUM(CF215:CF216)</f>
        <v>0</v>
      </c>
      <c r="CG214" s="16">
        <f t="shared" si="358"/>
        <v>0</v>
      </c>
      <c r="CH214" s="16">
        <f t="shared" si="358"/>
        <v>0</v>
      </c>
      <c r="CI214" s="16">
        <f t="shared" si="358"/>
        <v>0</v>
      </c>
      <c r="CJ214" s="16">
        <f t="shared" ref="CJ214" si="359">SUM(CJ215:CJ216)</f>
        <v>0</v>
      </c>
      <c r="CK214" s="16">
        <f t="shared" si="358"/>
        <v>0</v>
      </c>
      <c r="CL214" s="16">
        <f t="shared" si="358"/>
        <v>0</v>
      </c>
      <c r="CM214" s="16">
        <f>SUM(CM215:CM216)</f>
        <v>0</v>
      </c>
      <c r="CN214" s="16">
        <f t="shared" si="358"/>
        <v>0</v>
      </c>
      <c r="CO214" s="16">
        <f t="shared" si="358"/>
        <v>0</v>
      </c>
      <c r="CP214" s="16">
        <f t="shared" si="358"/>
        <v>0</v>
      </c>
      <c r="CQ214" s="16">
        <f t="shared" si="358"/>
        <v>0</v>
      </c>
      <c r="CR214" s="16">
        <f t="shared" si="358"/>
        <v>0</v>
      </c>
      <c r="CS214" s="16">
        <f t="shared" si="358"/>
        <v>0</v>
      </c>
      <c r="CT214" s="16">
        <f t="shared" si="358"/>
        <v>0</v>
      </c>
      <c r="CU214" s="16">
        <f t="shared" si="358"/>
        <v>0</v>
      </c>
      <c r="CV214" s="16">
        <f t="shared" si="358"/>
        <v>0</v>
      </c>
      <c r="CW214" s="17">
        <f t="shared" si="358"/>
        <v>0</v>
      </c>
      <c r="CX214" s="40"/>
    </row>
    <row r="215" spans="1:102" ht="15.75" hidden="1" x14ac:dyDescent="0.25">
      <c r="A215" s="13" t="s">
        <v>1</v>
      </c>
      <c r="B215" s="14" t="s">
        <v>1</v>
      </c>
      <c r="C215" s="14" t="s">
        <v>251</v>
      </c>
      <c r="D215" s="30" t="s">
        <v>252</v>
      </c>
      <c r="E215" s="15">
        <f>SUM(F215+BY215+CT215)</f>
        <v>9470468</v>
      </c>
      <c r="F215" s="16">
        <f>SUM(G215+BA215)</f>
        <v>9470468</v>
      </c>
      <c r="G215" s="16">
        <f>SUM(H215+I215+J215+Q215+T215+U215+V215+AE215)</f>
        <v>9470468</v>
      </c>
      <c r="H215" s="16">
        <v>0</v>
      </c>
      <c r="I215" s="16">
        <v>0</v>
      </c>
      <c r="J215" s="16">
        <f t="shared" ref="J215:J283" si="360">SUM(K215:P215)</f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f t="shared" ref="Q215:Q283" si="361">SUM(R215:S215)</f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f>SUM(W215:AD215)</f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f>SUM(AF215:AZ215)</f>
        <v>9470468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0</v>
      </c>
      <c r="AV215" s="16">
        <v>0</v>
      </c>
      <c r="AW215" s="16">
        <v>0</v>
      </c>
      <c r="AX215" s="16">
        <v>0</v>
      </c>
      <c r="AY215" s="16">
        <v>0</v>
      </c>
      <c r="AZ215" s="16">
        <v>9470468</v>
      </c>
      <c r="BA215" s="16">
        <f>SUM(BB215+BF215+BI215+BK215+BM215)</f>
        <v>0</v>
      </c>
      <c r="BB215" s="16">
        <f>SUM(BC215:BE215)</f>
        <v>0</v>
      </c>
      <c r="BC215" s="16">
        <v>0</v>
      </c>
      <c r="BD215" s="16">
        <v>0</v>
      </c>
      <c r="BE215" s="16">
        <v>0</v>
      </c>
      <c r="BF215" s="16">
        <f t="shared" ref="BF215:BF283" si="362">SUM(BG215:BH215)</f>
        <v>0</v>
      </c>
      <c r="BG215" s="16">
        <v>0</v>
      </c>
      <c r="BH215" s="16">
        <v>0</v>
      </c>
      <c r="BI215" s="16">
        <v>0</v>
      </c>
      <c r="BJ215" s="16">
        <v>0</v>
      </c>
      <c r="BK215" s="16">
        <f t="shared" ref="BK215:BK283" si="363">SUM(BL215)</f>
        <v>0</v>
      </c>
      <c r="BL215" s="16">
        <v>0</v>
      </c>
      <c r="BM215" s="16">
        <f t="shared" ref="BM215:BM283" si="364">SUM(BN215:BX215)</f>
        <v>0</v>
      </c>
      <c r="BN215" s="16">
        <v>0</v>
      </c>
      <c r="BO215" s="16">
        <v>0</v>
      </c>
      <c r="BP215" s="16">
        <v>0</v>
      </c>
      <c r="BQ215" s="16">
        <v>0</v>
      </c>
      <c r="BR215" s="16">
        <v>0</v>
      </c>
      <c r="BS215" s="16">
        <v>0</v>
      </c>
      <c r="BT215" s="16">
        <v>0</v>
      </c>
      <c r="BU215" s="16">
        <v>0</v>
      </c>
      <c r="BV215" s="16">
        <v>0</v>
      </c>
      <c r="BW215" s="16">
        <v>0</v>
      </c>
      <c r="BX215" s="16">
        <v>0</v>
      </c>
      <c r="BY215" s="16">
        <f>SUM(BZ215+CS215)</f>
        <v>0</v>
      </c>
      <c r="BZ215" s="16">
        <f>SUM(CA215+CD215+CK215)</f>
        <v>0</v>
      </c>
      <c r="CA215" s="16">
        <f t="shared" ref="CA215:CA283" si="365">SUM(CB215:CC215)</f>
        <v>0</v>
      </c>
      <c r="CB215" s="16">
        <v>0</v>
      </c>
      <c r="CC215" s="16">
        <v>0</v>
      </c>
      <c r="CD215" s="16">
        <f t="shared" ref="CD215:CD283" si="366">SUM(CE215:CI215)</f>
        <v>0</v>
      </c>
      <c r="CE215" s="16">
        <v>0</v>
      </c>
      <c r="CF215" s="16">
        <v>0</v>
      </c>
      <c r="CG215" s="16">
        <v>0</v>
      </c>
      <c r="CH215" s="16">
        <v>0</v>
      </c>
      <c r="CI215" s="16">
        <v>0</v>
      </c>
      <c r="CJ215" s="16">
        <v>0</v>
      </c>
      <c r="CK215" s="16">
        <f t="shared" ref="CK215:CK283" si="367">SUM(CL215:CP215)</f>
        <v>0</v>
      </c>
      <c r="CL215" s="16">
        <v>0</v>
      </c>
      <c r="CM215" s="16">
        <v>0</v>
      </c>
      <c r="CN215" s="16">
        <v>0</v>
      </c>
      <c r="CO215" s="16">
        <v>0</v>
      </c>
      <c r="CP215" s="16">
        <v>0</v>
      </c>
      <c r="CQ215" s="16">
        <v>0</v>
      </c>
      <c r="CR215" s="16">
        <v>0</v>
      </c>
      <c r="CS215" s="16">
        <v>0</v>
      </c>
      <c r="CT215" s="16">
        <f t="shared" ref="CT215:CT283" si="368">SUM(CU215)</f>
        <v>0</v>
      </c>
      <c r="CU215" s="16">
        <f t="shared" ref="CU215:CU283" si="369">SUM(CV215:CW215)</f>
        <v>0</v>
      </c>
      <c r="CV215" s="16">
        <v>0</v>
      </c>
      <c r="CW215" s="17">
        <v>0</v>
      </c>
      <c r="CX215" s="40"/>
    </row>
    <row r="216" spans="1:102" ht="15.75" hidden="1" x14ac:dyDescent="0.25">
      <c r="A216" s="13" t="s">
        <v>1</v>
      </c>
      <c r="B216" s="14" t="s">
        <v>1</v>
      </c>
      <c r="C216" s="14" t="s">
        <v>251</v>
      </c>
      <c r="D216" s="30" t="s">
        <v>253</v>
      </c>
      <c r="E216" s="15">
        <f>SUM(F216+BY216+CT216)</f>
        <v>1228101</v>
      </c>
      <c r="F216" s="16">
        <f>SUM(G216+BA216)</f>
        <v>1165175</v>
      </c>
      <c r="G216" s="16">
        <f>SUM(H216+I216+J216+Q216+T216+U216+V216+AE216)</f>
        <v>1161341</v>
      </c>
      <c r="H216" s="16">
        <v>723925</v>
      </c>
      <c r="I216" s="16">
        <v>173320</v>
      </c>
      <c r="J216" s="16">
        <f t="shared" si="360"/>
        <v>87655</v>
      </c>
      <c r="K216" s="16">
        <v>0</v>
      </c>
      <c r="L216" s="16">
        <v>0</v>
      </c>
      <c r="M216" s="16">
        <v>0</v>
      </c>
      <c r="N216" s="16">
        <v>0</v>
      </c>
      <c r="O216" s="16">
        <v>80300</v>
      </c>
      <c r="P216" s="16">
        <v>7355</v>
      </c>
      <c r="Q216" s="16">
        <f t="shared" si="361"/>
        <v>16246</v>
      </c>
      <c r="R216" s="16">
        <v>0</v>
      </c>
      <c r="S216" s="16">
        <v>16246</v>
      </c>
      <c r="T216" s="16">
        <v>0</v>
      </c>
      <c r="U216" s="16">
        <v>31943</v>
      </c>
      <c r="V216" s="16">
        <f>SUM(W216:AD216)</f>
        <v>20969</v>
      </c>
      <c r="W216" s="16">
        <v>0</v>
      </c>
      <c r="X216" s="16">
        <f>13068+1986</f>
        <v>15054</v>
      </c>
      <c r="Y216" s="16">
        <f>3069+1048+1193</f>
        <v>5310</v>
      </c>
      <c r="Z216" s="16">
        <v>605</v>
      </c>
      <c r="AA216" s="16">
        <v>0</v>
      </c>
      <c r="AB216" s="16">
        <v>0</v>
      </c>
      <c r="AC216" s="16">
        <v>0</v>
      </c>
      <c r="AD216" s="16">
        <v>0</v>
      </c>
      <c r="AE216" s="16">
        <f>SUM(AF216:AZ216)</f>
        <v>107283</v>
      </c>
      <c r="AF216" s="16">
        <v>0</v>
      </c>
      <c r="AG216" s="16">
        <v>1616</v>
      </c>
      <c r="AH216" s="16">
        <v>3854</v>
      </c>
      <c r="AI216" s="16">
        <v>0</v>
      </c>
      <c r="AJ216" s="16">
        <v>1591</v>
      </c>
      <c r="AK216" s="16">
        <v>0</v>
      </c>
      <c r="AL216" s="16">
        <v>6358</v>
      </c>
      <c r="AM216" s="16">
        <v>0</v>
      </c>
      <c r="AN216" s="16">
        <v>6833</v>
      </c>
      <c r="AO216" s="16">
        <v>0</v>
      </c>
      <c r="AP216" s="16">
        <v>0</v>
      </c>
      <c r="AQ216" s="16">
        <v>0</v>
      </c>
      <c r="AR216" s="41">
        <f>56196+28677</f>
        <v>84873</v>
      </c>
      <c r="AS216" s="41">
        <v>1760</v>
      </c>
      <c r="AT216" s="41">
        <v>0</v>
      </c>
      <c r="AU216" s="41">
        <v>0</v>
      </c>
      <c r="AV216" s="41">
        <v>0</v>
      </c>
      <c r="AW216" s="41">
        <f>0</f>
        <v>0</v>
      </c>
      <c r="AX216" s="16">
        <v>0</v>
      </c>
      <c r="AY216" s="16">
        <v>0</v>
      </c>
      <c r="AZ216" s="16">
        <v>398</v>
      </c>
      <c r="BA216" s="16">
        <f>SUM(BB216+BF216+BI216+BK216+BM216)</f>
        <v>3834</v>
      </c>
      <c r="BB216" s="16">
        <f>SUM(BC216:BE216)</f>
        <v>0</v>
      </c>
      <c r="BC216" s="16">
        <v>0</v>
      </c>
      <c r="BD216" s="16">
        <v>0</v>
      </c>
      <c r="BE216" s="16">
        <v>0</v>
      </c>
      <c r="BF216" s="16">
        <f t="shared" si="362"/>
        <v>0</v>
      </c>
      <c r="BG216" s="16">
        <v>0</v>
      </c>
      <c r="BH216" s="16">
        <v>0</v>
      </c>
      <c r="BI216" s="16">
        <v>0</v>
      </c>
      <c r="BJ216" s="16">
        <v>0</v>
      </c>
      <c r="BK216" s="16">
        <f t="shared" si="363"/>
        <v>0</v>
      </c>
      <c r="BL216" s="16">
        <v>0</v>
      </c>
      <c r="BM216" s="16">
        <f t="shared" si="364"/>
        <v>3834</v>
      </c>
      <c r="BN216" s="16">
        <v>0</v>
      </c>
      <c r="BO216" s="16">
        <v>0</v>
      </c>
      <c r="BP216" s="16">
        <v>0</v>
      </c>
      <c r="BQ216" s="16">
        <v>0</v>
      </c>
      <c r="BR216" s="16">
        <v>0</v>
      </c>
      <c r="BS216" s="16">
        <v>0</v>
      </c>
      <c r="BT216" s="16">
        <v>0</v>
      </c>
      <c r="BU216" s="16">
        <v>0</v>
      </c>
      <c r="BV216" s="16">
        <v>0</v>
      </c>
      <c r="BW216" s="16">
        <v>3834</v>
      </c>
      <c r="BX216" s="16">
        <v>0</v>
      </c>
      <c r="BY216" s="16">
        <f>SUM(BZ216+CS216)</f>
        <v>62926</v>
      </c>
      <c r="BZ216" s="16">
        <f>SUM(CA216+CD216+CK216)</f>
        <v>62926</v>
      </c>
      <c r="CA216" s="16">
        <f t="shared" si="365"/>
        <v>62926</v>
      </c>
      <c r="CB216" s="16">
        <v>0</v>
      </c>
      <c r="CC216" s="16">
        <v>62926</v>
      </c>
      <c r="CD216" s="16">
        <f t="shared" si="366"/>
        <v>0</v>
      </c>
      <c r="CE216" s="16">
        <v>0</v>
      </c>
      <c r="CF216" s="16">
        <v>0</v>
      </c>
      <c r="CG216" s="16">
        <v>0</v>
      </c>
      <c r="CH216" s="16">
        <v>0</v>
      </c>
      <c r="CI216" s="16">
        <v>0</v>
      </c>
      <c r="CJ216" s="16">
        <v>0</v>
      </c>
      <c r="CK216" s="16">
        <f t="shared" si="367"/>
        <v>0</v>
      </c>
      <c r="CL216" s="16">
        <v>0</v>
      </c>
      <c r="CM216" s="16">
        <v>0</v>
      </c>
      <c r="CN216" s="16">
        <v>0</v>
      </c>
      <c r="CO216" s="16">
        <v>0</v>
      </c>
      <c r="CP216" s="16">
        <v>0</v>
      </c>
      <c r="CQ216" s="16">
        <v>0</v>
      </c>
      <c r="CR216" s="16">
        <v>0</v>
      </c>
      <c r="CS216" s="16">
        <v>0</v>
      </c>
      <c r="CT216" s="16">
        <f t="shared" si="368"/>
        <v>0</v>
      </c>
      <c r="CU216" s="16">
        <f t="shared" si="369"/>
        <v>0</v>
      </c>
      <c r="CV216" s="16">
        <v>0</v>
      </c>
      <c r="CW216" s="17">
        <v>0</v>
      </c>
      <c r="CX216" s="40"/>
    </row>
    <row r="217" spans="1:102" ht="15.75" hidden="1" x14ac:dyDescent="0.25">
      <c r="A217" s="13" t="s">
        <v>247</v>
      </c>
      <c r="B217" s="14" t="s">
        <v>100</v>
      </c>
      <c r="C217" s="14" t="s">
        <v>1</v>
      </c>
      <c r="D217" s="30" t="s">
        <v>254</v>
      </c>
      <c r="E217" s="15">
        <f t="shared" ref="E217:AJ217" si="370">SUM(E218:E237)</f>
        <v>460736540</v>
      </c>
      <c r="F217" s="16">
        <f t="shared" si="370"/>
        <v>435833379</v>
      </c>
      <c r="G217" s="16">
        <f t="shared" si="370"/>
        <v>275993022</v>
      </c>
      <c r="H217" s="16">
        <f t="shared" si="370"/>
        <v>96824574</v>
      </c>
      <c r="I217" s="16">
        <f t="shared" si="370"/>
        <v>19240097</v>
      </c>
      <c r="J217" s="16">
        <f t="shared" si="370"/>
        <v>48735265</v>
      </c>
      <c r="K217" s="16">
        <f t="shared" si="370"/>
        <v>15066346</v>
      </c>
      <c r="L217" s="16">
        <f t="shared" si="370"/>
        <v>2797489</v>
      </c>
      <c r="M217" s="16">
        <f t="shared" si="370"/>
        <v>4245236</v>
      </c>
      <c r="N217" s="16">
        <f t="shared" si="370"/>
        <v>4013</v>
      </c>
      <c r="O217" s="16">
        <f t="shared" si="370"/>
        <v>10313322</v>
      </c>
      <c r="P217" s="16">
        <f t="shared" si="370"/>
        <v>16308859</v>
      </c>
      <c r="Q217" s="16">
        <f t="shared" si="370"/>
        <v>784928</v>
      </c>
      <c r="R217" s="16">
        <f t="shared" si="370"/>
        <v>157396</v>
      </c>
      <c r="S217" s="16">
        <f t="shared" si="370"/>
        <v>627532</v>
      </c>
      <c r="T217" s="16">
        <f t="shared" si="370"/>
        <v>308024</v>
      </c>
      <c r="U217" s="16">
        <f t="shared" si="370"/>
        <v>1905446</v>
      </c>
      <c r="V217" s="16">
        <f t="shared" si="370"/>
        <v>26938808</v>
      </c>
      <c r="W217" s="16">
        <f t="shared" si="370"/>
        <v>2276448</v>
      </c>
      <c r="X217" s="16">
        <f t="shared" si="370"/>
        <v>4078583</v>
      </c>
      <c r="Y217" s="16">
        <f t="shared" si="370"/>
        <v>18264363</v>
      </c>
      <c r="Z217" s="16">
        <f t="shared" si="370"/>
        <v>1098166</v>
      </c>
      <c r="AA217" s="16">
        <f t="shared" si="370"/>
        <v>741987</v>
      </c>
      <c r="AB217" s="16">
        <f t="shared" si="370"/>
        <v>302713</v>
      </c>
      <c r="AC217" s="16">
        <f t="shared" si="370"/>
        <v>0</v>
      </c>
      <c r="AD217" s="16">
        <f t="shared" ref="AD217" si="371">SUM(AD218:AD237)</f>
        <v>176548</v>
      </c>
      <c r="AE217" s="16">
        <f t="shared" si="370"/>
        <v>81255880</v>
      </c>
      <c r="AF217" s="16">
        <f t="shared" si="370"/>
        <v>339000</v>
      </c>
      <c r="AG217" s="16">
        <f t="shared" si="370"/>
        <v>3603673</v>
      </c>
      <c r="AH217" s="16">
        <f t="shared" si="370"/>
        <v>8875356</v>
      </c>
      <c r="AI217" s="16">
        <f t="shared" si="370"/>
        <v>865379</v>
      </c>
      <c r="AJ217" s="16">
        <f t="shared" si="370"/>
        <v>1932652</v>
      </c>
      <c r="AK217" s="16">
        <f t="shared" ref="AK217:BP217" si="372">SUM(AK218:AK237)</f>
        <v>15380</v>
      </c>
      <c r="AL217" s="16">
        <f t="shared" si="372"/>
        <v>517490</v>
      </c>
      <c r="AM217" s="16">
        <f t="shared" si="372"/>
        <v>2843983</v>
      </c>
      <c r="AN217" s="16">
        <f t="shared" si="372"/>
        <v>15000</v>
      </c>
      <c r="AO217" s="16">
        <f t="shared" si="372"/>
        <v>22635</v>
      </c>
      <c r="AP217" s="16">
        <f t="shared" si="372"/>
        <v>974849</v>
      </c>
      <c r="AQ217" s="16">
        <f t="shared" si="372"/>
        <v>8055897</v>
      </c>
      <c r="AR217" s="16">
        <f t="shared" si="372"/>
        <v>752247</v>
      </c>
      <c r="AS217" s="16">
        <f t="shared" si="372"/>
        <v>435115</v>
      </c>
      <c r="AT217" s="16">
        <f t="shared" si="372"/>
        <v>0</v>
      </c>
      <c r="AU217" s="16">
        <f t="shared" si="372"/>
        <v>5888</v>
      </c>
      <c r="AV217" s="16">
        <f t="shared" si="372"/>
        <v>61706</v>
      </c>
      <c r="AW217" s="16">
        <f t="shared" si="372"/>
        <v>1600375</v>
      </c>
      <c r="AX217" s="16">
        <f t="shared" si="372"/>
        <v>0</v>
      </c>
      <c r="AY217" s="16">
        <f t="shared" si="372"/>
        <v>0</v>
      </c>
      <c r="AZ217" s="16">
        <f t="shared" si="372"/>
        <v>50339255</v>
      </c>
      <c r="BA217" s="16">
        <f t="shared" si="372"/>
        <v>159840357</v>
      </c>
      <c r="BB217" s="16">
        <f t="shared" si="372"/>
        <v>0</v>
      </c>
      <c r="BC217" s="16">
        <f t="shared" si="372"/>
        <v>0</v>
      </c>
      <c r="BD217" s="16">
        <f t="shared" si="372"/>
        <v>0</v>
      </c>
      <c r="BE217" s="16">
        <f t="shared" si="372"/>
        <v>0</v>
      </c>
      <c r="BF217" s="16">
        <f t="shared" si="372"/>
        <v>0</v>
      </c>
      <c r="BG217" s="16">
        <f t="shared" si="372"/>
        <v>0</v>
      </c>
      <c r="BH217" s="16">
        <f t="shared" si="372"/>
        <v>0</v>
      </c>
      <c r="BI217" s="16">
        <f t="shared" si="372"/>
        <v>159835357</v>
      </c>
      <c r="BJ217" s="16">
        <f t="shared" si="372"/>
        <v>4214513</v>
      </c>
      <c r="BK217" s="16">
        <f t="shared" si="372"/>
        <v>0</v>
      </c>
      <c r="BL217" s="16">
        <f t="shared" si="372"/>
        <v>0</v>
      </c>
      <c r="BM217" s="16">
        <f t="shared" si="372"/>
        <v>5000</v>
      </c>
      <c r="BN217" s="16">
        <f t="shared" si="372"/>
        <v>0</v>
      </c>
      <c r="BO217" s="16">
        <f t="shared" si="372"/>
        <v>0</v>
      </c>
      <c r="BP217" s="16">
        <f t="shared" si="372"/>
        <v>5000</v>
      </c>
      <c r="BQ217" s="16">
        <f t="shared" ref="BQ217:CV217" si="373">SUM(BQ218:BQ237)</f>
        <v>0</v>
      </c>
      <c r="BR217" s="16">
        <f t="shared" si="373"/>
        <v>0</v>
      </c>
      <c r="BS217" s="16">
        <f t="shared" si="373"/>
        <v>0</v>
      </c>
      <c r="BT217" s="16">
        <f t="shared" si="373"/>
        <v>0</v>
      </c>
      <c r="BU217" s="16">
        <f t="shared" si="373"/>
        <v>0</v>
      </c>
      <c r="BV217" s="16">
        <f t="shared" si="373"/>
        <v>0</v>
      </c>
      <c r="BW217" s="16">
        <f t="shared" si="373"/>
        <v>0</v>
      </c>
      <c r="BX217" s="16">
        <f t="shared" si="373"/>
        <v>0</v>
      </c>
      <c r="BY217" s="16">
        <f t="shared" si="373"/>
        <v>24903161</v>
      </c>
      <c r="BZ217" s="16">
        <f t="shared" si="373"/>
        <v>24903161</v>
      </c>
      <c r="CA217" s="16">
        <f t="shared" si="373"/>
        <v>17540470</v>
      </c>
      <c r="CB217" s="16">
        <f t="shared" si="373"/>
        <v>2988565</v>
      </c>
      <c r="CC217" s="16">
        <f t="shared" si="373"/>
        <v>14551905</v>
      </c>
      <c r="CD217" s="16">
        <f t="shared" si="373"/>
        <v>800000</v>
      </c>
      <c r="CE217" s="16">
        <f t="shared" si="373"/>
        <v>0</v>
      </c>
      <c r="CF217" s="16">
        <f t="shared" si="373"/>
        <v>0</v>
      </c>
      <c r="CG217" s="16">
        <f t="shared" si="373"/>
        <v>0</v>
      </c>
      <c r="CH217" s="16">
        <f t="shared" si="373"/>
        <v>800000</v>
      </c>
      <c r="CI217" s="16">
        <f t="shared" si="373"/>
        <v>0</v>
      </c>
      <c r="CJ217" s="16">
        <f t="shared" si="373"/>
        <v>0</v>
      </c>
      <c r="CK217" s="16">
        <f t="shared" si="373"/>
        <v>6562691</v>
      </c>
      <c r="CL217" s="16">
        <f t="shared" si="373"/>
        <v>0</v>
      </c>
      <c r="CM217" s="16">
        <f t="shared" si="373"/>
        <v>0</v>
      </c>
      <c r="CN217" s="16">
        <f t="shared" si="373"/>
        <v>4598137</v>
      </c>
      <c r="CO217" s="16">
        <f t="shared" si="373"/>
        <v>1245122</v>
      </c>
      <c r="CP217" s="16">
        <f t="shared" si="373"/>
        <v>719432</v>
      </c>
      <c r="CQ217" s="16">
        <f t="shared" si="373"/>
        <v>0</v>
      </c>
      <c r="CR217" s="16">
        <f t="shared" si="373"/>
        <v>0</v>
      </c>
      <c r="CS217" s="16">
        <f t="shared" si="373"/>
        <v>0</v>
      </c>
      <c r="CT217" s="16">
        <f t="shared" si="373"/>
        <v>0</v>
      </c>
      <c r="CU217" s="16">
        <f t="shared" si="373"/>
        <v>0</v>
      </c>
      <c r="CV217" s="16">
        <f t="shared" si="373"/>
        <v>0</v>
      </c>
      <c r="CW217" s="17">
        <f t="shared" ref="CW217" si="374">SUM(CW218:CW237)</f>
        <v>0</v>
      </c>
      <c r="CX217" s="40"/>
    </row>
    <row r="218" spans="1:102" ht="15.75" hidden="1" x14ac:dyDescent="0.25">
      <c r="A218" s="13" t="s">
        <v>1</v>
      </c>
      <c r="B218" s="14" t="s">
        <v>1</v>
      </c>
      <c r="C218" s="14" t="s">
        <v>5</v>
      </c>
      <c r="D218" s="30" t="s">
        <v>255</v>
      </c>
      <c r="E218" s="15">
        <f t="shared" ref="E218:E236" si="375">SUM(F218+BY218+CT218)</f>
        <v>7954590</v>
      </c>
      <c r="F218" s="16">
        <f t="shared" ref="F218:F236" si="376">SUM(G218+BA218)</f>
        <v>7954590</v>
      </c>
      <c r="G218" s="16">
        <f t="shared" ref="G218:G236" si="377">SUM(H218+I218+J218+Q218+T218+U218+V218+AE218)</f>
        <v>7954590</v>
      </c>
      <c r="H218" s="16">
        <v>0</v>
      </c>
      <c r="I218" s="16">
        <v>0</v>
      </c>
      <c r="J218" s="16">
        <f t="shared" si="360"/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f t="shared" si="361"/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f t="shared" ref="V218:V236" si="378">SUM(W218:AD218)</f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f t="shared" ref="AE218:AE236" si="379">SUM(AF218:AZ218)</f>
        <v>7954590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f>8804590-850000</f>
        <v>7954590</v>
      </c>
      <c r="AR218" s="16">
        <v>0</v>
      </c>
      <c r="AS218" s="16">
        <v>0</v>
      </c>
      <c r="AT218" s="16">
        <v>0</v>
      </c>
      <c r="AU218" s="16">
        <v>0</v>
      </c>
      <c r="AV218" s="16">
        <v>0</v>
      </c>
      <c r="AW218" s="16">
        <v>0</v>
      </c>
      <c r="AX218" s="16">
        <v>0</v>
      </c>
      <c r="AY218" s="16">
        <v>0</v>
      </c>
      <c r="AZ218" s="16">
        <v>0</v>
      </c>
      <c r="BA218" s="16">
        <f t="shared" ref="BA218:BA236" si="380">SUM(BB218+BF218+BI218+BK218+BM218)</f>
        <v>0</v>
      </c>
      <c r="BB218" s="16">
        <f t="shared" ref="BB218:BB236" si="381">SUM(BC218:BE218)</f>
        <v>0</v>
      </c>
      <c r="BC218" s="16">
        <v>0</v>
      </c>
      <c r="BD218" s="16">
        <v>0</v>
      </c>
      <c r="BE218" s="16">
        <v>0</v>
      </c>
      <c r="BF218" s="16">
        <f t="shared" si="362"/>
        <v>0</v>
      </c>
      <c r="BG218" s="16">
        <v>0</v>
      </c>
      <c r="BH218" s="16">
        <v>0</v>
      </c>
      <c r="BI218" s="16">
        <v>0</v>
      </c>
      <c r="BJ218" s="16">
        <v>0</v>
      </c>
      <c r="BK218" s="16">
        <f t="shared" si="363"/>
        <v>0</v>
      </c>
      <c r="BL218" s="16">
        <v>0</v>
      </c>
      <c r="BM218" s="16">
        <f t="shared" si="364"/>
        <v>0</v>
      </c>
      <c r="BN218" s="16">
        <v>0</v>
      </c>
      <c r="BO218" s="16">
        <v>0</v>
      </c>
      <c r="BP218" s="16">
        <v>0</v>
      </c>
      <c r="BQ218" s="16">
        <v>0</v>
      </c>
      <c r="BR218" s="16">
        <v>0</v>
      </c>
      <c r="BS218" s="16">
        <v>0</v>
      </c>
      <c r="BT218" s="16">
        <v>0</v>
      </c>
      <c r="BU218" s="16">
        <v>0</v>
      </c>
      <c r="BV218" s="16">
        <v>0</v>
      </c>
      <c r="BW218" s="16">
        <v>0</v>
      </c>
      <c r="BX218" s="16">
        <v>0</v>
      </c>
      <c r="BY218" s="16">
        <f t="shared" ref="BY218:BY236" si="382">SUM(BZ218+CS218)</f>
        <v>0</v>
      </c>
      <c r="BZ218" s="16">
        <f t="shared" ref="BZ218:BZ236" si="383">SUM(CA218+CD218+CK218)</f>
        <v>0</v>
      </c>
      <c r="CA218" s="16">
        <f t="shared" si="365"/>
        <v>0</v>
      </c>
      <c r="CB218" s="16">
        <v>0</v>
      </c>
      <c r="CC218" s="16">
        <v>0</v>
      </c>
      <c r="CD218" s="16">
        <f t="shared" si="366"/>
        <v>0</v>
      </c>
      <c r="CE218" s="16">
        <v>0</v>
      </c>
      <c r="CF218" s="16">
        <v>0</v>
      </c>
      <c r="CG218" s="16">
        <v>0</v>
      </c>
      <c r="CH218" s="16">
        <v>0</v>
      </c>
      <c r="CI218" s="16">
        <v>0</v>
      </c>
      <c r="CJ218" s="16">
        <v>0</v>
      </c>
      <c r="CK218" s="16">
        <f t="shared" si="367"/>
        <v>0</v>
      </c>
      <c r="CL218" s="16">
        <v>0</v>
      </c>
      <c r="CM218" s="16">
        <v>0</v>
      </c>
      <c r="CN218" s="16">
        <v>0</v>
      </c>
      <c r="CO218" s="16">
        <v>0</v>
      </c>
      <c r="CP218" s="16">
        <v>0</v>
      </c>
      <c r="CQ218" s="16">
        <v>0</v>
      </c>
      <c r="CR218" s="16">
        <v>0</v>
      </c>
      <c r="CS218" s="16">
        <v>0</v>
      </c>
      <c r="CT218" s="16">
        <f t="shared" si="368"/>
        <v>0</v>
      </c>
      <c r="CU218" s="16">
        <f t="shared" si="369"/>
        <v>0</v>
      </c>
      <c r="CV218" s="16">
        <v>0</v>
      </c>
      <c r="CW218" s="17">
        <v>0</v>
      </c>
      <c r="CX218" s="40"/>
    </row>
    <row r="219" spans="1:102" ht="15.75" hidden="1" x14ac:dyDescent="0.25">
      <c r="A219" s="13" t="s">
        <v>1</v>
      </c>
      <c r="B219" s="14" t="s">
        <v>1</v>
      </c>
      <c r="C219" s="14" t="s">
        <v>17</v>
      </c>
      <c r="D219" s="30" t="s">
        <v>256</v>
      </c>
      <c r="E219" s="15">
        <f t="shared" si="375"/>
        <v>400000</v>
      </c>
      <c r="F219" s="16">
        <f t="shared" si="376"/>
        <v>0</v>
      </c>
      <c r="G219" s="16">
        <f t="shared" si="377"/>
        <v>0</v>
      </c>
      <c r="H219" s="16">
        <v>0</v>
      </c>
      <c r="I219" s="16">
        <v>0</v>
      </c>
      <c r="J219" s="16">
        <f t="shared" si="360"/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f t="shared" si="361"/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f t="shared" si="378"/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f t="shared" si="379"/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0</v>
      </c>
      <c r="AT219" s="16">
        <v>0</v>
      </c>
      <c r="AU219" s="16">
        <v>0</v>
      </c>
      <c r="AV219" s="16">
        <v>0</v>
      </c>
      <c r="AW219" s="16">
        <v>0</v>
      </c>
      <c r="AX219" s="16">
        <v>0</v>
      </c>
      <c r="AY219" s="16">
        <v>0</v>
      </c>
      <c r="AZ219" s="16">
        <v>0</v>
      </c>
      <c r="BA219" s="16">
        <f t="shared" si="380"/>
        <v>0</v>
      </c>
      <c r="BB219" s="16">
        <f t="shared" si="381"/>
        <v>0</v>
      </c>
      <c r="BC219" s="16">
        <v>0</v>
      </c>
      <c r="BD219" s="16">
        <v>0</v>
      </c>
      <c r="BE219" s="16">
        <v>0</v>
      </c>
      <c r="BF219" s="16">
        <f t="shared" si="362"/>
        <v>0</v>
      </c>
      <c r="BG219" s="16">
        <v>0</v>
      </c>
      <c r="BH219" s="16">
        <v>0</v>
      </c>
      <c r="BI219" s="16">
        <v>0</v>
      </c>
      <c r="BJ219" s="16">
        <v>0</v>
      </c>
      <c r="BK219" s="16">
        <f t="shared" si="363"/>
        <v>0</v>
      </c>
      <c r="BL219" s="16">
        <v>0</v>
      </c>
      <c r="BM219" s="16">
        <f t="shared" si="364"/>
        <v>0</v>
      </c>
      <c r="BN219" s="16">
        <v>0</v>
      </c>
      <c r="BO219" s="16">
        <v>0</v>
      </c>
      <c r="BP219" s="16">
        <v>0</v>
      </c>
      <c r="BQ219" s="16">
        <v>0</v>
      </c>
      <c r="BR219" s="16">
        <v>0</v>
      </c>
      <c r="BS219" s="16">
        <v>0</v>
      </c>
      <c r="BT219" s="16">
        <v>0</v>
      </c>
      <c r="BU219" s="16">
        <v>0</v>
      </c>
      <c r="BV219" s="16">
        <v>0</v>
      </c>
      <c r="BW219" s="16">
        <v>0</v>
      </c>
      <c r="BX219" s="16">
        <v>0</v>
      </c>
      <c r="BY219" s="16">
        <f t="shared" si="382"/>
        <v>400000</v>
      </c>
      <c r="BZ219" s="16">
        <f t="shared" si="383"/>
        <v>400000</v>
      </c>
      <c r="CA219" s="16">
        <f t="shared" si="365"/>
        <v>400000</v>
      </c>
      <c r="CB219" s="16">
        <v>0</v>
      </c>
      <c r="CC219" s="16">
        <v>400000</v>
      </c>
      <c r="CD219" s="16">
        <f t="shared" si="366"/>
        <v>0</v>
      </c>
      <c r="CE219" s="16">
        <v>0</v>
      </c>
      <c r="CF219" s="16">
        <v>0</v>
      </c>
      <c r="CG219" s="16">
        <v>0</v>
      </c>
      <c r="CH219" s="16">
        <v>0</v>
      </c>
      <c r="CI219" s="16">
        <v>0</v>
      </c>
      <c r="CJ219" s="16">
        <v>0</v>
      </c>
      <c r="CK219" s="16">
        <f t="shared" si="367"/>
        <v>0</v>
      </c>
      <c r="CL219" s="16">
        <v>0</v>
      </c>
      <c r="CM219" s="16">
        <v>0</v>
      </c>
      <c r="CN219" s="16">
        <v>0</v>
      </c>
      <c r="CO219" s="16">
        <v>0</v>
      </c>
      <c r="CP219" s="16">
        <v>0</v>
      </c>
      <c r="CQ219" s="16">
        <v>0</v>
      </c>
      <c r="CR219" s="16">
        <v>0</v>
      </c>
      <c r="CS219" s="16">
        <v>0</v>
      </c>
      <c r="CT219" s="16">
        <f t="shared" si="368"/>
        <v>0</v>
      </c>
      <c r="CU219" s="16">
        <f t="shared" si="369"/>
        <v>0</v>
      </c>
      <c r="CV219" s="16">
        <v>0</v>
      </c>
      <c r="CW219" s="17">
        <v>0</v>
      </c>
      <c r="CX219" s="40"/>
    </row>
    <row r="220" spans="1:102" s="49" customFormat="1" ht="15.75" hidden="1" x14ac:dyDescent="0.25">
      <c r="A220" s="42"/>
      <c r="B220" s="43"/>
      <c r="C220" s="44" t="s">
        <v>17</v>
      </c>
      <c r="D220" s="45" t="s">
        <v>554</v>
      </c>
      <c r="E220" s="46">
        <f t="shared" si="375"/>
        <v>0</v>
      </c>
      <c r="F220" s="41">
        <f t="shared" si="376"/>
        <v>0</v>
      </c>
      <c r="G220" s="41">
        <f t="shared" si="377"/>
        <v>0</v>
      </c>
      <c r="H220" s="41"/>
      <c r="I220" s="41"/>
      <c r="J220" s="41">
        <f t="shared" si="360"/>
        <v>0</v>
      </c>
      <c r="K220" s="41">
        <v>0</v>
      </c>
      <c r="L220" s="41"/>
      <c r="M220" s="41">
        <v>0</v>
      </c>
      <c r="N220" s="41">
        <v>0</v>
      </c>
      <c r="O220" s="41"/>
      <c r="P220" s="41"/>
      <c r="Q220" s="41">
        <f t="shared" si="361"/>
        <v>0</v>
      </c>
      <c r="R220" s="41"/>
      <c r="S220" s="41"/>
      <c r="T220" s="41">
        <v>0</v>
      </c>
      <c r="U220" s="41"/>
      <c r="V220" s="41">
        <f t="shared" si="378"/>
        <v>0</v>
      </c>
      <c r="W220" s="41"/>
      <c r="X220" s="41"/>
      <c r="Y220" s="41"/>
      <c r="Z220" s="41"/>
      <c r="AA220" s="41"/>
      <c r="AB220" s="41">
        <v>0</v>
      </c>
      <c r="AC220" s="41">
        <v>0</v>
      </c>
      <c r="AD220" s="41"/>
      <c r="AE220" s="41">
        <f>SUM(AF220:AZ220)</f>
        <v>0</v>
      </c>
      <c r="AF220" s="41">
        <v>0</v>
      </c>
      <c r="AG220" s="41"/>
      <c r="AH220" s="41"/>
      <c r="AI220" s="41">
        <v>0</v>
      </c>
      <c r="AJ220" s="41"/>
      <c r="AK220" s="41"/>
      <c r="AL220" s="41"/>
      <c r="AM220" s="41"/>
      <c r="AN220" s="41"/>
      <c r="AO220" s="41"/>
      <c r="AP220" s="41"/>
      <c r="AQ220" s="41">
        <v>0</v>
      </c>
      <c r="AR220" s="41">
        <v>0</v>
      </c>
      <c r="AS220" s="41"/>
      <c r="AT220" s="41">
        <v>0</v>
      </c>
      <c r="AU220" s="41">
        <v>0</v>
      </c>
      <c r="AV220" s="41">
        <v>0</v>
      </c>
      <c r="AW220" s="41">
        <v>0</v>
      </c>
      <c r="AX220" s="41">
        <v>0</v>
      </c>
      <c r="AY220" s="41"/>
      <c r="AZ220" s="41"/>
      <c r="BA220" s="41">
        <f t="shared" si="380"/>
        <v>0</v>
      </c>
      <c r="BB220" s="41">
        <f t="shared" si="381"/>
        <v>0</v>
      </c>
      <c r="BC220" s="41">
        <v>0</v>
      </c>
      <c r="BD220" s="41">
        <v>0</v>
      </c>
      <c r="BE220" s="41">
        <v>0</v>
      </c>
      <c r="BF220" s="41">
        <f t="shared" si="362"/>
        <v>0</v>
      </c>
      <c r="BG220" s="41">
        <v>0</v>
      </c>
      <c r="BH220" s="41">
        <v>0</v>
      </c>
      <c r="BI220" s="41">
        <v>0</v>
      </c>
      <c r="BJ220" s="41">
        <v>0</v>
      </c>
      <c r="BK220" s="41">
        <f t="shared" si="363"/>
        <v>0</v>
      </c>
      <c r="BL220" s="41">
        <v>0</v>
      </c>
      <c r="BM220" s="41">
        <f t="shared" si="364"/>
        <v>0</v>
      </c>
      <c r="BN220" s="41">
        <v>0</v>
      </c>
      <c r="BO220" s="41">
        <v>0</v>
      </c>
      <c r="BP220" s="41">
        <v>0</v>
      </c>
      <c r="BQ220" s="41">
        <v>0</v>
      </c>
      <c r="BR220" s="41">
        <v>0</v>
      </c>
      <c r="BS220" s="41">
        <v>0</v>
      </c>
      <c r="BT220" s="41">
        <v>0</v>
      </c>
      <c r="BU220" s="41">
        <v>0</v>
      </c>
      <c r="BV220" s="41">
        <v>0</v>
      </c>
      <c r="BW220" s="41"/>
      <c r="BX220" s="41">
        <v>0</v>
      </c>
      <c r="BY220" s="41">
        <f t="shared" si="382"/>
        <v>0</v>
      </c>
      <c r="BZ220" s="41">
        <f t="shared" si="383"/>
        <v>0</v>
      </c>
      <c r="CA220" s="41">
        <f t="shared" si="365"/>
        <v>0</v>
      </c>
      <c r="CB220" s="41">
        <v>0</v>
      </c>
      <c r="CC220" s="41"/>
      <c r="CD220" s="41">
        <f t="shared" si="366"/>
        <v>0</v>
      </c>
      <c r="CE220" s="41">
        <v>0</v>
      </c>
      <c r="CF220" s="41">
        <v>0</v>
      </c>
      <c r="CG220" s="41">
        <v>0</v>
      </c>
      <c r="CH220" s="41">
        <v>0</v>
      </c>
      <c r="CI220" s="41">
        <v>0</v>
      </c>
      <c r="CJ220" s="41">
        <v>0</v>
      </c>
      <c r="CK220" s="41">
        <f t="shared" si="367"/>
        <v>0</v>
      </c>
      <c r="CL220" s="41">
        <v>0</v>
      </c>
      <c r="CM220" s="41">
        <v>0</v>
      </c>
      <c r="CN220" s="41">
        <v>0</v>
      </c>
      <c r="CO220" s="41"/>
      <c r="CP220" s="41">
        <v>0</v>
      </c>
      <c r="CQ220" s="41">
        <f>SUM(CR220)</f>
        <v>0</v>
      </c>
      <c r="CR220" s="41"/>
      <c r="CS220" s="41">
        <v>0</v>
      </c>
      <c r="CT220" s="41">
        <f t="shared" ref="CT220" si="384">SUM(CU220)</f>
        <v>0</v>
      </c>
      <c r="CU220" s="41">
        <f t="shared" si="369"/>
        <v>0</v>
      </c>
      <c r="CV220" s="41">
        <v>0</v>
      </c>
      <c r="CW220" s="47">
        <v>0</v>
      </c>
      <c r="CX220" s="48"/>
    </row>
    <row r="221" spans="1:102" s="49" customFormat="1" ht="15.75" hidden="1" x14ac:dyDescent="0.25">
      <c r="A221" s="42" t="s">
        <v>1</v>
      </c>
      <c r="B221" s="43" t="s">
        <v>1</v>
      </c>
      <c r="C221" s="43" t="s">
        <v>17</v>
      </c>
      <c r="D221" s="50" t="s">
        <v>258</v>
      </c>
      <c r="E221" s="46">
        <f t="shared" si="375"/>
        <v>0</v>
      </c>
      <c r="F221" s="41">
        <f t="shared" si="376"/>
        <v>0</v>
      </c>
      <c r="G221" s="41">
        <f t="shared" si="377"/>
        <v>0</v>
      </c>
      <c r="H221" s="41">
        <v>0</v>
      </c>
      <c r="I221" s="41">
        <v>0</v>
      </c>
      <c r="J221" s="41">
        <f>SUM(K221:P221)</f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f>SUM(R221:S221)</f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f t="shared" si="378"/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0</v>
      </c>
      <c r="AD221" s="41">
        <v>0</v>
      </c>
      <c r="AE221" s="41">
        <f t="shared" si="379"/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  <c r="AU221" s="41">
        <v>0</v>
      </c>
      <c r="AV221" s="41">
        <v>0</v>
      </c>
      <c r="AW221" s="41">
        <v>0</v>
      </c>
      <c r="AX221" s="41">
        <v>0</v>
      </c>
      <c r="AY221" s="41">
        <v>0</v>
      </c>
      <c r="AZ221" s="41"/>
      <c r="BA221" s="41">
        <f t="shared" si="380"/>
        <v>0</v>
      </c>
      <c r="BB221" s="41">
        <f t="shared" si="381"/>
        <v>0</v>
      </c>
      <c r="BC221" s="41">
        <v>0</v>
      </c>
      <c r="BD221" s="41">
        <v>0</v>
      </c>
      <c r="BE221" s="41">
        <v>0</v>
      </c>
      <c r="BF221" s="41">
        <f>SUM(BG221:BH221)</f>
        <v>0</v>
      </c>
      <c r="BG221" s="41">
        <v>0</v>
      </c>
      <c r="BH221" s="41">
        <v>0</v>
      </c>
      <c r="BI221" s="41">
        <v>0</v>
      </c>
      <c r="BJ221" s="41">
        <v>0</v>
      </c>
      <c r="BK221" s="41">
        <f>SUM(BL221)</f>
        <v>0</v>
      </c>
      <c r="BL221" s="41">
        <v>0</v>
      </c>
      <c r="BM221" s="41">
        <f>SUM(BN221:BX221)</f>
        <v>0</v>
      </c>
      <c r="BN221" s="41">
        <v>0</v>
      </c>
      <c r="BO221" s="41">
        <v>0</v>
      </c>
      <c r="BP221" s="41">
        <v>0</v>
      </c>
      <c r="BQ221" s="41">
        <v>0</v>
      </c>
      <c r="BR221" s="41">
        <v>0</v>
      </c>
      <c r="BS221" s="41">
        <v>0</v>
      </c>
      <c r="BT221" s="41">
        <v>0</v>
      </c>
      <c r="BU221" s="41">
        <v>0</v>
      </c>
      <c r="BV221" s="41">
        <v>0</v>
      </c>
      <c r="BW221" s="41">
        <v>0</v>
      </c>
      <c r="BX221" s="41">
        <v>0</v>
      </c>
      <c r="BY221" s="41">
        <f t="shared" si="382"/>
        <v>0</v>
      </c>
      <c r="BZ221" s="41">
        <f t="shared" si="383"/>
        <v>0</v>
      </c>
      <c r="CA221" s="41">
        <f>SUM(CB221:CC221)</f>
        <v>0</v>
      </c>
      <c r="CB221" s="41">
        <v>0</v>
      </c>
      <c r="CC221" s="41">
        <v>0</v>
      </c>
      <c r="CD221" s="41">
        <f>SUM(CE221:CI221)</f>
        <v>0</v>
      </c>
      <c r="CE221" s="41">
        <v>0</v>
      </c>
      <c r="CF221" s="41">
        <v>0</v>
      </c>
      <c r="CG221" s="41">
        <v>0</v>
      </c>
      <c r="CH221" s="41">
        <v>0</v>
      </c>
      <c r="CI221" s="41">
        <v>0</v>
      </c>
      <c r="CJ221" s="41">
        <v>0</v>
      </c>
      <c r="CK221" s="41">
        <f>SUM(CL221:CP221)</f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f>SUM(CU221)</f>
        <v>0</v>
      </c>
      <c r="CU221" s="41">
        <f>SUM(CV221:CW221)</f>
        <v>0</v>
      </c>
      <c r="CV221" s="41">
        <v>0</v>
      </c>
      <c r="CW221" s="47">
        <v>0</v>
      </c>
      <c r="CX221" s="48"/>
    </row>
    <row r="222" spans="1:102" s="49" customFormat="1" ht="15.75" hidden="1" x14ac:dyDescent="0.25">
      <c r="A222" s="42" t="s">
        <v>1</v>
      </c>
      <c r="B222" s="43" t="s">
        <v>1</v>
      </c>
      <c r="C222" s="43" t="s">
        <v>17</v>
      </c>
      <c r="D222" s="50" t="s">
        <v>257</v>
      </c>
      <c r="E222" s="46">
        <f t="shared" si="375"/>
        <v>2798223</v>
      </c>
      <c r="F222" s="41">
        <f t="shared" si="376"/>
        <v>2798223</v>
      </c>
      <c r="G222" s="41">
        <f t="shared" si="377"/>
        <v>2798223</v>
      </c>
      <c r="H222" s="41">
        <v>0</v>
      </c>
      <c r="I222" s="41">
        <v>0</v>
      </c>
      <c r="J222" s="41">
        <f t="shared" si="360"/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f t="shared" si="361"/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f t="shared" si="378"/>
        <v>0</v>
      </c>
      <c r="W222" s="41">
        <v>0</v>
      </c>
      <c r="X222" s="41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f t="shared" si="379"/>
        <v>2798223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0</v>
      </c>
      <c r="AQ222" s="41">
        <v>0</v>
      </c>
      <c r="AR222" s="41">
        <v>0</v>
      </c>
      <c r="AS222" s="41">
        <v>0</v>
      </c>
      <c r="AT222" s="41">
        <v>0</v>
      </c>
      <c r="AU222" s="41">
        <v>0</v>
      </c>
      <c r="AV222" s="41">
        <v>0</v>
      </c>
      <c r="AW222" s="41">
        <v>0</v>
      </c>
      <c r="AX222" s="41">
        <v>0</v>
      </c>
      <c r="AY222" s="41">
        <v>0</v>
      </c>
      <c r="AZ222" s="41">
        <v>2798223</v>
      </c>
      <c r="BA222" s="41">
        <f t="shared" si="380"/>
        <v>0</v>
      </c>
      <c r="BB222" s="41">
        <f t="shared" si="381"/>
        <v>0</v>
      </c>
      <c r="BC222" s="41">
        <v>0</v>
      </c>
      <c r="BD222" s="41">
        <v>0</v>
      </c>
      <c r="BE222" s="41">
        <v>0</v>
      </c>
      <c r="BF222" s="41">
        <f t="shared" si="362"/>
        <v>0</v>
      </c>
      <c r="BG222" s="41">
        <v>0</v>
      </c>
      <c r="BH222" s="41">
        <v>0</v>
      </c>
      <c r="BI222" s="41">
        <v>0</v>
      </c>
      <c r="BJ222" s="41">
        <v>0</v>
      </c>
      <c r="BK222" s="41">
        <f t="shared" si="363"/>
        <v>0</v>
      </c>
      <c r="BL222" s="41">
        <v>0</v>
      </c>
      <c r="BM222" s="41">
        <f t="shared" si="364"/>
        <v>0</v>
      </c>
      <c r="BN222" s="41">
        <v>0</v>
      </c>
      <c r="BO222" s="41">
        <v>0</v>
      </c>
      <c r="BP222" s="41">
        <v>0</v>
      </c>
      <c r="BQ222" s="41">
        <v>0</v>
      </c>
      <c r="BR222" s="41">
        <v>0</v>
      </c>
      <c r="BS222" s="41">
        <v>0</v>
      </c>
      <c r="BT222" s="41">
        <v>0</v>
      </c>
      <c r="BU222" s="41">
        <v>0</v>
      </c>
      <c r="BV222" s="41">
        <v>0</v>
      </c>
      <c r="BW222" s="41">
        <v>0</v>
      </c>
      <c r="BX222" s="41">
        <v>0</v>
      </c>
      <c r="BY222" s="41">
        <f t="shared" si="382"/>
        <v>0</v>
      </c>
      <c r="BZ222" s="41">
        <f t="shared" si="383"/>
        <v>0</v>
      </c>
      <c r="CA222" s="41">
        <f t="shared" si="365"/>
        <v>0</v>
      </c>
      <c r="CB222" s="41">
        <v>0</v>
      </c>
      <c r="CC222" s="41">
        <v>0</v>
      </c>
      <c r="CD222" s="41">
        <f t="shared" si="366"/>
        <v>0</v>
      </c>
      <c r="CE222" s="41">
        <v>0</v>
      </c>
      <c r="CF222" s="41">
        <v>0</v>
      </c>
      <c r="CG222" s="41">
        <v>0</v>
      </c>
      <c r="CH222" s="41">
        <v>0</v>
      </c>
      <c r="CI222" s="41">
        <v>0</v>
      </c>
      <c r="CJ222" s="41">
        <v>0</v>
      </c>
      <c r="CK222" s="41">
        <f t="shared" si="367"/>
        <v>0</v>
      </c>
      <c r="CL222" s="41">
        <v>0</v>
      </c>
      <c r="CM222" s="41">
        <v>0</v>
      </c>
      <c r="CN222" s="41">
        <v>0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f t="shared" si="368"/>
        <v>0</v>
      </c>
      <c r="CU222" s="41">
        <f t="shared" si="369"/>
        <v>0</v>
      </c>
      <c r="CV222" s="41">
        <v>0</v>
      </c>
      <c r="CW222" s="47">
        <v>0</v>
      </c>
      <c r="CX222" s="48"/>
    </row>
    <row r="223" spans="1:102" s="49" customFormat="1" ht="15.75" hidden="1" x14ac:dyDescent="0.25">
      <c r="A223" s="42"/>
      <c r="B223" s="43"/>
      <c r="C223" s="44" t="s">
        <v>17</v>
      </c>
      <c r="D223" s="45" t="s">
        <v>555</v>
      </c>
      <c r="E223" s="46">
        <f t="shared" si="375"/>
        <v>11536817</v>
      </c>
      <c r="F223" s="41">
        <f t="shared" si="376"/>
        <v>11536817</v>
      </c>
      <c r="G223" s="41">
        <f t="shared" si="377"/>
        <v>11536817</v>
      </c>
      <c r="H223" s="41"/>
      <c r="I223" s="41"/>
      <c r="J223" s="41">
        <f t="shared" si="360"/>
        <v>0</v>
      </c>
      <c r="K223" s="41">
        <v>0</v>
      </c>
      <c r="L223" s="41"/>
      <c r="M223" s="41">
        <v>0</v>
      </c>
      <c r="N223" s="41">
        <v>0</v>
      </c>
      <c r="O223" s="41"/>
      <c r="P223" s="41"/>
      <c r="Q223" s="41">
        <f t="shared" si="361"/>
        <v>0</v>
      </c>
      <c r="R223" s="41"/>
      <c r="S223" s="41"/>
      <c r="T223" s="41">
        <v>0</v>
      </c>
      <c r="U223" s="41"/>
      <c r="V223" s="41">
        <f t="shared" si="378"/>
        <v>0</v>
      </c>
      <c r="W223" s="41"/>
      <c r="X223" s="41"/>
      <c r="Y223" s="41"/>
      <c r="Z223" s="41"/>
      <c r="AA223" s="41"/>
      <c r="AB223" s="41">
        <v>0</v>
      </c>
      <c r="AC223" s="41">
        <v>0</v>
      </c>
      <c r="AD223" s="41"/>
      <c r="AE223" s="41">
        <f>SUM(AF223:AZ223)</f>
        <v>11536817</v>
      </c>
      <c r="AF223" s="41">
        <v>0</v>
      </c>
      <c r="AG223" s="41"/>
      <c r="AH223" s="41"/>
      <c r="AI223" s="41">
        <v>0</v>
      </c>
      <c r="AJ223" s="41"/>
      <c r="AK223" s="41"/>
      <c r="AL223" s="41"/>
      <c r="AM223" s="41"/>
      <c r="AN223" s="41"/>
      <c r="AO223" s="41"/>
      <c r="AP223" s="41"/>
      <c r="AQ223" s="41">
        <v>0</v>
      </c>
      <c r="AR223" s="41">
        <v>0</v>
      </c>
      <c r="AS223" s="41"/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/>
      <c r="AZ223" s="41">
        <f>0+11536817</f>
        <v>11536817</v>
      </c>
      <c r="BA223" s="41">
        <f t="shared" si="380"/>
        <v>0</v>
      </c>
      <c r="BB223" s="41">
        <f t="shared" si="381"/>
        <v>0</v>
      </c>
      <c r="BC223" s="41">
        <v>0</v>
      </c>
      <c r="BD223" s="41">
        <v>0</v>
      </c>
      <c r="BE223" s="41">
        <v>0</v>
      </c>
      <c r="BF223" s="41">
        <f t="shared" si="362"/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f t="shared" si="363"/>
        <v>0</v>
      </c>
      <c r="BL223" s="41">
        <v>0</v>
      </c>
      <c r="BM223" s="41">
        <f t="shared" si="364"/>
        <v>0</v>
      </c>
      <c r="BN223" s="41">
        <v>0</v>
      </c>
      <c r="BO223" s="41">
        <v>0</v>
      </c>
      <c r="BP223" s="41">
        <v>0</v>
      </c>
      <c r="BQ223" s="41">
        <v>0</v>
      </c>
      <c r="BR223" s="41">
        <v>0</v>
      </c>
      <c r="BS223" s="41">
        <v>0</v>
      </c>
      <c r="BT223" s="41">
        <v>0</v>
      </c>
      <c r="BU223" s="41">
        <v>0</v>
      </c>
      <c r="BV223" s="41">
        <v>0</v>
      </c>
      <c r="BW223" s="41"/>
      <c r="BX223" s="41">
        <v>0</v>
      </c>
      <c r="BY223" s="41">
        <f t="shared" si="382"/>
        <v>0</v>
      </c>
      <c r="BZ223" s="41">
        <f t="shared" si="383"/>
        <v>0</v>
      </c>
      <c r="CA223" s="41">
        <f t="shared" si="365"/>
        <v>0</v>
      </c>
      <c r="CB223" s="41">
        <v>0</v>
      </c>
      <c r="CC223" s="41"/>
      <c r="CD223" s="41">
        <f t="shared" si="366"/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0</v>
      </c>
      <c r="CJ223" s="41">
        <v>0</v>
      </c>
      <c r="CK223" s="41">
        <f t="shared" si="367"/>
        <v>0</v>
      </c>
      <c r="CL223" s="41">
        <v>0</v>
      </c>
      <c r="CM223" s="41">
        <v>0</v>
      </c>
      <c r="CN223" s="41">
        <v>0</v>
      </c>
      <c r="CO223" s="41"/>
      <c r="CP223" s="41">
        <v>0</v>
      </c>
      <c r="CQ223" s="41">
        <f>SUM(CR223)</f>
        <v>0</v>
      </c>
      <c r="CR223" s="41"/>
      <c r="CS223" s="41">
        <v>0</v>
      </c>
      <c r="CT223" s="41">
        <f t="shared" ref="CT223" si="385">SUM(CU223)</f>
        <v>0</v>
      </c>
      <c r="CU223" s="41">
        <f t="shared" si="369"/>
        <v>0</v>
      </c>
      <c r="CV223" s="41">
        <v>0</v>
      </c>
      <c r="CW223" s="47">
        <v>0</v>
      </c>
      <c r="CX223" s="48"/>
    </row>
    <row r="224" spans="1:102" ht="31.5" hidden="1" x14ac:dyDescent="0.25">
      <c r="A224" s="13" t="s">
        <v>1</v>
      </c>
      <c r="B224" s="14" t="s">
        <v>1</v>
      </c>
      <c r="C224" s="14" t="s">
        <v>17</v>
      </c>
      <c r="D224" s="30" t="s">
        <v>503</v>
      </c>
      <c r="E224" s="15">
        <f t="shared" si="375"/>
        <v>0</v>
      </c>
      <c r="F224" s="16">
        <f t="shared" si="376"/>
        <v>0</v>
      </c>
      <c r="G224" s="16">
        <f t="shared" si="377"/>
        <v>0</v>
      </c>
      <c r="H224" s="16">
        <v>0</v>
      </c>
      <c r="I224" s="16">
        <v>0</v>
      </c>
      <c r="J224" s="16">
        <f>SUM(K224:P224)</f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f>SUM(R224:S224)</f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f t="shared" si="378"/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f t="shared" si="379"/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0</v>
      </c>
      <c r="AZ224" s="16">
        <f>6495219-6495219</f>
        <v>0</v>
      </c>
      <c r="BA224" s="16">
        <f t="shared" si="380"/>
        <v>0</v>
      </c>
      <c r="BB224" s="16">
        <f t="shared" si="381"/>
        <v>0</v>
      </c>
      <c r="BC224" s="16">
        <v>0</v>
      </c>
      <c r="BD224" s="16">
        <v>0</v>
      </c>
      <c r="BE224" s="16">
        <v>0</v>
      </c>
      <c r="BF224" s="16">
        <f>SUM(BG224:BH224)</f>
        <v>0</v>
      </c>
      <c r="BG224" s="16">
        <v>0</v>
      </c>
      <c r="BH224" s="16">
        <v>0</v>
      </c>
      <c r="BI224" s="16">
        <v>0</v>
      </c>
      <c r="BJ224" s="16">
        <v>0</v>
      </c>
      <c r="BK224" s="16">
        <f>SUM(BL224)</f>
        <v>0</v>
      </c>
      <c r="BL224" s="16">
        <v>0</v>
      </c>
      <c r="BM224" s="16">
        <f>SUM(BN224:BX224)</f>
        <v>0</v>
      </c>
      <c r="BN224" s="16">
        <v>0</v>
      </c>
      <c r="BO224" s="16">
        <v>0</v>
      </c>
      <c r="BP224" s="16">
        <v>0</v>
      </c>
      <c r="BQ224" s="16">
        <v>0</v>
      </c>
      <c r="BR224" s="16">
        <v>0</v>
      </c>
      <c r="BS224" s="16">
        <v>0</v>
      </c>
      <c r="BT224" s="16">
        <v>0</v>
      </c>
      <c r="BU224" s="16">
        <v>0</v>
      </c>
      <c r="BV224" s="16">
        <v>0</v>
      </c>
      <c r="BW224" s="16">
        <v>0</v>
      </c>
      <c r="BX224" s="16">
        <v>0</v>
      </c>
      <c r="BY224" s="16">
        <f t="shared" si="382"/>
        <v>0</v>
      </c>
      <c r="BZ224" s="16">
        <f t="shared" si="383"/>
        <v>0</v>
      </c>
      <c r="CA224" s="16">
        <f>SUM(CB224:CC224)</f>
        <v>0</v>
      </c>
      <c r="CB224" s="16">
        <v>0</v>
      </c>
      <c r="CC224" s="16">
        <v>0</v>
      </c>
      <c r="CD224" s="16">
        <f>SUM(CE224:CI224)</f>
        <v>0</v>
      </c>
      <c r="CE224" s="16">
        <v>0</v>
      </c>
      <c r="CF224" s="16">
        <v>0</v>
      </c>
      <c r="CG224" s="16">
        <v>0</v>
      </c>
      <c r="CH224" s="16">
        <v>0</v>
      </c>
      <c r="CI224" s="16">
        <v>0</v>
      </c>
      <c r="CJ224" s="16">
        <v>0</v>
      </c>
      <c r="CK224" s="16">
        <f>SUM(CL224:CP224)</f>
        <v>0</v>
      </c>
      <c r="CL224" s="16">
        <v>0</v>
      </c>
      <c r="CM224" s="16">
        <v>0</v>
      </c>
      <c r="CN224" s="16">
        <v>0</v>
      </c>
      <c r="CO224" s="16">
        <v>0</v>
      </c>
      <c r="CP224" s="16">
        <v>0</v>
      </c>
      <c r="CQ224" s="16">
        <v>0</v>
      </c>
      <c r="CR224" s="16">
        <v>0</v>
      </c>
      <c r="CS224" s="16">
        <v>0</v>
      </c>
      <c r="CT224" s="16">
        <f>SUM(CU224)</f>
        <v>0</v>
      </c>
      <c r="CU224" s="16">
        <f>SUM(CV224:CW224)</f>
        <v>0</v>
      </c>
      <c r="CV224" s="16">
        <v>0</v>
      </c>
      <c r="CW224" s="17">
        <v>0</v>
      </c>
      <c r="CX224" s="40"/>
    </row>
    <row r="225" spans="1:102" ht="15.75" hidden="1" x14ac:dyDescent="0.25">
      <c r="A225" s="13" t="s">
        <v>1</v>
      </c>
      <c r="B225" s="14" t="s">
        <v>1</v>
      </c>
      <c r="C225" s="14" t="s">
        <v>17</v>
      </c>
      <c r="D225" s="30" t="s">
        <v>538</v>
      </c>
      <c r="E225" s="15">
        <f t="shared" si="375"/>
        <v>1988565</v>
      </c>
      <c r="F225" s="16">
        <f t="shared" si="376"/>
        <v>0</v>
      </c>
      <c r="G225" s="16">
        <f t="shared" si="377"/>
        <v>0</v>
      </c>
      <c r="H225" s="16">
        <v>0</v>
      </c>
      <c r="I225" s="16">
        <v>0</v>
      </c>
      <c r="J225" s="16">
        <f t="shared" si="360"/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f t="shared" si="361"/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f t="shared" si="378"/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f t="shared" si="379"/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  <c r="AT225" s="16">
        <v>0</v>
      </c>
      <c r="AU225" s="16">
        <v>0</v>
      </c>
      <c r="AV225" s="16">
        <v>0</v>
      </c>
      <c r="AW225" s="16">
        <v>0</v>
      </c>
      <c r="AX225" s="16">
        <v>0</v>
      </c>
      <c r="AY225" s="16">
        <v>0</v>
      </c>
      <c r="AZ225" s="16">
        <v>0</v>
      </c>
      <c r="BA225" s="16">
        <f t="shared" si="380"/>
        <v>0</v>
      </c>
      <c r="BB225" s="16">
        <f t="shared" si="381"/>
        <v>0</v>
      </c>
      <c r="BC225" s="16">
        <v>0</v>
      </c>
      <c r="BD225" s="16">
        <v>0</v>
      </c>
      <c r="BE225" s="16">
        <v>0</v>
      </c>
      <c r="BF225" s="16">
        <f t="shared" si="362"/>
        <v>0</v>
      </c>
      <c r="BG225" s="16">
        <v>0</v>
      </c>
      <c r="BH225" s="16">
        <v>0</v>
      </c>
      <c r="BI225" s="16">
        <v>0</v>
      </c>
      <c r="BJ225" s="16">
        <v>0</v>
      </c>
      <c r="BK225" s="16">
        <f t="shared" si="363"/>
        <v>0</v>
      </c>
      <c r="BL225" s="16">
        <v>0</v>
      </c>
      <c r="BM225" s="16">
        <f t="shared" si="364"/>
        <v>0</v>
      </c>
      <c r="BN225" s="16">
        <v>0</v>
      </c>
      <c r="BO225" s="16">
        <v>0</v>
      </c>
      <c r="BP225" s="16">
        <v>0</v>
      </c>
      <c r="BQ225" s="16">
        <v>0</v>
      </c>
      <c r="BR225" s="16">
        <v>0</v>
      </c>
      <c r="BS225" s="16">
        <v>0</v>
      </c>
      <c r="BT225" s="16">
        <v>0</v>
      </c>
      <c r="BU225" s="16">
        <v>0</v>
      </c>
      <c r="BV225" s="16">
        <v>0</v>
      </c>
      <c r="BW225" s="16">
        <v>0</v>
      </c>
      <c r="BX225" s="16">
        <v>0</v>
      </c>
      <c r="BY225" s="16">
        <f t="shared" si="382"/>
        <v>1988565</v>
      </c>
      <c r="BZ225" s="16">
        <f t="shared" si="383"/>
        <v>1988565</v>
      </c>
      <c r="CA225" s="16">
        <f t="shared" si="365"/>
        <v>1988565</v>
      </c>
      <c r="CB225" s="16">
        <f>2937707-949142</f>
        <v>1988565</v>
      </c>
      <c r="CC225" s="16">
        <v>0</v>
      </c>
      <c r="CD225" s="16">
        <f t="shared" si="366"/>
        <v>0</v>
      </c>
      <c r="CE225" s="16">
        <v>0</v>
      </c>
      <c r="CF225" s="16">
        <v>0</v>
      </c>
      <c r="CG225" s="16">
        <v>0</v>
      </c>
      <c r="CH225" s="16">
        <v>0</v>
      </c>
      <c r="CI225" s="16">
        <v>0</v>
      </c>
      <c r="CJ225" s="16">
        <v>0</v>
      </c>
      <c r="CK225" s="16">
        <f t="shared" si="367"/>
        <v>0</v>
      </c>
      <c r="CL225" s="16">
        <v>0</v>
      </c>
      <c r="CM225" s="16">
        <v>0</v>
      </c>
      <c r="CN225" s="16">
        <v>0</v>
      </c>
      <c r="CO225" s="16">
        <v>0</v>
      </c>
      <c r="CP225" s="16">
        <v>0</v>
      </c>
      <c r="CQ225" s="16">
        <v>0</v>
      </c>
      <c r="CR225" s="16">
        <v>0</v>
      </c>
      <c r="CS225" s="16">
        <v>0</v>
      </c>
      <c r="CT225" s="16">
        <f t="shared" si="368"/>
        <v>0</v>
      </c>
      <c r="CU225" s="16">
        <f t="shared" si="369"/>
        <v>0</v>
      </c>
      <c r="CV225" s="16">
        <v>0</v>
      </c>
      <c r="CW225" s="17">
        <v>0</v>
      </c>
      <c r="CX225" s="40"/>
    </row>
    <row r="226" spans="1:102" ht="15.75" hidden="1" x14ac:dyDescent="0.25">
      <c r="A226" s="13" t="s">
        <v>1</v>
      </c>
      <c r="B226" s="14" t="s">
        <v>1</v>
      </c>
      <c r="C226" s="14" t="s">
        <v>23</v>
      </c>
      <c r="D226" s="30" t="s">
        <v>266</v>
      </c>
      <c r="E226" s="15">
        <f t="shared" si="375"/>
        <v>6630</v>
      </c>
      <c r="F226" s="16">
        <f t="shared" si="376"/>
        <v>6630</v>
      </c>
      <c r="G226" s="16">
        <f t="shared" si="377"/>
        <v>6630</v>
      </c>
      <c r="H226" s="16">
        <v>0</v>
      </c>
      <c r="I226" s="16">
        <v>0</v>
      </c>
      <c r="J226" s="16">
        <f t="shared" ref="J226:J236" si="386">SUM(K226:P226)</f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f t="shared" ref="Q226:Q236" si="387">SUM(R226:S226)</f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f t="shared" si="378"/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f t="shared" si="379"/>
        <v>6630</v>
      </c>
      <c r="AF226" s="16">
        <v>0</v>
      </c>
      <c r="AG226" s="16">
        <v>0</v>
      </c>
      <c r="AH226" s="16">
        <v>0</v>
      </c>
      <c r="AI226" s="16">
        <v>6630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f t="shared" si="380"/>
        <v>0</v>
      </c>
      <c r="BB226" s="16">
        <f t="shared" si="381"/>
        <v>0</v>
      </c>
      <c r="BC226" s="16">
        <v>0</v>
      </c>
      <c r="BD226" s="16">
        <v>0</v>
      </c>
      <c r="BE226" s="16">
        <v>0</v>
      </c>
      <c r="BF226" s="16">
        <f t="shared" ref="BF226:BF236" si="388">SUM(BG226:BH226)</f>
        <v>0</v>
      </c>
      <c r="BG226" s="16">
        <v>0</v>
      </c>
      <c r="BH226" s="16">
        <v>0</v>
      </c>
      <c r="BI226" s="16">
        <v>0</v>
      </c>
      <c r="BJ226" s="16">
        <v>0</v>
      </c>
      <c r="BK226" s="16">
        <f t="shared" ref="BK226:BK236" si="389">SUM(BL226)</f>
        <v>0</v>
      </c>
      <c r="BL226" s="16">
        <v>0</v>
      </c>
      <c r="BM226" s="16">
        <f t="shared" ref="BM226:BM236" si="390">SUM(BN226:BX226)</f>
        <v>0</v>
      </c>
      <c r="BN226" s="16">
        <v>0</v>
      </c>
      <c r="BO226" s="16">
        <v>0</v>
      </c>
      <c r="BP226" s="16">
        <v>0</v>
      </c>
      <c r="BQ226" s="16">
        <v>0</v>
      </c>
      <c r="BR226" s="16">
        <v>0</v>
      </c>
      <c r="BS226" s="16">
        <v>0</v>
      </c>
      <c r="BT226" s="16">
        <v>0</v>
      </c>
      <c r="BU226" s="16">
        <v>0</v>
      </c>
      <c r="BV226" s="16">
        <v>0</v>
      </c>
      <c r="BW226" s="16">
        <v>0</v>
      </c>
      <c r="BX226" s="16">
        <v>0</v>
      </c>
      <c r="BY226" s="16">
        <f t="shared" si="382"/>
        <v>0</v>
      </c>
      <c r="BZ226" s="16">
        <f t="shared" si="383"/>
        <v>0</v>
      </c>
      <c r="CA226" s="16">
        <f t="shared" ref="CA226:CA236" si="391">SUM(CB226:CC226)</f>
        <v>0</v>
      </c>
      <c r="CB226" s="16">
        <v>0</v>
      </c>
      <c r="CC226" s="16">
        <v>0</v>
      </c>
      <c r="CD226" s="16">
        <f t="shared" ref="CD226:CD236" si="392">SUM(CE226:CI226)</f>
        <v>0</v>
      </c>
      <c r="CE226" s="16">
        <v>0</v>
      </c>
      <c r="CF226" s="16">
        <v>0</v>
      </c>
      <c r="CG226" s="16">
        <v>0</v>
      </c>
      <c r="CH226" s="16">
        <v>0</v>
      </c>
      <c r="CI226" s="16">
        <v>0</v>
      </c>
      <c r="CJ226" s="16">
        <v>0</v>
      </c>
      <c r="CK226" s="16">
        <f t="shared" ref="CK226:CK236" si="393">SUM(CL226:CP226)</f>
        <v>0</v>
      </c>
      <c r="CL226" s="16">
        <v>0</v>
      </c>
      <c r="CM226" s="16">
        <v>0</v>
      </c>
      <c r="CN226" s="16">
        <v>0</v>
      </c>
      <c r="CO226" s="16">
        <v>0</v>
      </c>
      <c r="CP226" s="16">
        <v>0</v>
      </c>
      <c r="CQ226" s="16">
        <v>0</v>
      </c>
      <c r="CR226" s="16">
        <v>0</v>
      </c>
      <c r="CS226" s="16">
        <v>0</v>
      </c>
      <c r="CT226" s="16">
        <f t="shared" ref="CT226:CT236" si="394">SUM(CU226)</f>
        <v>0</v>
      </c>
      <c r="CU226" s="16">
        <f t="shared" ref="CU226:CU236" si="395">SUM(CV226:CW226)</f>
        <v>0</v>
      </c>
      <c r="CV226" s="16">
        <v>0</v>
      </c>
      <c r="CW226" s="17">
        <v>0</v>
      </c>
      <c r="CX226" s="40"/>
    </row>
    <row r="227" spans="1:102" ht="31.5" hidden="1" x14ac:dyDescent="0.25">
      <c r="A227" s="13" t="s">
        <v>1</v>
      </c>
      <c r="B227" s="14" t="s">
        <v>1</v>
      </c>
      <c r="C227" s="14" t="s">
        <v>23</v>
      </c>
      <c r="D227" s="30" t="s">
        <v>504</v>
      </c>
      <c r="E227" s="15">
        <f t="shared" si="375"/>
        <v>0</v>
      </c>
      <c r="F227" s="16">
        <f t="shared" si="376"/>
        <v>0</v>
      </c>
      <c r="G227" s="16">
        <f t="shared" si="377"/>
        <v>0</v>
      </c>
      <c r="H227" s="16">
        <v>0</v>
      </c>
      <c r="I227" s="16">
        <v>0</v>
      </c>
      <c r="J227" s="16">
        <f t="shared" si="386"/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f>32507-32507</f>
        <v>0</v>
      </c>
      <c r="Q227" s="16">
        <f t="shared" si="387"/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f t="shared" si="378"/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f t="shared" si="379"/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0</v>
      </c>
      <c r="BA227" s="16">
        <f t="shared" si="380"/>
        <v>0</v>
      </c>
      <c r="BB227" s="16">
        <f t="shared" si="381"/>
        <v>0</v>
      </c>
      <c r="BC227" s="16">
        <v>0</v>
      </c>
      <c r="BD227" s="16">
        <v>0</v>
      </c>
      <c r="BE227" s="16">
        <v>0</v>
      </c>
      <c r="BF227" s="16">
        <f t="shared" si="388"/>
        <v>0</v>
      </c>
      <c r="BG227" s="16">
        <v>0</v>
      </c>
      <c r="BH227" s="16">
        <v>0</v>
      </c>
      <c r="BI227" s="16">
        <v>0</v>
      </c>
      <c r="BJ227" s="16">
        <v>0</v>
      </c>
      <c r="BK227" s="16">
        <f t="shared" si="389"/>
        <v>0</v>
      </c>
      <c r="BL227" s="16">
        <v>0</v>
      </c>
      <c r="BM227" s="16">
        <f t="shared" si="390"/>
        <v>0</v>
      </c>
      <c r="BN227" s="16">
        <v>0</v>
      </c>
      <c r="BO227" s="16">
        <v>0</v>
      </c>
      <c r="BP227" s="16">
        <v>0</v>
      </c>
      <c r="BQ227" s="16">
        <v>0</v>
      </c>
      <c r="BR227" s="16">
        <v>0</v>
      </c>
      <c r="BS227" s="16">
        <v>0</v>
      </c>
      <c r="BT227" s="16">
        <v>0</v>
      </c>
      <c r="BU227" s="16">
        <v>0</v>
      </c>
      <c r="BV227" s="16">
        <v>0</v>
      </c>
      <c r="BW227" s="16">
        <v>0</v>
      </c>
      <c r="BX227" s="16">
        <v>0</v>
      </c>
      <c r="BY227" s="16">
        <f t="shared" si="382"/>
        <v>0</v>
      </c>
      <c r="BZ227" s="16">
        <f t="shared" si="383"/>
        <v>0</v>
      </c>
      <c r="CA227" s="16">
        <f t="shared" si="391"/>
        <v>0</v>
      </c>
      <c r="CB227" s="16">
        <v>0</v>
      </c>
      <c r="CC227" s="16">
        <v>0</v>
      </c>
      <c r="CD227" s="16">
        <f t="shared" si="392"/>
        <v>0</v>
      </c>
      <c r="CE227" s="16">
        <v>0</v>
      </c>
      <c r="CF227" s="16">
        <v>0</v>
      </c>
      <c r="CG227" s="16">
        <v>0</v>
      </c>
      <c r="CH227" s="16">
        <v>0</v>
      </c>
      <c r="CI227" s="16">
        <v>0</v>
      </c>
      <c r="CJ227" s="16">
        <v>0</v>
      </c>
      <c r="CK227" s="16">
        <f t="shared" si="393"/>
        <v>0</v>
      </c>
      <c r="CL227" s="16">
        <v>0</v>
      </c>
      <c r="CM227" s="16">
        <v>0</v>
      </c>
      <c r="CN227" s="16">
        <v>0</v>
      </c>
      <c r="CO227" s="16">
        <v>0</v>
      </c>
      <c r="CP227" s="16">
        <v>0</v>
      </c>
      <c r="CQ227" s="16">
        <v>0</v>
      </c>
      <c r="CR227" s="16">
        <v>0</v>
      </c>
      <c r="CS227" s="16">
        <v>0</v>
      </c>
      <c r="CT227" s="16">
        <f t="shared" si="394"/>
        <v>0</v>
      </c>
      <c r="CU227" s="16">
        <f t="shared" si="395"/>
        <v>0</v>
      </c>
      <c r="CV227" s="16">
        <v>0</v>
      </c>
      <c r="CW227" s="17">
        <v>0</v>
      </c>
      <c r="CX227" s="40"/>
    </row>
    <row r="228" spans="1:102" ht="31.5" hidden="1" x14ac:dyDescent="0.25">
      <c r="A228" s="13" t="s">
        <v>1</v>
      </c>
      <c r="B228" s="14" t="s">
        <v>1</v>
      </c>
      <c r="C228" s="14" t="s">
        <v>23</v>
      </c>
      <c r="D228" s="30" t="s">
        <v>265</v>
      </c>
      <c r="E228" s="15">
        <f t="shared" si="375"/>
        <v>1015600</v>
      </c>
      <c r="F228" s="16">
        <f t="shared" si="376"/>
        <v>1015600</v>
      </c>
      <c r="G228" s="16">
        <f t="shared" si="377"/>
        <v>1015600</v>
      </c>
      <c r="H228" s="16">
        <v>0</v>
      </c>
      <c r="I228" s="16">
        <v>0</v>
      </c>
      <c r="J228" s="16">
        <f t="shared" si="386"/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f t="shared" si="387"/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f t="shared" si="378"/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f t="shared" si="379"/>
        <v>1015600</v>
      </c>
      <c r="AF228" s="16">
        <v>0</v>
      </c>
      <c r="AG228" s="16">
        <v>0</v>
      </c>
      <c r="AH228" s="16">
        <v>0</v>
      </c>
      <c r="AI228" s="16">
        <v>0</v>
      </c>
      <c r="AJ228" s="16">
        <v>1015600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16">
        <v>0</v>
      </c>
      <c r="AU228" s="16">
        <v>0</v>
      </c>
      <c r="AV228" s="16">
        <v>0</v>
      </c>
      <c r="AW228" s="16">
        <v>0</v>
      </c>
      <c r="AX228" s="16">
        <v>0</v>
      </c>
      <c r="AY228" s="16">
        <v>0</v>
      </c>
      <c r="AZ228" s="16">
        <v>0</v>
      </c>
      <c r="BA228" s="16">
        <f t="shared" si="380"/>
        <v>0</v>
      </c>
      <c r="BB228" s="16">
        <f t="shared" si="381"/>
        <v>0</v>
      </c>
      <c r="BC228" s="16">
        <v>0</v>
      </c>
      <c r="BD228" s="16">
        <v>0</v>
      </c>
      <c r="BE228" s="16">
        <v>0</v>
      </c>
      <c r="BF228" s="16">
        <f t="shared" si="388"/>
        <v>0</v>
      </c>
      <c r="BG228" s="16">
        <v>0</v>
      </c>
      <c r="BH228" s="16">
        <v>0</v>
      </c>
      <c r="BI228" s="16">
        <v>0</v>
      </c>
      <c r="BJ228" s="16">
        <v>0</v>
      </c>
      <c r="BK228" s="16">
        <f t="shared" si="389"/>
        <v>0</v>
      </c>
      <c r="BL228" s="16">
        <v>0</v>
      </c>
      <c r="BM228" s="16">
        <f t="shared" si="390"/>
        <v>0</v>
      </c>
      <c r="BN228" s="16">
        <v>0</v>
      </c>
      <c r="BO228" s="16">
        <v>0</v>
      </c>
      <c r="BP228" s="16">
        <v>0</v>
      </c>
      <c r="BQ228" s="16">
        <v>0</v>
      </c>
      <c r="BR228" s="16">
        <v>0</v>
      </c>
      <c r="BS228" s="16">
        <v>0</v>
      </c>
      <c r="BT228" s="16">
        <v>0</v>
      </c>
      <c r="BU228" s="16">
        <v>0</v>
      </c>
      <c r="BV228" s="16">
        <v>0</v>
      </c>
      <c r="BW228" s="16">
        <v>0</v>
      </c>
      <c r="BX228" s="16">
        <v>0</v>
      </c>
      <c r="BY228" s="16">
        <f t="shared" si="382"/>
        <v>0</v>
      </c>
      <c r="BZ228" s="16">
        <f t="shared" si="383"/>
        <v>0</v>
      </c>
      <c r="CA228" s="16">
        <f t="shared" si="391"/>
        <v>0</v>
      </c>
      <c r="CB228" s="16">
        <v>0</v>
      </c>
      <c r="CC228" s="16">
        <v>0</v>
      </c>
      <c r="CD228" s="16">
        <f t="shared" si="392"/>
        <v>0</v>
      </c>
      <c r="CE228" s="16">
        <v>0</v>
      </c>
      <c r="CF228" s="16">
        <v>0</v>
      </c>
      <c r="CG228" s="16">
        <v>0</v>
      </c>
      <c r="CH228" s="16">
        <v>0</v>
      </c>
      <c r="CI228" s="16">
        <v>0</v>
      </c>
      <c r="CJ228" s="16">
        <v>0</v>
      </c>
      <c r="CK228" s="16">
        <f t="shared" si="393"/>
        <v>0</v>
      </c>
      <c r="CL228" s="16">
        <v>0</v>
      </c>
      <c r="CM228" s="16">
        <v>0</v>
      </c>
      <c r="CN228" s="16">
        <v>0</v>
      </c>
      <c r="CO228" s="16">
        <v>0</v>
      </c>
      <c r="CP228" s="16">
        <v>0</v>
      </c>
      <c r="CQ228" s="16">
        <v>0</v>
      </c>
      <c r="CR228" s="16">
        <v>0</v>
      </c>
      <c r="CS228" s="16">
        <v>0</v>
      </c>
      <c r="CT228" s="16">
        <f t="shared" si="394"/>
        <v>0</v>
      </c>
      <c r="CU228" s="16">
        <f t="shared" si="395"/>
        <v>0</v>
      </c>
      <c r="CV228" s="16">
        <v>0</v>
      </c>
      <c r="CW228" s="17">
        <v>0</v>
      </c>
      <c r="CX228" s="40"/>
    </row>
    <row r="229" spans="1:102" ht="31.5" hidden="1" x14ac:dyDescent="0.25">
      <c r="A229" s="13" t="s">
        <v>1</v>
      </c>
      <c r="B229" s="14" t="s">
        <v>1</v>
      </c>
      <c r="C229" s="14" t="s">
        <v>29</v>
      </c>
      <c r="D229" s="30" t="s">
        <v>270</v>
      </c>
      <c r="E229" s="15">
        <f t="shared" si="375"/>
        <v>2000000</v>
      </c>
      <c r="F229" s="16">
        <f t="shared" si="376"/>
        <v>2000000</v>
      </c>
      <c r="G229" s="16">
        <f t="shared" si="377"/>
        <v>2000000</v>
      </c>
      <c r="H229" s="16">
        <v>0</v>
      </c>
      <c r="I229" s="16">
        <v>0</v>
      </c>
      <c r="J229" s="16">
        <f t="shared" si="386"/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f t="shared" si="387"/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f t="shared" si="378"/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f t="shared" si="379"/>
        <v>2000000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2000000</v>
      </c>
      <c r="BA229" s="16">
        <f t="shared" si="380"/>
        <v>0</v>
      </c>
      <c r="BB229" s="16">
        <f t="shared" si="381"/>
        <v>0</v>
      </c>
      <c r="BC229" s="16">
        <v>0</v>
      </c>
      <c r="BD229" s="16">
        <v>0</v>
      </c>
      <c r="BE229" s="16">
        <v>0</v>
      </c>
      <c r="BF229" s="16">
        <f t="shared" si="388"/>
        <v>0</v>
      </c>
      <c r="BG229" s="16">
        <v>0</v>
      </c>
      <c r="BH229" s="16">
        <v>0</v>
      </c>
      <c r="BI229" s="16">
        <v>0</v>
      </c>
      <c r="BJ229" s="16">
        <v>0</v>
      </c>
      <c r="BK229" s="16">
        <f t="shared" si="389"/>
        <v>0</v>
      </c>
      <c r="BL229" s="16">
        <v>0</v>
      </c>
      <c r="BM229" s="16">
        <f t="shared" si="390"/>
        <v>0</v>
      </c>
      <c r="BN229" s="16">
        <v>0</v>
      </c>
      <c r="BO229" s="16">
        <v>0</v>
      </c>
      <c r="BP229" s="16">
        <v>0</v>
      </c>
      <c r="BQ229" s="16">
        <v>0</v>
      </c>
      <c r="BR229" s="16">
        <v>0</v>
      </c>
      <c r="BS229" s="16">
        <v>0</v>
      </c>
      <c r="BT229" s="16">
        <v>0</v>
      </c>
      <c r="BU229" s="16">
        <v>0</v>
      </c>
      <c r="BV229" s="16">
        <v>0</v>
      </c>
      <c r="BW229" s="16">
        <v>0</v>
      </c>
      <c r="BX229" s="16">
        <v>0</v>
      </c>
      <c r="BY229" s="16">
        <f t="shared" si="382"/>
        <v>0</v>
      </c>
      <c r="BZ229" s="16">
        <f t="shared" si="383"/>
        <v>0</v>
      </c>
      <c r="CA229" s="16">
        <f t="shared" si="391"/>
        <v>0</v>
      </c>
      <c r="CB229" s="16">
        <v>0</v>
      </c>
      <c r="CC229" s="16">
        <v>0</v>
      </c>
      <c r="CD229" s="16">
        <f t="shared" si="392"/>
        <v>0</v>
      </c>
      <c r="CE229" s="16">
        <v>0</v>
      </c>
      <c r="CF229" s="16">
        <v>0</v>
      </c>
      <c r="CG229" s="16">
        <v>0</v>
      </c>
      <c r="CH229" s="16">
        <v>0</v>
      </c>
      <c r="CI229" s="16">
        <v>0</v>
      </c>
      <c r="CJ229" s="16">
        <v>0</v>
      </c>
      <c r="CK229" s="16">
        <f t="shared" si="393"/>
        <v>0</v>
      </c>
      <c r="CL229" s="16">
        <v>0</v>
      </c>
      <c r="CM229" s="16">
        <v>0</v>
      </c>
      <c r="CN229" s="16">
        <v>0</v>
      </c>
      <c r="CO229" s="16">
        <v>0</v>
      </c>
      <c r="CP229" s="16">
        <v>0</v>
      </c>
      <c r="CQ229" s="16">
        <v>0</v>
      </c>
      <c r="CR229" s="16">
        <v>0</v>
      </c>
      <c r="CS229" s="16">
        <v>0</v>
      </c>
      <c r="CT229" s="16">
        <f t="shared" si="394"/>
        <v>0</v>
      </c>
      <c r="CU229" s="16">
        <f t="shared" si="395"/>
        <v>0</v>
      </c>
      <c r="CV229" s="16">
        <v>0</v>
      </c>
      <c r="CW229" s="17">
        <v>0</v>
      </c>
      <c r="CX229" s="40"/>
    </row>
    <row r="230" spans="1:102" s="49" customFormat="1" ht="31.5" hidden="1" x14ac:dyDescent="0.25">
      <c r="A230" s="42"/>
      <c r="B230" s="43"/>
      <c r="C230" s="44" t="s">
        <v>29</v>
      </c>
      <c r="D230" s="45" t="s">
        <v>557</v>
      </c>
      <c r="E230" s="46">
        <f t="shared" si="375"/>
        <v>1000000</v>
      </c>
      <c r="F230" s="41">
        <f t="shared" si="376"/>
        <v>1000000</v>
      </c>
      <c r="G230" s="41">
        <f t="shared" si="377"/>
        <v>1000000</v>
      </c>
      <c r="H230" s="41"/>
      <c r="I230" s="41"/>
      <c r="J230" s="41">
        <f t="shared" si="386"/>
        <v>0</v>
      </c>
      <c r="K230" s="41">
        <v>0</v>
      </c>
      <c r="L230" s="41"/>
      <c r="M230" s="41">
        <v>0</v>
      </c>
      <c r="N230" s="41">
        <v>0</v>
      </c>
      <c r="O230" s="41"/>
      <c r="P230" s="41"/>
      <c r="Q230" s="41">
        <f t="shared" si="387"/>
        <v>0</v>
      </c>
      <c r="R230" s="41"/>
      <c r="S230" s="41"/>
      <c r="T230" s="41">
        <v>0</v>
      </c>
      <c r="U230" s="41"/>
      <c r="V230" s="41">
        <f t="shared" si="378"/>
        <v>0</v>
      </c>
      <c r="W230" s="41"/>
      <c r="X230" s="41"/>
      <c r="Y230" s="41"/>
      <c r="Z230" s="41"/>
      <c r="AA230" s="41"/>
      <c r="AB230" s="41">
        <v>0</v>
      </c>
      <c r="AC230" s="41">
        <v>0</v>
      </c>
      <c r="AD230" s="41"/>
      <c r="AE230" s="41">
        <f>SUM(AF230:AZ230)</f>
        <v>1000000</v>
      </c>
      <c r="AF230" s="41">
        <v>0</v>
      </c>
      <c r="AG230" s="41"/>
      <c r="AH230" s="41"/>
      <c r="AI230" s="41">
        <v>0</v>
      </c>
      <c r="AJ230" s="41"/>
      <c r="AK230" s="41"/>
      <c r="AL230" s="41"/>
      <c r="AM230" s="41"/>
      <c r="AN230" s="41"/>
      <c r="AO230" s="41"/>
      <c r="AP230" s="41"/>
      <c r="AQ230" s="41">
        <v>0</v>
      </c>
      <c r="AR230" s="41">
        <v>0</v>
      </c>
      <c r="AS230" s="41"/>
      <c r="AT230" s="41">
        <v>0</v>
      </c>
      <c r="AU230" s="41">
        <v>0</v>
      </c>
      <c r="AV230" s="41">
        <v>0</v>
      </c>
      <c r="AW230" s="41">
        <v>0</v>
      </c>
      <c r="AX230" s="41">
        <v>0</v>
      </c>
      <c r="AY230" s="41"/>
      <c r="AZ230" s="41">
        <f>0+1000000</f>
        <v>1000000</v>
      </c>
      <c r="BA230" s="41">
        <f t="shared" si="380"/>
        <v>0</v>
      </c>
      <c r="BB230" s="41">
        <f t="shared" si="381"/>
        <v>0</v>
      </c>
      <c r="BC230" s="41">
        <v>0</v>
      </c>
      <c r="BD230" s="41">
        <v>0</v>
      </c>
      <c r="BE230" s="41">
        <v>0</v>
      </c>
      <c r="BF230" s="41">
        <f t="shared" si="388"/>
        <v>0</v>
      </c>
      <c r="BG230" s="41">
        <v>0</v>
      </c>
      <c r="BH230" s="41">
        <v>0</v>
      </c>
      <c r="BI230" s="41">
        <v>0</v>
      </c>
      <c r="BJ230" s="41">
        <v>0</v>
      </c>
      <c r="BK230" s="41">
        <f t="shared" si="389"/>
        <v>0</v>
      </c>
      <c r="BL230" s="41">
        <v>0</v>
      </c>
      <c r="BM230" s="41">
        <f t="shared" si="390"/>
        <v>0</v>
      </c>
      <c r="BN230" s="41">
        <v>0</v>
      </c>
      <c r="BO230" s="41">
        <v>0</v>
      </c>
      <c r="BP230" s="41">
        <v>0</v>
      </c>
      <c r="BQ230" s="41">
        <v>0</v>
      </c>
      <c r="BR230" s="41">
        <v>0</v>
      </c>
      <c r="BS230" s="41">
        <v>0</v>
      </c>
      <c r="BT230" s="41">
        <v>0</v>
      </c>
      <c r="BU230" s="41">
        <v>0</v>
      </c>
      <c r="BV230" s="41">
        <v>0</v>
      </c>
      <c r="BW230" s="41"/>
      <c r="BX230" s="41">
        <v>0</v>
      </c>
      <c r="BY230" s="41">
        <f t="shared" si="382"/>
        <v>0</v>
      </c>
      <c r="BZ230" s="41">
        <f t="shared" si="383"/>
        <v>0</v>
      </c>
      <c r="CA230" s="41">
        <f t="shared" si="391"/>
        <v>0</v>
      </c>
      <c r="CB230" s="41">
        <v>0</v>
      </c>
      <c r="CC230" s="41"/>
      <c r="CD230" s="41">
        <f t="shared" si="392"/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f t="shared" si="393"/>
        <v>0</v>
      </c>
      <c r="CL230" s="41">
        <v>0</v>
      </c>
      <c r="CM230" s="41">
        <v>0</v>
      </c>
      <c r="CN230" s="41">
        <v>0</v>
      </c>
      <c r="CO230" s="41"/>
      <c r="CP230" s="41">
        <v>0</v>
      </c>
      <c r="CQ230" s="41">
        <f>SUM(CR230)</f>
        <v>0</v>
      </c>
      <c r="CR230" s="41"/>
      <c r="CS230" s="41">
        <v>0</v>
      </c>
      <c r="CT230" s="41">
        <f t="shared" ref="CT230" si="396">SUM(CU230)</f>
        <v>0</v>
      </c>
      <c r="CU230" s="41">
        <f t="shared" si="395"/>
        <v>0</v>
      </c>
      <c r="CV230" s="41">
        <v>0</v>
      </c>
      <c r="CW230" s="47">
        <v>0</v>
      </c>
      <c r="CX230" s="48"/>
    </row>
    <row r="231" spans="1:102" s="49" customFormat="1" ht="31.5" hidden="1" x14ac:dyDescent="0.25">
      <c r="A231" s="42" t="s">
        <v>1</v>
      </c>
      <c r="B231" s="43" t="s">
        <v>1</v>
      </c>
      <c r="C231" s="43" t="s">
        <v>287</v>
      </c>
      <c r="D231" s="50" t="s">
        <v>505</v>
      </c>
      <c r="E231" s="46">
        <f t="shared" si="375"/>
        <v>0</v>
      </c>
      <c r="F231" s="41">
        <f t="shared" si="376"/>
        <v>0</v>
      </c>
      <c r="G231" s="41">
        <f t="shared" si="377"/>
        <v>0</v>
      </c>
      <c r="H231" s="41">
        <v>0</v>
      </c>
      <c r="I231" s="41">
        <v>0</v>
      </c>
      <c r="J231" s="41">
        <f t="shared" si="386"/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f t="shared" si="387"/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f t="shared" si="378"/>
        <v>0</v>
      </c>
      <c r="W231" s="41">
        <v>0</v>
      </c>
      <c r="X231" s="41">
        <v>0</v>
      </c>
      <c r="Y231" s="41">
        <v>0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f t="shared" si="379"/>
        <v>0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0</v>
      </c>
      <c r="AR231" s="41">
        <v>0</v>
      </c>
      <c r="AS231" s="41">
        <v>0</v>
      </c>
      <c r="AT231" s="41">
        <v>0</v>
      </c>
      <c r="AU231" s="41">
        <v>0</v>
      </c>
      <c r="AV231" s="41">
        <v>0</v>
      </c>
      <c r="AW231" s="41">
        <v>0</v>
      </c>
      <c r="AX231" s="41">
        <v>0</v>
      </c>
      <c r="AY231" s="41">
        <v>0</v>
      </c>
      <c r="AZ231" s="41">
        <v>0</v>
      </c>
      <c r="BA231" s="41">
        <f t="shared" si="380"/>
        <v>0</v>
      </c>
      <c r="BB231" s="41">
        <f t="shared" si="381"/>
        <v>0</v>
      </c>
      <c r="BC231" s="41">
        <v>0</v>
      </c>
      <c r="BD231" s="41">
        <v>0</v>
      </c>
      <c r="BE231" s="41">
        <v>0</v>
      </c>
      <c r="BF231" s="41">
        <f t="shared" si="388"/>
        <v>0</v>
      </c>
      <c r="BG231" s="41">
        <v>0</v>
      </c>
      <c r="BH231" s="41">
        <v>0</v>
      </c>
      <c r="BI231" s="41">
        <v>0</v>
      </c>
      <c r="BJ231" s="41">
        <v>0</v>
      </c>
      <c r="BK231" s="41">
        <f t="shared" si="389"/>
        <v>0</v>
      </c>
      <c r="BL231" s="41">
        <v>0</v>
      </c>
      <c r="BM231" s="41">
        <f t="shared" si="390"/>
        <v>0</v>
      </c>
      <c r="BN231" s="41">
        <v>0</v>
      </c>
      <c r="BO231" s="41">
        <v>0</v>
      </c>
      <c r="BP231" s="41">
        <v>0</v>
      </c>
      <c r="BQ231" s="41">
        <v>0</v>
      </c>
      <c r="BR231" s="41">
        <v>0</v>
      </c>
      <c r="BS231" s="41">
        <v>0</v>
      </c>
      <c r="BT231" s="41">
        <v>0</v>
      </c>
      <c r="BU231" s="41">
        <v>0</v>
      </c>
      <c r="BV231" s="41">
        <v>0</v>
      </c>
      <c r="BW231" s="41">
        <v>0</v>
      </c>
      <c r="BX231" s="41">
        <v>0</v>
      </c>
      <c r="BY231" s="41">
        <f t="shared" si="382"/>
        <v>0</v>
      </c>
      <c r="BZ231" s="41">
        <f t="shared" si="383"/>
        <v>0</v>
      </c>
      <c r="CA231" s="41">
        <f t="shared" si="391"/>
        <v>0</v>
      </c>
      <c r="CB231" s="41">
        <v>0</v>
      </c>
      <c r="CC231" s="41">
        <f>352055-352055</f>
        <v>0</v>
      </c>
      <c r="CD231" s="41">
        <f t="shared" si="392"/>
        <v>0</v>
      </c>
      <c r="CE231" s="41">
        <v>0</v>
      </c>
      <c r="CF231" s="41">
        <v>0</v>
      </c>
      <c r="CG231" s="41">
        <v>0</v>
      </c>
      <c r="CH231" s="41">
        <v>0</v>
      </c>
      <c r="CI231" s="41">
        <v>0</v>
      </c>
      <c r="CJ231" s="41">
        <v>0</v>
      </c>
      <c r="CK231" s="41">
        <f t="shared" si="393"/>
        <v>0</v>
      </c>
      <c r="CL231" s="41">
        <v>0</v>
      </c>
      <c r="CM231" s="41">
        <v>0</v>
      </c>
      <c r="CN231" s="41">
        <v>0</v>
      </c>
      <c r="CO231" s="41">
        <v>0</v>
      </c>
      <c r="CP231" s="41">
        <v>0</v>
      </c>
      <c r="CQ231" s="41">
        <v>0</v>
      </c>
      <c r="CR231" s="41">
        <v>0</v>
      </c>
      <c r="CS231" s="41">
        <v>0</v>
      </c>
      <c r="CT231" s="41">
        <f t="shared" si="394"/>
        <v>0</v>
      </c>
      <c r="CU231" s="41">
        <f t="shared" si="395"/>
        <v>0</v>
      </c>
      <c r="CV231" s="41">
        <v>0</v>
      </c>
      <c r="CW231" s="47">
        <v>0</v>
      </c>
      <c r="CX231" s="48"/>
    </row>
    <row r="232" spans="1:102" s="49" customFormat="1" ht="31.5" hidden="1" x14ac:dyDescent="0.25">
      <c r="A232" s="42" t="s">
        <v>1</v>
      </c>
      <c r="B232" s="43" t="s">
        <v>1</v>
      </c>
      <c r="C232" s="43" t="s">
        <v>287</v>
      </c>
      <c r="D232" s="50" t="s">
        <v>506</v>
      </c>
      <c r="E232" s="46">
        <f t="shared" si="375"/>
        <v>0</v>
      </c>
      <c r="F232" s="41">
        <f t="shared" si="376"/>
        <v>0</v>
      </c>
      <c r="G232" s="41">
        <f t="shared" si="377"/>
        <v>0</v>
      </c>
      <c r="H232" s="41">
        <v>0</v>
      </c>
      <c r="I232" s="41">
        <v>0</v>
      </c>
      <c r="J232" s="41">
        <f t="shared" si="386"/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f t="shared" si="387"/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f t="shared" si="378"/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f t="shared" si="379"/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0</v>
      </c>
      <c r="AZ232" s="41">
        <v>0</v>
      </c>
      <c r="BA232" s="41">
        <f t="shared" si="380"/>
        <v>0</v>
      </c>
      <c r="BB232" s="41">
        <f t="shared" si="381"/>
        <v>0</v>
      </c>
      <c r="BC232" s="41">
        <v>0</v>
      </c>
      <c r="BD232" s="41">
        <v>0</v>
      </c>
      <c r="BE232" s="41">
        <v>0</v>
      </c>
      <c r="BF232" s="41">
        <f t="shared" si="388"/>
        <v>0</v>
      </c>
      <c r="BG232" s="41">
        <v>0</v>
      </c>
      <c r="BH232" s="41">
        <v>0</v>
      </c>
      <c r="BI232" s="41">
        <v>0</v>
      </c>
      <c r="BJ232" s="41">
        <v>0</v>
      </c>
      <c r="BK232" s="41">
        <f t="shared" si="389"/>
        <v>0</v>
      </c>
      <c r="BL232" s="41">
        <v>0</v>
      </c>
      <c r="BM232" s="41">
        <f t="shared" si="390"/>
        <v>0</v>
      </c>
      <c r="BN232" s="41">
        <v>0</v>
      </c>
      <c r="BO232" s="41">
        <v>0</v>
      </c>
      <c r="BP232" s="41">
        <v>0</v>
      </c>
      <c r="BQ232" s="41">
        <v>0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f t="shared" si="382"/>
        <v>0</v>
      </c>
      <c r="BZ232" s="41">
        <f t="shared" si="383"/>
        <v>0</v>
      </c>
      <c r="CA232" s="41">
        <f t="shared" si="391"/>
        <v>0</v>
      </c>
      <c r="CB232" s="41">
        <v>0</v>
      </c>
      <c r="CC232" s="41">
        <f>183254-183254</f>
        <v>0</v>
      </c>
      <c r="CD232" s="41">
        <f t="shared" si="392"/>
        <v>0</v>
      </c>
      <c r="CE232" s="41">
        <v>0</v>
      </c>
      <c r="CF232" s="41">
        <v>0</v>
      </c>
      <c r="CG232" s="41">
        <v>0</v>
      </c>
      <c r="CH232" s="41">
        <v>0</v>
      </c>
      <c r="CI232" s="41">
        <v>0</v>
      </c>
      <c r="CJ232" s="41">
        <v>0</v>
      </c>
      <c r="CK232" s="41">
        <f t="shared" si="393"/>
        <v>0</v>
      </c>
      <c r="CL232" s="41">
        <v>0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f t="shared" si="394"/>
        <v>0</v>
      </c>
      <c r="CU232" s="41">
        <f t="shared" si="395"/>
        <v>0</v>
      </c>
      <c r="CV232" s="41">
        <v>0</v>
      </c>
      <c r="CW232" s="47">
        <v>0</v>
      </c>
      <c r="CX232" s="48"/>
    </row>
    <row r="233" spans="1:102" s="49" customFormat="1" ht="31.5" hidden="1" x14ac:dyDescent="0.25">
      <c r="A233" s="42" t="s">
        <v>1</v>
      </c>
      <c r="B233" s="43" t="s">
        <v>1</v>
      </c>
      <c r="C233" s="43" t="s">
        <v>43</v>
      </c>
      <c r="D233" s="50" t="s">
        <v>508</v>
      </c>
      <c r="E233" s="46">
        <f t="shared" si="375"/>
        <v>4214513</v>
      </c>
      <c r="F233" s="41">
        <f t="shared" si="376"/>
        <v>4214513</v>
      </c>
      <c r="G233" s="41">
        <f t="shared" si="377"/>
        <v>0</v>
      </c>
      <c r="H233" s="41">
        <v>0</v>
      </c>
      <c r="I233" s="41">
        <v>0</v>
      </c>
      <c r="J233" s="41">
        <f t="shared" si="386"/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f t="shared" si="387"/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f t="shared" si="378"/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f t="shared" si="379"/>
        <v>0</v>
      </c>
      <c r="AF233" s="41">
        <v>0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0</v>
      </c>
      <c r="AR233" s="41">
        <v>0</v>
      </c>
      <c r="AS233" s="41">
        <v>0</v>
      </c>
      <c r="AT233" s="41">
        <v>0</v>
      </c>
      <c r="AU233" s="41">
        <v>0</v>
      </c>
      <c r="AV233" s="41">
        <v>0</v>
      </c>
      <c r="AW233" s="41">
        <v>0</v>
      </c>
      <c r="AX233" s="41">
        <v>0</v>
      </c>
      <c r="AY233" s="41">
        <v>0</v>
      </c>
      <c r="AZ233" s="41">
        <v>0</v>
      </c>
      <c r="BA233" s="41">
        <f t="shared" si="380"/>
        <v>4214513</v>
      </c>
      <c r="BB233" s="41">
        <f t="shared" si="381"/>
        <v>0</v>
      </c>
      <c r="BC233" s="41">
        <v>0</v>
      </c>
      <c r="BD233" s="41">
        <v>0</v>
      </c>
      <c r="BE233" s="41">
        <v>0</v>
      </c>
      <c r="BF233" s="41">
        <f t="shared" si="388"/>
        <v>0</v>
      </c>
      <c r="BG233" s="41">
        <v>0</v>
      </c>
      <c r="BH233" s="41">
        <v>0</v>
      </c>
      <c r="BI233" s="41">
        <f>1770000+2444513</f>
        <v>4214513</v>
      </c>
      <c r="BJ233" s="41">
        <f>1770000+2444513</f>
        <v>4214513</v>
      </c>
      <c r="BK233" s="41">
        <f t="shared" si="389"/>
        <v>0</v>
      </c>
      <c r="BL233" s="41">
        <v>0</v>
      </c>
      <c r="BM233" s="41">
        <f t="shared" si="390"/>
        <v>0</v>
      </c>
      <c r="BN233" s="41">
        <v>0</v>
      </c>
      <c r="BO233" s="41">
        <v>0</v>
      </c>
      <c r="BP233" s="41">
        <v>0</v>
      </c>
      <c r="BQ233" s="41">
        <v>0</v>
      </c>
      <c r="BR233" s="41">
        <v>0</v>
      </c>
      <c r="BS233" s="41">
        <v>0</v>
      </c>
      <c r="BT233" s="41">
        <v>0</v>
      </c>
      <c r="BU233" s="41">
        <v>0</v>
      </c>
      <c r="BV233" s="41">
        <v>0</v>
      </c>
      <c r="BW233" s="41">
        <v>0</v>
      </c>
      <c r="BX233" s="41">
        <v>0</v>
      </c>
      <c r="BY233" s="41">
        <f t="shared" si="382"/>
        <v>0</v>
      </c>
      <c r="BZ233" s="41">
        <f t="shared" si="383"/>
        <v>0</v>
      </c>
      <c r="CA233" s="41">
        <f t="shared" si="391"/>
        <v>0</v>
      </c>
      <c r="CB233" s="41">
        <v>0</v>
      </c>
      <c r="CC233" s="41">
        <v>0</v>
      </c>
      <c r="CD233" s="41">
        <f t="shared" si="392"/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f t="shared" si="393"/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f t="shared" si="394"/>
        <v>0</v>
      </c>
      <c r="CU233" s="41">
        <f t="shared" si="395"/>
        <v>0</v>
      </c>
      <c r="CV233" s="41">
        <v>0</v>
      </c>
      <c r="CW233" s="47">
        <v>0</v>
      </c>
      <c r="CX233" s="48"/>
    </row>
    <row r="234" spans="1:102" s="49" customFormat="1" ht="31.5" hidden="1" x14ac:dyDescent="0.25">
      <c r="A234" s="42"/>
      <c r="B234" s="43"/>
      <c r="C234" s="44" t="s">
        <v>43</v>
      </c>
      <c r="D234" s="45" t="s">
        <v>558</v>
      </c>
      <c r="E234" s="46">
        <f t="shared" si="375"/>
        <v>5549486</v>
      </c>
      <c r="F234" s="41">
        <f t="shared" si="376"/>
        <v>5549486</v>
      </c>
      <c r="G234" s="41">
        <f t="shared" si="377"/>
        <v>5549486</v>
      </c>
      <c r="H234" s="41"/>
      <c r="I234" s="41"/>
      <c r="J234" s="41">
        <f t="shared" si="386"/>
        <v>0</v>
      </c>
      <c r="K234" s="41">
        <v>0</v>
      </c>
      <c r="L234" s="41"/>
      <c r="M234" s="41">
        <v>0</v>
      </c>
      <c r="N234" s="41">
        <v>0</v>
      </c>
      <c r="O234" s="41"/>
      <c r="P234" s="41"/>
      <c r="Q234" s="41">
        <f t="shared" si="387"/>
        <v>0</v>
      </c>
      <c r="R234" s="41"/>
      <c r="S234" s="41"/>
      <c r="T234" s="41">
        <v>0</v>
      </c>
      <c r="U234" s="41"/>
      <c r="V234" s="41">
        <f t="shared" si="378"/>
        <v>0</v>
      </c>
      <c r="W234" s="41"/>
      <c r="X234" s="41"/>
      <c r="Y234" s="41"/>
      <c r="Z234" s="41"/>
      <c r="AA234" s="41"/>
      <c r="AB234" s="41">
        <v>0</v>
      </c>
      <c r="AC234" s="41">
        <v>0</v>
      </c>
      <c r="AD234" s="41"/>
      <c r="AE234" s="41">
        <f>SUM(AF234:AZ234)</f>
        <v>5549486</v>
      </c>
      <c r="AF234" s="41">
        <v>0</v>
      </c>
      <c r="AG234" s="41"/>
      <c r="AH234" s="41"/>
      <c r="AI234" s="41">
        <v>0</v>
      </c>
      <c r="AJ234" s="41"/>
      <c r="AK234" s="41"/>
      <c r="AL234" s="41"/>
      <c r="AM234" s="41"/>
      <c r="AN234" s="41"/>
      <c r="AO234" s="41"/>
      <c r="AP234" s="41"/>
      <c r="AQ234" s="41">
        <v>0</v>
      </c>
      <c r="AR234" s="41">
        <v>0</v>
      </c>
      <c r="AS234" s="41"/>
      <c r="AT234" s="41">
        <v>0</v>
      </c>
      <c r="AU234" s="41">
        <v>0</v>
      </c>
      <c r="AV234" s="41">
        <v>0</v>
      </c>
      <c r="AW234" s="41">
        <v>0</v>
      </c>
      <c r="AX234" s="41">
        <v>0</v>
      </c>
      <c r="AY234" s="41"/>
      <c r="AZ234" s="41">
        <f>0+5549486</f>
        <v>5549486</v>
      </c>
      <c r="BA234" s="41">
        <f t="shared" si="380"/>
        <v>0</v>
      </c>
      <c r="BB234" s="41">
        <f t="shared" si="381"/>
        <v>0</v>
      </c>
      <c r="BC234" s="41">
        <v>0</v>
      </c>
      <c r="BD234" s="41">
        <v>0</v>
      </c>
      <c r="BE234" s="41">
        <v>0</v>
      </c>
      <c r="BF234" s="41">
        <f t="shared" si="388"/>
        <v>0</v>
      </c>
      <c r="BG234" s="41">
        <v>0</v>
      </c>
      <c r="BH234" s="41">
        <v>0</v>
      </c>
      <c r="BI234" s="41">
        <v>0</v>
      </c>
      <c r="BJ234" s="41">
        <v>0</v>
      </c>
      <c r="BK234" s="41">
        <f t="shared" si="389"/>
        <v>0</v>
      </c>
      <c r="BL234" s="41">
        <v>0</v>
      </c>
      <c r="BM234" s="41">
        <f t="shared" si="390"/>
        <v>0</v>
      </c>
      <c r="BN234" s="41">
        <v>0</v>
      </c>
      <c r="BO234" s="41">
        <v>0</v>
      </c>
      <c r="BP234" s="41">
        <v>0</v>
      </c>
      <c r="BQ234" s="41">
        <v>0</v>
      </c>
      <c r="BR234" s="41">
        <v>0</v>
      </c>
      <c r="BS234" s="41">
        <v>0</v>
      </c>
      <c r="BT234" s="41">
        <v>0</v>
      </c>
      <c r="BU234" s="41">
        <v>0</v>
      </c>
      <c r="BV234" s="41">
        <v>0</v>
      </c>
      <c r="BW234" s="41"/>
      <c r="BX234" s="41">
        <v>0</v>
      </c>
      <c r="BY234" s="41">
        <f t="shared" si="382"/>
        <v>0</v>
      </c>
      <c r="BZ234" s="41">
        <f t="shared" si="383"/>
        <v>0</v>
      </c>
      <c r="CA234" s="41">
        <f t="shared" si="391"/>
        <v>0</v>
      </c>
      <c r="CB234" s="41">
        <v>0</v>
      </c>
      <c r="CC234" s="41"/>
      <c r="CD234" s="41">
        <f t="shared" si="392"/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f t="shared" si="393"/>
        <v>0</v>
      </c>
      <c r="CL234" s="41">
        <v>0</v>
      </c>
      <c r="CM234" s="41">
        <v>0</v>
      </c>
      <c r="CN234" s="41">
        <v>0</v>
      </c>
      <c r="CO234" s="41"/>
      <c r="CP234" s="41">
        <v>0</v>
      </c>
      <c r="CQ234" s="41">
        <f>SUM(CR234)</f>
        <v>0</v>
      </c>
      <c r="CR234" s="41"/>
      <c r="CS234" s="41">
        <v>0</v>
      </c>
      <c r="CT234" s="41">
        <f t="shared" ref="CT234" si="397">SUM(CU234)</f>
        <v>0</v>
      </c>
      <c r="CU234" s="41">
        <f t="shared" si="395"/>
        <v>0</v>
      </c>
      <c r="CV234" s="41">
        <v>0</v>
      </c>
      <c r="CW234" s="47">
        <v>0</v>
      </c>
      <c r="CX234" s="48"/>
    </row>
    <row r="235" spans="1:102" ht="31.5" hidden="1" x14ac:dyDescent="0.25">
      <c r="A235" s="13" t="s">
        <v>1</v>
      </c>
      <c r="B235" s="14" t="s">
        <v>1</v>
      </c>
      <c r="C235" s="14" t="s">
        <v>43</v>
      </c>
      <c r="D235" s="30" t="s">
        <v>507</v>
      </c>
      <c r="E235" s="15">
        <f t="shared" si="375"/>
        <v>400000</v>
      </c>
      <c r="F235" s="16">
        <f t="shared" si="376"/>
        <v>0</v>
      </c>
      <c r="G235" s="16">
        <f t="shared" si="377"/>
        <v>0</v>
      </c>
      <c r="H235" s="16">
        <v>0</v>
      </c>
      <c r="I235" s="16">
        <v>0</v>
      </c>
      <c r="J235" s="16">
        <f t="shared" si="386"/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f t="shared" si="387"/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f t="shared" si="378"/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f t="shared" si="379"/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  <c r="BA235" s="16">
        <f t="shared" si="380"/>
        <v>0</v>
      </c>
      <c r="BB235" s="16">
        <f t="shared" si="381"/>
        <v>0</v>
      </c>
      <c r="BC235" s="16">
        <v>0</v>
      </c>
      <c r="BD235" s="16">
        <v>0</v>
      </c>
      <c r="BE235" s="16">
        <v>0</v>
      </c>
      <c r="BF235" s="16">
        <f t="shared" si="388"/>
        <v>0</v>
      </c>
      <c r="BG235" s="16">
        <v>0</v>
      </c>
      <c r="BH235" s="16">
        <v>0</v>
      </c>
      <c r="BI235" s="16">
        <v>0</v>
      </c>
      <c r="BJ235" s="16">
        <v>0</v>
      </c>
      <c r="BK235" s="16">
        <f t="shared" si="389"/>
        <v>0</v>
      </c>
      <c r="BL235" s="16">
        <v>0</v>
      </c>
      <c r="BM235" s="16">
        <f t="shared" si="390"/>
        <v>0</v>
      </c>
      <c r="BN235" s="16">
        <v>0</v>
      </c>
      <c r="BO235" s="16">
        <v>0</v>
      </c>
      <c r="BP235" s="16">
        <v>0</v>
      </c>
      <c r="BQ235" s="16">
        <v>0</v>
      </c>
      <c r="BR235" s="16">
        <v>0</v>
      </c>
      <c r="BS235" s="16">
        <v>0</v>
      </c>
      <c r="BT235" s="16">
        <v>0</v>
      </c>
      <c r="BU235" s="16">
        <v>0</v>
      </c>
      <c r="BV235" s="16">
        <v>0</v>
      </c>
      <c r="BW235" s="16">
        <v>0</v>
      </c>
      <c r="BX235" s="16">
        <v>0</v>
      </c>
      <c r="BY235" s="16">
        <f t="shared" si="382"/>
        <v>400000</v>
      </c>
      <c r="BZ235" s="16">
        <f t="shared" si="383"/>
        <v>400000</v>
      </c>
      <c r="CA235" s="16">
        <f t="shared" si="391"/>
        <v>400000</v>
      </c>
      <c r="CB235" s="16">
        <v>0</v>
      </c>
      <c r="CC235" s="16">
        <v>400000</v>
      </c>
      <c r="CD235" s="16">
        <f t="shared" si="392"/>
        <v>0</v>
      </c>
      <c r="CE235" s="16">
        <v>0</v>
      </c>
      <c r="CF235" s="16">
        <v>0</v>
      </c>
      <c r="CG235" s="16">
        <v>0</v>
      </c>
      <c r="CH235" s="16">
        <v>0</v>
      </c>
      <c r="CI235" s="16">
        <v>0</v>
      </c>
      <c r="CJ235" s="16">
        <v>0</v>
      </c>
      <c r="CK235" s="16">
        <f t="shared" si="393"/>
        <v>0</v>
      </c>
      <c r="CL235" s="16">
        <v>0</v>
      </c>
      <c r="CM235" s="16">
        <v>0</v>
      </c>
      <c r="CN235" s="16">
        <v>0</v>
      </c>
      <c r="CO235" s="16">
        <v>0</v>
      </c>
      <c r="CP235" s="16">
        <v>0</v>
      </c>
      <c r="CQ235" s="16">
        <v>0</v>
      </c>
      <c r="CR235" s="16">
        <v>0</v>
      </c>
      <c r="CS235" s="16">
        <v>0</v>
      </c>
      <c r="CT235" s="16">
        <f t="shared" si="394"/>
        <v>0</v>
      </c>
      <c r="CU235" s="16">
        <f t="shared" si="395"/>
        <v>0</v>
      </c>
      <c r="CV235" s="16">
        <v>0</v>
      </c>
      <c r="CW235" s="17">
        <v>0</v>
      </c>
      <c r="CX235" s="40"/>
    </row>
    <row r="236" spans="1:102" ht="15.75" hidden="1" x14ac:dyDescent="0.25">
      <c r="A236" s="13" t="s">
        <v>1</v>
      </c>
      <c r="B236" s="14" t="s">
        <v>1</v>
      </c>
      <c r="C236" s="14" t="s">
        <v>43</v>
      </c>
      <c r="D236" s="30" t="s">
        <v>288</v>
      </c>
      <c r="E236" s="15">
        <f t="shared" si="375"/>
        <v>155620844</v>
      </c>
      <c r="F236" s="16">
        <f t="shared" si="376"/>
        <v>155620844</v>
      </c>
      <c r="G236" s="16">
        <f t="shared" si="377"/>
        <v>0</v>
      </c>
      <c r="H236" s="16">
        <v>0</v>
      </c>
      <c r="I236" s="16">
        <v>0</v>
      </c>
      <c r="J236" s="16">
        <f t="shared" si="386"/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f t="shared" si="387"/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f t="shared" si="378"/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f t="shared" si="379"/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6">
        <v>0</v>
      </c>
      <c r="AW236" s="16">
        <v>0</v>
      </c>
      <c r="AX236" s="16">
        <v>0</v>
      </c>
      <c r="AY236" s="16">
        <v>0</v>
      </c>
      <c r="AZ236" s="16">
        <v>0</v>
      </c>
      <c r="BA236" s="16">
        <f t="shared" si="380"/>
        <v>155620844</v>
      </c>
      <c r="BB236" s="16">
        <f t="shared" si="381"/>
        <v>0</v>
      </c>
      <c r="BC236" s="16">
        <v>0</v>
      </c>
      <c r="BD236" s="16">
        <v>0</v>
      </c>
      <c r="BE236" s="16">
        <v>0</v>
      </c>
      <c r="BF236" s="16">
        <f t="shared" si="388"/>
        <v>0</v>
      </c>
      <c r="BG236" s="16">
        <v>0</v>
      </c>
      <c r="BH236" s="16">
        <v>0</v>
      </c>
      <c r="BI236" s="16">
        <f>184190878+6235844-34805878</f>
        <v>155620844</v>
      </c>
      <c r="BJ236" s="16">
        <v>0</v>
      </c>
      <c r="BK236" s="16">
        <f t="shared" si="389"/>
        <v>0</v>
      </c>
      <c r="BL236" s="16">
        <v>0</v>
      </c>
      <c r="BM236" s="16">
        <f t="shared" si="390"/>
        <v>0</v>
      </c>
      <c r="BN236" s="16">
        <v>0</v>
      </c>
      <c r="BO236" s="16">
        <v>0</v>
      </c>
      <c r="BP236" s="16">
        <v>0</v>
      </c>
      <c r="BQ236" s="16">
        <v>0</v>
      </c>
      <c r="BR236" s="16">
        <v>0</v>
      </c>
      <c r="BS236" s="16">
        <v>0</v>
      </c>
      <c r="BT236" s="16">
        <v>0</v>
      </c>
      <c r="BU236" s="16">
        <v>0</v>
      </c>
      <c r="BV236" s="16">
        <v>0</v>
      </c>
      <c r="BW236" s="16">
        <v>0</v>
      </c>
      <c r="BX236" s="16">
        <v>0</v>
      </c>
      <c r="BY236" s="16">
        <f t="shared" si="382"/>
        <v>0</v>
      </c>
      <c r="BZ236" s="16">
        <f t="shared" si="383"/>
        <v>0</v>
      </c>
      <c r="CA236" s="16">
        <f t="shared" si="391"/>
        <v>0</v>
      </c>
      <c r="CB236" s="16">
        <v>0</v>
      </c>
      <c r="CC236" s="16">
        <v>0</v>
      </c>
      <c r="CD236" s="16">
        <f t="shared" si="392"/>
        <v>0</v>
      </c>
      <c r="CE236" s="16">
        <v>0</v>
      </c>
      <c r="CF236" s="16">
        <v>0</v>
      </c>
      <c r="CG236" s="16">
        <v>0</v>
      </c>
      <c r="CH236" s="16">
        <v>0</v>
      </c>
      <c r="CI236" s="16">
        <v>0</v>
      </c>
      <c r="CJ236" s="16">
        <v>0</v>
      </c>
      <c r="CK236" s="16">
        <f t="shared" si="393"/>
        <v>0</v>
      </c>
      <c r="CL236" s="16">
        <v>0</v>
      </c>
      <c r="CM236" s="16">
        <v>0</v>
      </c>
      <c r="CN236" s="16">
        <v>0</v>
      </c>
      <c r="CO236" s="16">
        <v>0</v>
      </c>
      <c r="CP236" s="16">
        <v>0</v>
      </c>
      <c r="CQ236" s="16">
        <v>0</v>
      </c>
      <c r="CR236" s="16">
        <v>0</v>
      </c>
      <c r="CS236" s="16">
        <v>0</v>
      </c>
      <c r="CT236" s="16">
        <f t="shared" si="394"/>
        <v>0</v>
      </c>
      <c r="CU236" s="16">
        <f t="shared" si="395"/>
        <v>0</v>
      </c>
      <c r="CV236" s="16">
        <v>0</v>
      </c>
      <c r="CW236" s="17">
        <v>0</v>
      </c>
      <c r="CX236" s="40"/>
    </row>
    <row r="237" spans="1:102" ht="15.75" hidden="1" x14ac:dyDescent="0.25">
      <c r="A237" s="13"/>
      <c r="B237" s="14"/>
      <c r="C237" s="14"/>
      <c r="D237" s="30" t="s">
        <v>488</v>
      </c>
      <c r="E237" s="15">
        <f>SUM(E238:E264)</f>
        <v>266251272</v>
      </c>
      <c r="F237" s="15">
        <f t="shared" ref="F237:BS237" si="398">SUM(F238:F264)</f>
        <v>244136676</v>
      </c>
      <c r="G237" s="15">
        <f t="shared" si="398"/>
        <v>244131676</v>
      </c>
      <c r="H237" s="15">
        <f t="shared" si="398"/>
        <v>96824574</v>
      </c>
      <c r="I237" s="15">
        <f t="shared" si="398"/>
        <v>19240097</v>
      </c>
      <c r="J237" s="15">
        <f t="shared" si="398"/>
        <v>48735265</v>
      </c>
      <c r="K237" s="15">
        <f t="shared" si="398"/>
        <v>15066346</v>
      </c>
      <c r="L237" s="15">
        <f t="shared" si="398"/>
        <v>2797489</v>
      </c>
      <c r="M237" s="15">
        <f t="shared" si="398"/>
        <v>4245236</v>
      </c>
      <c r="N237" s="15">
        <f t="shared" si="398"/>
        <v>4013</v>
      </c>
      <c r="O237" s="15">
        <f t="shared" si="398"/>
        <v>10313322</v>
      </c>
      <c r="P237" s="15">
        <f t="shared" si="398"/>
        <v>16308859</v>
      </c>
      <c r="Q237" s="15">
        <f t="shared" si="398"/>
        <v>784928</v>
      </c>
      <c r="R237" s="15">
        <f t="shared" si="398"/>
        <v>157396</v>
      </c>
      <c r="S237" s="15">
        <f t="shared" si="398"/>
        <v>627532</v>
      </c>
      <c r="T237" s="15">
        <f t="shared" si="398"/>
        <v>308024</v>
      </c>
      <c r="U237" s="15">
        <f t="shared" si="398"/>
        <v>1905446</v>
      </c>
      <c r="V237" s="15">
        <f t="shared" si="398"/>
        <v>26938808</v>
      </c>
      <c r="W237" s="15">
        <f t="shared" si="398"/>
        <v>2276448</v>
      </c>
      <c r="X237" s="15">
        <f t="shared" si="398"/>
        <v>4078583</v>
      </c>
      <c r="Y237" s="15">
        <f t="shared" si="398"/>
        <v>18264363</v>
      </c>
      <c r="Z237" s="15">
        <f t="shared" si="398"/>
        <v>1098166</v>
      </c>
      <c r="AA237" s="15">
        <f t="shared" si="398"/>
        <v>741987</v>
      </c>
      <c r="AB237" s="15">
        <f t="shared" si="398"/>
        <v>302713</v>
      </c>
      <c r="AC237" s="15">
        <f t="shared" si="398"/>
        <v>0</v>
      </c>
      <c r="AD237" s="15">
        <f t="shared" ref="AD237" si="399">SUM(AD238:AD264)</f>
        <v>176548</v>
      </c>
      <c r="AE237" s="15">
        <f t="shared" si="398"/>
        <v>49394534</v>
      </c>
      <c r="AF237" s="15">
        <f t="shared" si="398"/>
        <v>339000</v>
      </c>
      <c r="AG237" s="15">
        <f t="shared" si="398"/>
        <v>3603673</v>
      </c>
      <c r="AH237" s="15">
        <f t="shared" si="398"/>
        <v>8875356</v>
      </c>
      <c r="AI237" s="15">
        <f t="shared" si="398"/>
        <v>858749</v>
      </c>
      <c r="AJ237" s="15">
        <f t="shared" si="398"/>
        <v>917052</v>
      </c>
      <c r="AK237" s="15">
        <f t="shared" si="398"/>
        <v>15380</v>
      </c>
      <c r="AL237" s="15">
        <f t="shared" si="398"/>
        <v>517490</v>
      </c>
      <c r="AM237" s="15">
        <f t="shared" si="398"/>
        <v>2843983</v>
      </c>
      <c r="AN237" s="15">
        <f t="shared" si="398"/>
        <v>15000</v>
      </c>
      <c r="AO237" s="15">
        <f t="shared" si="398"/>
        <v>22635</v>
      </c>
      <c r="AP237" s="15">
        <f>SUM(AP238:AP264)</f>
        <v>974849</v>
      </c>
      <c r="AQ237" s="15">
        <f t="shared" si="398"/>
        <v>101307</v>
      </c>
      <c r="AR237" s="15">
        <f t="shared" si="398"/>
        <v>752247</v>
      </c>
      <c r="AS237" s="15">
        <f t="shared" si="398"/>
        <v>435115</v>
      </c>
      <c r="AT237" s="15">
        <f t="shared" si="398"/>
        <v>0</v>
      </c>
      <c r="AU237" s="15">
        <f t="shared" si="398"/>
        <v>5888</v>
      </c>
      <c r="AV237" s="15">
        <f t="shared" si="398"/>
        <v>61706</v>
      </c>
      <c r="AW237" s="15">
        <f t="shared" si="398"/>
        <v>1600375</v>
      </c>
      <c r="AX237" s="15">
        <f t="shared" si="398"/>
        <v>0</v>
      </c>
      <c r="AY237" s="15">
        <f t="shared" si="398"/>
        <v>0</v>
      </c>
      <c r="AZ237" s="15">
        <f t="shared" si="398"/>
        <v>27454729</v>
      </c>
      <c r="BA237" s="15">
        <f t="shared" si="398"/>
        <v>5000</v>
      </c>
      <c r="BB237" s="15">
        <f t="shared" si="398"/>
        <v>0</v>
      </c>
      <c r="BC237" s="15">
        <f t="shared" si="398"/>
        <v>0</v>
      </c>
      <c r="BD237" s="15">
        <f t="shared" si="398"/>
        <v>0</v>
      </c>
      <c r="BE237" s="15">
        <f t="shared" si="398"/>
        <v>0</v>
      </c>
      <c r="BF237" s="15">
        <f t="shared" si="398"/>
        <v>0</v>
      </c>
      <c r="BG237" s="15">
        <f t="shared" si="398"/>
        <v>0</v>
      </c>
      <c r="BH237" s="15">
        <f t="shared" si="398"/>
        <v>0</v>
      </c>
      <c r="BI237" s="15">
        <f t="shared" si="398"/>
        <v>0</v>
      </c>
      <c r="BJ237" s="15">
        <f t="shared" si="398"/>
        <v>0</v>
      </c>
      <c r="BK237" s="15">
        <f t="shared" si="398"/>
        <v>0</v>
      </c>
      <c r="BL237" s="15">
        <f t="shared" si="398"/>
        <v>0</v>
      </c>
      <c r="BM237" s="15">
        <f t="shared" si="398"/>
        <v>5000</v>
      </c>
      <c r="BN237" s="15">
        <f t="shared" si="398"/>
        <v>0</v>
      </c>
      <c r="BO237" s="15">
        <f t="shared" si="398"/>
        <v>0</v>
      </c>
      <c r="BP237" s="15">
        <f t="shared" si="398"/>
        <v>5000</v>
      </c>
      <c r="BQ237" s="15">
        <f t="shared" si="398"/>
        <v>0</v>
      </c>
      <c r="BR237" s="15">
        <f t="shared" si="398"/>
        <v>0</v>
      </c>
      <c r="BS237" s="15">
        <f t="shared" si="398"/>
        <v>0</v>
      </c>
      <c r="BT237" s="15">
        <f t="shared" ref="BT237:CW237" si="400">SUM(BT238:BT264)</f>
        <v>0</v>
      </c>
      <c r="BU237" s="15">
        <f t="shared" si="400"/>
        <v>0</v>
      </c>
      <c r="BV237" s="15">
        <f t="shared" si="400"/>
        <v>0</v>
      </c>
      <c r="BW237" s="15">
        <f t="shared" si="400"/>
        <v>0</v>
      </c>
      <c r="BX237" s="15">
        <f t="shared" si="400"/>
        <v>0</v>
      </c>
      <c r="BY237" s="15">
        <f t="shared" si="400"/>
        <v>22114596</v>
      </c>
      <c r="BZ237" s="15">
        <f t="shared" si="400"/>
        <v>22114596</v>
      </c>
      <c r="CA237" s="15">
        <f t="shared" si="400"/>
        <v>14751905</v>
      </c>
      <c r="CB237" s="15">
        <f t="shared" si="400"/>
        <v>1000000</v>
      </c>
      <c r="CC237" s="15">
        <f t="shared" si="400"/>
        <v>13751905</v>
      </c>
      <c r="CD237" s="15">
        <f t="shared" si="400"/>
        <v>800000</v>
      </c>
      <c r="CE237" s="15">
        <f t="shared" si="400"/>
        <v>0</v>
      </c>
      <c r="CF237" s="15">
        <f>SUM(CF238:CF264)</f>
        <v>0</v>
      </c>
      <c r="CG237" s="15">
        <f t="shared" si="400"/>
        <v>0</v>
      </c>
      <c r="CH237" s="15">
        <f t="shared" si="400"/>
        <v>800000</v>
      </c>
      <c r="CI237" s="15">
        <f t="shared" si="400"/>
        <v>0</v>
      </c>
      <c r="CJ237" s="15">
        <f t="shared" ref="CJ237" si="401">SUM(CJ238:CJ264)</f>
        <v>0</v>
      </c>
      <c r="CK237" s="15">
        <f t="shared" si="400"/>
        <v>6562691</v>
      </c>
      <c r="CL237" s="15">
        <f t="shared" si="400"/>
        <v>0</v>
      </c>
      <c r="CM237" s="15">
        <f>SUM(CM238:CM264)</f>
        <v>0</v>
      </c>
      <c r="CN237" s="15">
        <f t="shared" si="400"/>
        <v>4598137</v>
      </c>
      <c r="CO237" s="15">
        <f t="shared" si="400"/>
        <v>1245122</v>
      </c>
      <c r="CP237" s="15">
        <f t="shared" si="400"/>
        <v>719432</v>
      </c>
      <c r="CQ237" s="15">
        <f t="shared" si="400"/>
        <v>0</v>
      </c>
      <c r="CR237" s="15">
        <f t="shared" si="400"/>
        <v>0</v>
      </c>
      <c r="CS237" s="15">
        <f t="shared" si="400"/>
        <v>0</v>
      </c>
      <c r="CT237" s="15">
        <f t="shared" si="400"/>
        <v>0</v>
      </c>
      <c r="CU237" s="15">
        <f t="shared" si="400"/>
        <v>0</v>
      </c>
      <c r="CV237" s="15">
        <f t="shared" si="400"/>
        <v>0</v>
      </c>
      <c r="CW237" s="23">
        <f t="shared" si="400"/>
        <v>0</v>
      </c>
      <c r="CX237" s="40"/>
    </row>
    <row r="238" spans="1:102" ht="31.5" hidden="1" x14ac:dyDescent="0.25">
      <c r="A238" s="13" t="s">
        <v>1</v>
      </c>
      <c r="B238" s="14" t="s">
        <v>1</v>
      </c>
      <c r="C238" s="14" t="s">
        <v>17</v>
      </c>
      <c r="D238" s="30" t="s">
        <v>259</v>
      </c>
      <c r="E238" s="15">
        <f t="shared" ref="E238:E264" si="402">SUM(F238+BY238+CT238)</f>
        <v>102355</v>
      </c>
      <c r="F238" s="16">
        <f t="shared" ref="F238:F264" si="403">SUM(G238+BA238)</f>
        <v>102355</v>
      </c>
      <c r="G238" s="16">
        <f t="shared" ref="G238:G264" si="404">SUM(H238+I238+J238+Q238+T238+U238+V238+AE238)</f>
        <v>102355</v>
      </c>
      <c r="H238" s="16">
        <v>0</v>
      </c>
      <c r="I238" s="16">
        <v>0</v>
      </c>
      <c r="J238" s="16">
        <f t="shared" si="360"/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f t="shared" si="361"/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f t="shared" ref="V238:V264" si="405">SUM(W238:AD238)</f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f t="shared" ref="AE238:AE264" si="406">SUM(AF238:AZ238)</f>
        <v>102355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80000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0</v>
      </c>
      <c r="AV238" s="16">
        <v>0</v>
      </c>
      <c r="AW238" s="16">
        <v>0</v>
      </c>
      <c r="AX238" s="16">
        <v>0</v>
      </c>
      <c r="AY238" s="16">
        <v>0</v>
      </c>
      <c r="AZ238" s="16">
        <f>22000+355</f>
        <v>22355</v>
      </c>
      <c r="BA238" s="16">
        <f t="shared" ref="BA238:BA264" si="407">SUM(BB238+BF238+BI238+BK238+BM238)</f>
        <v>0</v>
      </c>
      <c r="BB238" s="16">
        <f t="shared" ref="BB238:BB264" si="408">SUM(BC238:BE238)</f>
        <v>0</v>
      </c>
      <c r="BC238" s="16">
        <v>0</v>
      </c>
      <c r="BD238" s="16">
        <v>0</v>
      </c>
      <c r="BE238" s="16">
        <v>0</v>
      </c>
      <c r="BF238" s="16">
        <f t="shared" si="362"/>
        <v>0</v>
      </c>
      <c r="BG238" s="16">
        <v>0</v>
      </c>
      <c r="BH238" s="16">
        <v>0</v>
      </c>
      <c r="BI238" s="16">
        <v>0</v>
      </c>
      <c r="BJ238" s="16">
        <v>0</v>
      </c>
      <c r="BK238" s="16">
        <f t="shared" si="363"/>
        <v>0</v>
      </c>
      <c r="BL238" s="16">
        <v>0</v>
      </c>
      <c r="BM238" s="16">
        <f t="shared" si="364"/>
        <v>0</v>
      </c>
      <c r="BN238" s="16">
        <v>0</v>
      </c>
      <c r="BO238" s="16">
        <v>0</v>
      </c>
      <c r="BP238" s="16">
        <v>0</v>
      </c>
      <c r="BQ238" s="16">
        <v>0</v>
      </c>
      <c r="BR238" s="16">
        <v>0</v>
      </c>
      <c r="BS238" s="16">
        <v>0</v>
      </c>
      <c r="BT238" s="16">
        <v>0</v>
      </c>
      <c r="BU238" s="16">
        <v>0</v>
      </c>
      <c r="BV238" s="16">
        <v>0</v>
      </c>
      <c r="BW238" s="16">
        <v>0</v>
      </c>
      <c r="BX238" s="16">
        <v>0</v>
      </c>
      <c r="BY238" s="16">
        <f t="shared" ref="BY238:BY264" si="409">SUM(BZ238+CS238)</f>
        <v>0</v>
      </c>
      <c r="BZ238" s="16">
        <f t="shared" ref="BZ238:BZ264" si="410">SUM(CA238+CD238+CK238)</f>
        <v>0</v>
      </c>
      <c r="CA238" s="16">
        <f t="shared" si="365"/>
        <v>0</v>
      </c>
      <c r="CB238" s="16">
        <v>0</v>
      </c>
      <c r="CC238" s="16">
        <v>0</v>
      </c>
      <c r="CD238" s="16">
        <f t="shared" si="366"/>
        <v>0</v>
      </c>
      <c r="CE238" s="16">
        <v>0</v>
      </c>
      <c r="CF238" s="16">
        <v>0</v>
      </c>
      <c r="CG238" s="16">
        <v>0</v>
      </c>
      <c r="CH238" s="16">
        <v>0</v>
      </c>
      <c r="CI238" s="16">
        <v>0</v>
      </c>
      <c r="CJ238" s="16">
        <v>0</v>
      </c>
      <c r="CK238" s="16">
        <f t="shared" si="367"/>
        <v>0</v>
      </c>
      <c r="CL238" s="16">
        <v>0</v>
      </c>
      <c r="CM238" s="16">
        <v>0</v>
      </c>
      <c r="CN238" s="16">
        <v>0</v>
      </c>
      <c r="CO238" s="16">
        <v>0</v>
      </c>
      <c r="CP238" s="16">
        <v>0</v>
      </c>
      <c r="CQ238" s="16">
        <v>0</v>
      </c>
      <c r="CR238" s="16">
        <v>0</v>
      </c>
      <c r="CS238" s="16">
        <v>0</v>
      </c>
      <c r="CT238" s="16">
        <f t="shared" si="368"/>
        <v>0</v>
      </c>
      <c r="CU238" s="16">
        <f t="shared" si="369"/>
        <v>0</v>
      </c>
      <c r="CV238" s="16">
        <v>0</v>
      </c>
      <c r="CW238" s="17">
        <v>0</v>
      </c>
      <c r="CX238" s="40"/>
    </row>
    <row r="239" spans="1:102" ht="31.5" hidden="1" x14ac:dyDescent="0.25">
      <c r="A239" s="13" t="s">
        <v>1</v>
      </c>
      <c r="B239" s="14" t="s">
        <v>1</v>
      </c>
      <c r="C239" s="14" t="s">
        <v>19</v>
      </c>
      <c r="D239" s="30" t="s">
        <v>260</v>
      </c>
      <c r="E239" s="15">
        <f t="shared" si="402"/>
        <v>307734</v>
      </c>
      <c r="F239" s="16">
        <f t="shared" si="403"/>
        <v>307734</v>
      </c>
      <c r="G239" s="16">
        <f t="shared" si="404"/>
        <v>307734</v>
      </c>
      <c r="H239" s="16">
        <v>0</v>
      </c>
      <c r="I239" s="16">
        <v>0</v>
      </c>
      <c r="J239" s="16">
        <f t="shared" si="360"/>
        <v>95300</v>
      </c>
      <c r="K239" s="16">
        <v>0</v>
      </c>
      <c r="L239" s="16">
        <v>0</v>
      </c>
      <c r="M239" s="16">
        <v>46000</v>
      </c>
      <c r="N239" s="16">
        <v>0</v>
      </c>
      <c r="O239" s="16">
        <v>13000</v>
      </c>
      <c r="P239" s="16">
        <v>36300</v>
      </c>
      <c r="Q239" s="16">
        <f t="shared" si="361"/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f t="shared" si="405"/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f t="shared" si="406"/>
        <v>212434</v>
      </c>
      <c r="AF239" s="16">
        <v>0</v>
      </c>
      <c r="AG239" s="16">
        <v>2750</v>
      </c>
      <c r="AH239" s="16">
        <v>2750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0</v>
      </c>
      <c r="AV239" s="16">
        <v>0</v>
      </c>
      <c r="AW239" s="16">
        <v>0</v>
      </c>
      <c r="AX239" s="16">
        <v>0</v>
      </c>
      <c r="AY239" s="16">
        <v>0</v>
      </c>
      <c r="AZ239" s="16">
        <f>110842+96092</f>
        <v>206934</v>
      </c>
      <c r="BA239" s="16">
        <f t="shared" si="407"/>
        <v>0</v>
      </c>
      <c r="BB239" s="16">
        <f t="shared" si="408"/>
        <v>0</v>
      </c>
      <c r="BC239" s="16">
        <v>0</v>
      </c>
      <c r="BD239" s="16">
        <v>0</v>
      </c>
      <c r="BE239" s="16">
        <v>0</v>
      </c>
      <c r="BF239" s="16">
        <f t="shared" si="362"/>
        <v>0</v>
      </c>
      <c r="BG239" s="16">
        <v>0</v>
      </c>
      <c r="BH239" s="16">
        <v>0</v>
      </c>
      <c r="BI239" s="16">
        <v>0</v>
      </c>
      <c r="BJ239" s="16">
        <v>0</v>
      </c>
      <c r="BK239" s="16">
        <f t="shared" si="363"/>
        <v>0</v>
      </c>
      <c r="BL239" s="16">
        <v>0</v>
      </c>
      <c r="BM239" s="16">
        <f t="shared" si="364"/>
        <v>0</v>
      </c>
      <c r="BN239" s="16">
        <v>0</v>
      </c>
      <c r="BO239" s="16">
        <v>0</v>
      </c>
      <c r="BP239" s="16">
        <v>0</v>
      </c>
      <c r="BQ239" s="16">
        <v>0</v>
      </c>
      <c r="BR239" s="16">
        <v>0</v>
      </c>
      <c r="BS239" s="16">
        <v>0</v>
      </c>
      <c r="BT239" s="16">
        <v>0</v>
      </c>
      <c r="BU239" s="16">
        <v>0</v>
      </c>
      <c r="BV239" s="16">
        <v>0</v>
      </c>
      <c r="BW239" s="16">
        <v>0</v>
      </c>
      <c r="BX239" s="16">
        <v>0</v>
      </c>
      <c r="BY239" s="16">
        <f t="shared" si="409"/>
        <v>0</v>
      </c>
      <c r="BZ239" s="16">
        <f t="shared" si="410"/>
        <v>0</v>
      </c>
      <c r="CA239" s="16">
        <f t="shared" si="365"/>
        <v>0</v>
      </c>
      <c r="CB239" s="16">
        <v>0</v>
      </c>
      <c r="CC239" s="16">
        <v>0</v>
      </c>
      <c r="CD239" s="16">
        <f t="shared" si="366"/>
        <v>0</v>
      </c>
      <c r="CE239" s="16">
        <v>0</v>
      </c>
      <c r="CF239" s="16">
        <v>0</v>
      </c>
      <c r="CG239" s="16">
        <v>0</v>
      </c>
      <c r="CH239" s="16">
        <v>0</v>
      </c>
      <c r="CI239" s="16">
        <v>0</v>
      </c>
      <c r="CJ239" s="16">
        <v>0</v>
      </c>
      <c r="CK239" s="16">
        <f t="shared" si="367"/>
        <v>0</v>
      </c>
      <c r="CL239" s="16">
        <v>0</v>
      </c>
      <c r="CM239" s="16">
        <v>0</v>
      </c>
      <c r="CN239" s="16">
        <v>0</v>
      </c>
      <c r="CO239" s="16">
        <v>0</v>
      </c>
      <c r="CP239" s="16">
        <v>0</v>
      </c>
      <c r="CQ239" s="16">
        <v>0</v>
      </c>
      <c r="CR239" s="16">
        <v>0</v>
      </c>
      <c r="CS239" s="16">
        <v>0</v>
      </c>
      <c r="CT239" s="16">
        <f t="shared" si="368"/>
        <v>0</v>
      </c>
      <c r="CU239" s="16">
        <f t="shared" si="369"/>
        <v>0</v>
      </c>
      <c r="CV239" s="16">
        <v>0</v>
      </c>
      <c r="CW239" s="17">
        <v>0</v>
      </c>
      <c r="CX239" s="40"/>
    </row>
    <row r="240" spans="1:102" ht="31.5" hidden="1" x14ac:dyDescent="0.25">
      <c r="A240" s="13" t="s">
        <v>1</v>
      </c>
      <c r="B240" s="14" t="s">
        <v>1</v>
      </c>
      <c r="C240" s="14" t="s">
        <v>21</v>
      </c>
      <c r="D240" s="30" t="s">
        <v>262</v>
      </c>
      <c r="E240" s="15">
        <f t="shared" si="402"/>
        <v>6029622</v>
      </c>
      <c r="F240" s="16">
        <f t="shared" si="403"/>
        <v>5989622</v>
      </c>
      <c r="G240" s="16">
        <f t="shared" si="404"/>
        <v>5989622</v>
      </c>
      <c r="H240" s="16">
        <v>3909509</v>
      </c>
      <c r="I240" s="16">
        <v>930232</v>
      </c>
      <c r="J240" s="16">
        <f>SUM(K240:P240)</f>
        <v>276137</v>
      </c>
      <c r="K240" s="16">
        <v>2000</v>
      </c>
      <c r="L240" s="16">
        <v>3340</v>
      </c>
      <c r="M240" s="16">
        <v>114690</v>
      </c>
      <c r="N240" s="16">
        <v>0</v>
      </c>
      <c r="O240" s="16">
        <v>21809</v>
      </c>
      <c r="P240" s="16">
        <v>134298</v>
      </c>
      <c r="Q240" s="16">
        <f>SUM(R240:S240)</f>
        <v>7720</v>
      </c>
      <c r="R240" s="16">
        <v>4120</v>
      </c>
      <c r="S240" s="16">
        <v>3600</v>
      </c>
      <c r="T240" s="16">
        <v>0</v>
      </c>
      <c r="U240" s="16">
        <v>35732</v>
      </c>
      <c r="V240" s="16">
        <f t="shared" si="405"/>
        <v>355563</v>
      </c>
      <c r="W240" s="16">
        <v>11250</v>
      </c>
      <c r="X240" s="16">
        <f>237697+9295</f>
        <v>246992</v>
      </c>
      <c r="Y240" s="16">
        <f>66516+3971</f>
        <v>70487</v>
      </c>
      <c r="Z240" s="16">
        <f>16746+2920</f>
        <v>19666</v>
      </c>
      <c r="AA240" s="16">
        <v>7168</v>
      </c>
      <c r="AB240" s="16">
        <v>0</v>
      </c>
      <c r="AC240" s="16">
        <v>0</v>
      </c>
      <c r="AD240" s="16">
        <v>0</v>
      </c>
      <c r="AE240" s="16">
        <f t="shared" si="406"/>
        <v>474729</v>
      </c>
      <c r="AF240" s="16">
        <v>0</v>
      </c>
      <c r="AG240" s="16">
        <f>15955+17000</f>
        <v>32955</v>
      </c>
      <c r="AH240" s="16">
        <f>105000+75000</f>
        <v>180000</v>
      </c>
      <c r="AI240" s="16">
        <v>2880</v>
      </c>
      <c r="AJ240" s="16">
        <v>22460</v>
      </c>
      <c r="AK240" s="16">
        <v>0</v>
      </c>
      <c r="AL240" s="16">
        <v>2480</v>
      </c>
      <c r="AM240" s="16">
        <v>21240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f>24000+19325</f>
        <v>43325</v>
      </c>
      <c r="AT240" s="16">
        <v>0</v>
      </c>
      <c r="AU240" s="16">
        <v>0</v>
      </c>
      <c r="AV240" s="16">
        <v>0</v>
      </c>
      <c r="AW240" s="16">
        <v>0</v>
      </c>
      <c r="AX240" s="16">
        <v>0</v>
      </c>
      <c r="AY240" s="16">
        <v>0</v>
      </c>
      <c r="AZ240" s="16">
        <f>94103+75286</f>
        <v>169389</v>
      </c>
      <c r="BA240" s="16">
        <f t="shared" si="407"/>
        <v>0</v>
      </c>
      <c r="BB240" s="16">
        <f t="shared" si="408"/>
        <v>0</v>
      </c>
      <c r="BC240" s="16">
        <v>0</v>
      </c>
      <c r="BD240" s="16">
        <v>0</v>
      </c>
      <c r="BE240" s="16">
        <v>0</v>
      </c>
      <c r="BF240" s="16">
        <f>SUM(BG240:BH240)</f>
        <v>0</v>
      </c>
      <c r="BG240" s="16">
        <v>0</v>
      </c>
      <c r="BH240" s="16">
        <v>0</v>
      </c>
      <c r="BI240" s="16">
        <v>0</v>
      </c>
      <c r="BJ240" s="16">
        <v>0</v>
      </c>
      <c r="BK240" s="16">
        <f>SUM(BL240)</f>
        <v>0</v>
      </c>
      <c r="BL240" s="16">
        <v>0</v>
      </c>
      <c r="BM240" s="16">
        <f>SUM(BN240:BX240)</f>
        <v>0</v>
      </c>
      <c r="BN240" s="16">
        <v>0</v>
      </c>
      <c r="BO240" s="16">
        <v>0</v>
      </c>
      <c r="BP240" s="16">
        <v>0</v>
      </c>
      <c r="BQ240" s="16">
        <v>0</v>
      </c>
      <c r="BR240" s="16">
        <v>0</v>
      </c>
      <c r="BS240" s="16">
        <v>0</v>
      </c>
      <c r="BT240" s="16">
        <v>0</v>
      </c>
      <c r="BU240" s="16">
        <v>0</v>
      </c>
      <c r="BV240" s="16">
        <v>0</v>
      </c>
      <c r="BW240" s="16">
        <v>0</v>
      </c>
      <c r="BX240" s="16">
        <v>0</v>
      </c>
      <c r="BY240" s="16">
        <f t="shared" si="409"/>
        <v>40000</v>
      </c>
      <c r="BZ240" s="16">
        <f t="shared" si="410"/>
        <v>40000</v>
      </c>
      <c r="CA240" s="16">
        <f>SUM(CB240:CC240)</f>
        <v>40000</v>
      </c>
      <c r="CB240" s="16">
        <v>0</v>
      </c>
      <c r="CC240" s="16">
        <v>40000</v>
      </c>
      <c r="CD240" s="16">
        <f>SUM(CE240:CI240)</f>
        <v>0</v>
      </c>
      <c r="CE240" s="16">
        <v>0</v>
      </c>
      <c r="CF240" s="16">
        <v>0</v>
      </c>
      <c r="CG240" s="16">
        <v>0</v>
      </c>
      <c r="CH240" s="16">
        <v>0</v>
      </c>
      <c r="CI240" s="16">
        <v>0</v>
      </c>
      <c r="CJ240" s="16">
        <v>0</v>
      </c>
      <c r="CK240" s="16">
        <f>SUM(CL240:CP240)</f>
        <v>0</v>
      </c>
      <c r="CL240" s="16">
        <v>0</v>
      </c>
      <c r="CM240" s="16">
        <v>0</v>
      </c>
      <c r="CN240" s="16">
        <v>0</v>
      </c>
      <c r="CO240" s="16">
        <v>0</v>
      </c>
      <c r="CP240" s="16">
        <v>0</v>
      </c>
      <c r="CQ240" s="16">
        <v>0</v>
      </c>
      <c r="CR240" s="16">
        <v>0</v>
      </c>
      <c r="CS240" s="16">
        <v>0</v>
      </c>
      <c r="CT240" s="16">
        <f>SUM(CU240)</f>
        <v>0</v>
      </c>
      <c r="CU240" s="16">
        <f>SUM(CV240:CW240)</f>
        <v>0</v>
      </c>
      <c r="CV240" s="16">
        <v>0</v>
      </c>
      <c r="CW240" s="17">
        <v>0</v>
      </c>
      <c r="CX240" s="40"/>
    </row>
    <row r="241" spans="1:102" ht="31.5" hidden="1" x14ac:dyDescent="0.25">
      <c r="A241" s="13" t="s">
        <v>1</v>
      </c>
      <c r="B241" s="14" t="s">
        <v>1</v>
      </c>
      <c r="C241" s="14" t="s">
        <v>21</v>
      </c>
      <c r="D241" s="30" t="s">
        <v>261</v>
      </c>
      <c r="E241" s="15">
        <f t="shared" si="402"/>
        <v>32987440</v>
      </c>
      <c r="F241" s="16">
        <f t="shared" si="403"/>
        <v>30469362</v>
      </c>
      <c r="G241" s="16">
        <f t="shared" si="404"/>
        <v>30469362</v>
      </c>
      <c r="H241" s="16">
        <f>9950832+18000</f>
        <v>9968832</v>
      </c>
      <c r="I241" s="16">
        <f>2487648+4500</f>
        <v>2492148</v>
      </c>
      <c r="J241" s="16">
        <f t="shared" si="360"/>
        <v>11021339</v>
      </c>
      <c r="K241" s="16">
        <f>6731749+1000</f>
        <v>6732749</v>
      </c>
      <c r="L241" s="16">
        <f>251252+42000</f>
        <v>293252</v>
      </c>
      <c r="M241" s="16">
        <f>246092</f>
        <v>246092</v>
      </c>
      <c r="N241" s="16">
        <v>0</v>
      </c>
      <c r="O241" s="16">
        <f>912768+50000</f>
        <v>962768</v>
      </c>
      <c r="P241" s="16">
        <f>2444377+342101</f>
        <v>2786478</v>
      </c>
      <c r="Q241" s="16">
        <f t="shared" si="361"/>
        <v>64279</v>
      </c>
      <c r="R241" s="16">
        <v>10511</v>
      </c>
      <c r="S241" s="16">
        <v>53768</v>
      </c>
      <c r="T241" s="16">
        <v>6295</v>
      </c>
      <c r="U241" s="16">
        <f>175315+3000</f>
        <v>178315</v>
      </c>
      <c r="V241" s="16">
        <f t="shared" si="405"/>
        <v>1860441</v>
      </c>
      <c r="W241" s="16">
        <f>767266+80827</f>
        <v>848093</v>
      </c>
      <c r="X241" s="16">
        <f>346304+4350</f>
        <v>350654</v>
      </c>
      <c r="Y241" s="16">
        <f>195538+28811</f>
        <v>224349</v>
      </c>
      <c r="Z241" s="16">
        <f>170191+30688</f>
        <v>200879</v>
      </c>
      <c r="AA241" s="16">
        <v>226278</v>
      </c>
      <c r="AB241" s="16">
        <v>0</v>
      </c>
      <c r="AC241" s="16">
        <v>0</v>
      </c>
      <c r="AD241" s="16">
        <f>9306+882</f>
        <v>10188</v>
      </c>
      <c r="AE241" s="16">
        <f t="shared" si="406"/>
        <v>4877713</v>
      </c>
      <c r="AF241" s="16">
        <v>0</v>
      </c>
      <c r="AG241" s="16">
        <f>1237499+1000</f>
        <v>1238499</v>
      </c>
      <c r="AH241" s="16">
        <f>1293026+54055</f>
        <v>1347081</v>
      </c>
      <c r="AI241" s="16">
        <v>0</v>
      </c>
      <c r="AJ241" s="16">
        <f>106294+2000</f>
        <v>108294</v>
      </c>
      <c r="AK241" s="16">
        <v>0</v>
      </c>
      <c r="AL241" s="16">
        <f>63041+3000</f>
        <v>66041</v>
      </c>
      <c r="AM241" s="16">
        <f>662212+2900</f>
        <v>665112</v>
      </c>
      <c r="AN241" s="16">
        <v>0</v>
      </c>
      <c r="AO241" s="16">
        <v>0</v>
      </c>
      <c r="AP241" s="16">
        <v>0</v>
      </c>
      <c r="AQ241" s="16">
        <v>0</v>
      </c>
      <c r="AR241" s="16">
        <v>535767</v>
      </c>
      <c r="AS241" s="16">
        <f>35235+14250</f>
        <v>49485</v>
      </c>
      <c r="AT241" s="16">
        <v>0</v>
      </c>
      <c r="AU241" s="16">
        <v>5888</v>
      </c>
      <c r="AV241" s="16">
        <v>41060</v>
      </c>
      <c r="AW241" s="16">
        <v>0</v>
      </c>
      <c r="AX241" s="16">
        <v>0</v>
      </c>
      <c r="AY241" s="16">
        <v>0</v>
      </c>
      <c r="AZ241" s="16">
        <f>798955+21531</f>
        <v>820486</v>
      </c>
      <c r="BA241" s="16">
        <f t="shared" si="407"/>
        <v>0</v>
      </c>
      <c r="BB241" s="16">
        <f t="shared" si="408"/>
        <v>0</v>
      </c>
      <c r="BC241" s="16">
        <v>0</v>
      </c>
      <c r="BD241" s="16">
        <v>0</v>
      </c>
      <c r="BE241" s="16">
        <v>0</v>
      </c>
      <c r="BF241" s="16">
        <f t="shared" si="362"/>
        <v>0</v>
      </c>
      <c r="BG241" s="16">
        <v>0</v>
      </c>
      <c r="BH241" s="16">
        <v>0</v>
      </c>
      <c r="BI241" s="16">
        <v>0</v>
      </c>
      <c r="BJ241" s="16">
        <v>0</v>
      </c>
      <c r="BK241" s="16">
        <f t="shared" si="363"/>
        <v>0</v>
      </c>
      <c r="BL241" s="16">
        <v>0</v>
      </c>
      <c r="BM241" s="16">
        <f t="shared" si="364"/>
        <v>0</v>
      </c>
      <c r="BN241" s="16">
        <v>0</v>
      </c>
      <c r="BO241" s="16">
        <v>0</v>
      </c>
      <c r="BP241" s="16">
        <v>0</v>
      </c>
      <c r="BQ241" s="16">
        <v>0</v>
      </c>
      <c r="BR241" s="16">
        <v>0</v>
      </c>
      <c r="BS241" s="16">
        <v>0</v>
      </c>
      <c r="BT241" s="16">
        <v>0</v>
      </c>
      <c r="BU241" s="16">
        <v>0</v>
      </c>
      <c r="BV241" s="16">
        <v>0</v>
      </c>
      <c r="BW241" s="16">
        <v>0</v>
      </c>
      <c r="BX241" s="16">
        <v>0</v>
      </c>
      <c r="BY241" s="16">
        <f t="shared" si="409"/>
        <v>2518078</v>
      </c>
      <c r="BZ241" s="16">
        <f t="shared" si="410"/>
        <v>2518078</v>
      </c>
      <c r="CA241" s="16">
        <f t="shared" si="365"/>
        <v>2046484</v>
      </c>
      <c r="CB241" s="16">
        <v>0</v>
      </c>
      <c r="CC241" s="16">
        <f>1666417+380067</f>
        <v>2046484</v>
      </c>
      <c r="CD241" s="16">
        <f t="shared" si="366"/>
        <v>0</v>
      </c>
      <c r="CE241" s="16">
        <v>0</v>
      </c>
      <c r="CF241" s="16">
        <v>0</v>
      </c>
      <c r="CG241" s="16">
        <v>0</v>
      </c>
      <c r="CH241" s="16">
        <v>0</v>
      </c>
      <c r="CI241" s="16">
        <v>0</v>
      </c>
      <c r="CJ241" s="16">
        <v>0</v>
      </c>
      <c r="CK241" s="16">
        <f t="shared" si="367"/>
        <v>471594</v>
      </c>
      <c r="CL241" s="16">
        <v>0</v>
      </c>
      <c r="CM241" s="16">
        <v>0</v>
      </c>
      <c r="CN241" s="16">
        <v>471594</v>
      </c>
      <c r="CO241" s="16">
        <v>0</v>
      </c>
      <c r="CP241" s="16">
        <v>0</v>
      </c>
      <c r="CQ241" s="16">
        <v>0</v>
      </c>
      <c r="CR241" s="16">
        <v>0</v>
      </c>
      <c r="CS241" s="16">
        <v>0</v>
      </c>
      <c r="CT241" s="16">
        <f t="shared" si="368"/>
        <v>0</v>
      </c>
      <c r="CU241" s="16">
        <f t="shared" si="369"/>
        <v>0</v>
      </c>
      <c r="CV241" s="16">
        <v>0</v>
      </c>
      <c r="CW241" s="17">
        <v>0</v>
      </c>
      <c r="CX241" s="40"/>
    </row>
    <row r="242" spans="1:102" ht="31.5" hidden="1" x14ac:dyDescent="0.25">
      <c r="A242" s="13" t="s">
        <v>1</v>
      </c>
      <c r="B242" s="14" t="s">
        <v>1</v>
      </c>
      <c r="C242" s="14" t="s">
        <v>21</v>
      </c>
      <c r="D242" s="30" t="s">
        <v>263</v>
      </c>
      <c r="E242" s="15">
        <f t="shared" si="402"/>
        <v>26005156</v>
      </c>
      <c r="F242" s="16">
        <f t="shared" si="403"/>
        <v>23330802</v>
      </c>
      <c r="G242" s="16">
        <f t="shared" si="404"/>
        <v>23330802</v>
      </c>
      <c r="H242" s="16">
        <v>7572198</v>
      </c>
      <c r="I242" s="16">
        <v>1893051</v>
      </c>
      <c r="J242" s="16">
        <f t="shared" si="360"/>
        <v>8713503</v>
      </c>
      <c r="K242" s="16">
        <v>6019041</v>
      </c>
      <c r="L242" s="16">
        <v>95217</v>
      </c>
      <c r="M242" s="16">
        <v>13000</v>
      </c>
      <c r="N242" s="16">
        <v>1500</v>
      </c>
      <c r="O242" s="16">
        <f>327530+3392</f>
        <v>330922</v>
      </c>
      <c r="P242" s="16">
        <f>1897394+356429</f>
        <v>2253823</v>
      </c>
      <c r="Q242" s="16">
        <f t="shared" si="361"/>
        <v>6345</v>
      </c>
      <c r="R242" s="16">
        <v>5745</v>
      </c>
      <c r="S242" s="16">
        <v>600</v>
      </c>
      <c r="T242" s="16">
        <v>43200</v>
      </c>
      <c r="U242" s="16">
        <f>119645+6915</f>
        <v>126560</v>
      </c>
      <c r="V242" s="16">
        <f t="shared" si="405"/>
        <v>1316266</v>
      </c>
      <c r="W242" s="16">
        <v>530276</v>
      </c>
      <c r="X242" s="16">
        <f>311559+16572</f>
        <v>328131</v>
      </c>
      <c r="Y242" s="16">
        <f>170636+25618</f>
        <v>196254</v>
      </c>
      <c r="Z242" s="16">
        <f>80437+15974</f>
        <v>96411</v>
      </c>
      <c r="AA242" s="16">
        <f>84886+5000</f>
        <v>89886</v>
      </c>
      <c r="AB242" s="16">
        <v>70000</v>
      </c>
      <c r="AC242" s="16">
        <v>0</v>
      </c>
      <c r="AD242" s="16">
        <f>5267+41</f>
        <v>5308</v>
      </c>
      <c r="AE242" s="16">
        <f t="shared" si="406"/>
        <v>3659679</v>
      </c>
      <c r="AF242" s="16">
        <v>0</v>
      </c>
      <c r="AG242" s="16">
        <v>432496</v>
      </c>
      <c r="AH242" s="16">
        <f>1248233+326637</f>
        <v>1574870</v>
      </c>
      <c r="AI242" s="16">
        <v>0</v>
      </c>
      <c r="AJ242" s="16">
        <f>78910+150</f>
        <v>79060</v>
      </c>
      <c r="AK242" s="16">
        <v>0</v>
      </c>
      <c r="AL242" s="16">
        <v>28900</v>
      </c>
      <c r="AM242" s="16">
        <f>322400+2310</f>
        <v>324710</v>
      </c>
      <c r="AN242" s="16">
        <v>0</v>
      </c>
      <c r="AO242" s="16">
        <v>2000</v>
      </c>
      <c r="AP242" s="16"/>
      <c r="AQ242" s="16">
        <v>0</v>
      </c>
      <c r="AR242" s="16">
        <v>68306</v>
      </c>
      <c r="AS242" s="16">
        <f>105845+10000</f>
        <v>115845</v>
      </c>
      <c r="AT242" s="16">
        <v>0</v>
      </c>
      <c r="AU242" s="16">
        <v>0</v>
      </c>
      <c r="AV242" s="16">
        <v>20646</v>
      </c>
      <c r="AW242" s="16">
        <v>0</v>
      </c>
      <c r="AX242" s="16">
        <v>0</v>
      </c>
      <c r="AY242" s="16"/>
      <c r="AZ242" s="16">
        <f>848689+164157</f>
        <v>1012846</v>
      </c>
      <c r="BA242" s="16">
        <f t="shared" si="407"/>
        <v>0</v>
      </c>
      <c r="BB242" s="16">
        <f t="shared" si="408"/>
        <v>0</v>
      </c>
      <c r="BC242" s="16">
        <v>0</v>
      </c>
      <c r="BD242" s="16">
        <v>0</v>
      </c>
      <c r="BE242" s="16">
        <v>0</v>
      </c>
      <c r="BF242" s="16">
        <f t="shared" si="362"/>
        <v>0</v>
      </c>
      <c r="BG242" s="16">
        <v>0</v>
      </c>
      <c r="BH242" s="16">
        <v>0</v>
      </c>
      <c r="BI242" s="16">
        <v>0</v>
      </c>
      <c r="BJ242" s="16">
        <v>0</v>
      </c>
      <c r="BK242" s="16">
        <f t="shared" si="363"/>
        <v>0</v>
      </c>
      <c r="BL242" s="16">
        <v>0</v>
      </c>
      <c r="BM242" s="16">
        <f t="shared" si="364"/>
        <v>0</v>
      </c>
      <c r="BN242" s="16">
        <v>0</v>
      </c>
      <c r="BO242" s="16">
        <v>0</v>
      </c>
      <c r="BP242" s="16">
        <v>0</v>
      </c>
      <c r="BQ242" s="16">
        <v>0</v>
      </c>
      <c r="BR242" s="16">
        <v>0</v>
      </c>
      <c r="BS242" s="16">
        <v>0</v>
      </c>
      <c r="BT242" s="16">
        <v>0</v>
      </c>
      <c r="BU242" s="16">
        <v>0</v>
      </c>
      <c r="BV242" s="16">
        <v>0</v>
      </c>
      <c r="BW242" s="16">
        <v>0</v>
      </c>
      <c r="BX242" s="16">
        <v>0</v>
      </c>
      <c r="BY242" s="16">
        <f t="shared" si="409"/>
        <v>2674354</v>
      </c>
      <c r="BZ242" s="16">
        <f t="shared" si="410"/>
        <v>2674354</v>
      </c>
      <c r="CA242" s="16">
        <f t="shared" si="365"/>
        <v>2658354</v>
      </c>
      <c r="CB242" s="16">
        <v>0</v>
      </c>
      <c r="CC242" s="16">
        <f>1736965+921389</f>
        <v>2658354</v>
      </c>
      <c r="CD242" s="16">
        <f t="shared" si="366"/>
        <v>0</v>
      </c>
      <c r="CE242" s="16">
        <v>0</v>
      </c>
      <c r="CF242" s="16">
        <v>0</v>
      </c>
      <c r="CG242" s="16">
        <v>0</v>
      </c>
      <c r="CH242" s="16">
        <v>0</v>
      </c>
      <c r="CI242" s="16">
        <v>0</v>
      </c>
      <c r="CJ242" s="16">
        <v>0</v>
      </c>
      <c r="CK242" s="16">
        <f t="shared" si="367"/>
        <v>16000</v>
      </c>
      <c r="CL242" s="16">
        <v>0</v>
      </c>
      <c r="CM242" s="16">
        <v>0</v>
      </c>
      <c r="CN242" s="16">
        <v>16000</v>
      </c>
      <c r="CO242" s="16">
        <v>0</v>
      </c>
      <c r="CP242" s="16">
        <v>0</v>
      </c>
      <c r="CQ242" s="16"/>
      <c r="CR242" s="16"/>
      <c r="CS242" s="16">
        <v>0</v>
      </c>
      <c r="CT242" s="16">
        <f t="shared" si="368"/>
        <v>0</v>
      </c>
      <c r="CU242" s="16">
        <f t="shared" si="369"/>
        <v>0</v>
      </c>
      <c r="CV242" s="16">
        <v>0</v>
      </c>
      <c r="CW242" s="17">
        <v>0</v>
      </c>
      <c r="CX242" s="40"/>
    </row>
    <row r="243" spans="1:102" ht="15.75" hidden="1" x14ac:dyDescent="0.25">
      <c r="A243" s="13" t="s">
        <v>1</v>
      </c>
      <c r="B243" s="14" t="s">
        <v>1</v>
      </c>
      <c r="C243" s="14" t="s">
        <v>21</v>
      </c>
      <c r="D243" s="30" t="s">
        <v>264</v>
      </c>
      <c r="E243" s="15">
        <f t="shared" si="402"/>
        <v>4518750</v>
      </c>
      <c r="F243" s="16">
        <f t="shared" si="403"/>
        <v>4132904</v>
      </c>
      <c r="G243" s="16">
        <f t="shared" si="404"/>
        <v>4132904</v>
      </c>
      <c r="H243" s="16">
        <f>1171057+3642</f>
        <v>1174699</v>
      </c>
      <c r="I243" s="16">
        <f>292764+910</f>
        <v>293674</v>
      </c>
      <c r="J243" s="16">
        <f t="shared" si="360"/>
        <v>1392500</v>
      </c>
      <c r="K243" s="16">
        <f>503769+23000</f>
        <v>526769</v>
      </c>
      <c r="L243" s="16">
        <v>34492</v>
      </c>
      <c r="M243" s="16">
        <v>68680</v>
      </c>
      <c r="N243" s="16">
        <v>0</v>
      </c>
      <c r="O243" s="16">
        <f>169370+30000</f>
        <v>199370</v>
      </c>
      <c r="P243" s="16">
        <f>346964+216225</f>
        <v>563189</v>
      </c>
      <c r="Q243" s="16">
        <f t="shared" si="361"/>
        <v>31296</v>
      </c>
      <c r="R243" s="16">
        <v>26736</v>
      </c>
      <c r="S243" s="16">
        <v>4560</v>
      </c>
      <c r="T243" s="16">
        <v>0</v>
      </c>
      <c r="U243" s="16">
        <v>40606</v>
      </c>
      <c r="V243" s="16">
        <f t="shared" si="405"/>
        <v>301970</v>
      </c>
      <c r="W243" s="16">
        <v>29360</v>
      </c>
      <c r="X243" s="16">
        <f>75384+1384</f>
        <v>76768</v>
      </c>
      <c r="Y243" s="16">
        <f>135225+8073</f>
        <v>143298</v>
      </c>
      <c r="Z243" s="16">
        <f>33857+5904</f>
        <v>39761</v>
      </c>
      <c r="AA243" s="16">
        <v>8629</v>
      </c>
      <c r="AB243" s="16">
        <v>0</v>
      </c>
      <c r="AC243" s="16">
        <v>0</v>
      </c>
      <c r="AD243" s="16">
        <f>3967+187</f>
        <v>4154</v>
      </c>
      <c r="AE243" s="16">
        <f t="shared" si="406"/>
        <v>898159</v>
      </c>
      <c r="AF243" s="16">
        <v>0</v>
      </c>
      <c r="AG243" s="16">
        <v>70238</v>
      </c>
      <c r="AH243" s="16">
        <f>245938+50000</f>
        <v>295938</v>
      </c>
      <c r="AI243" s="16">
        <v>0</v>
      </c>
      <c r="AJ243" s="16">
        <v>43388</v>
      </c>
      <c r="AK243" s="16">
        <v>0</v>
      </c>
      <c r="AL243" s="16">
        <v>1848</v>
      </c>
      <c r="AM243" s="16">
        <v>22400</v>
      </c>
      <c r="AN243" s="16">
        <v>0</v>
      </c>
      <c r="AO243" s="16">
        <v>0</v>
      </c>
      <c r="AP243" s="16"/>
      <c r="AQ243" s="16">
        <v>0</v>
      </c>
      <c r="AR243" s="16">
        <v>5000</v>
      </c>
      <c r="AS243" s="16">
        <v>78000</v>
      </c>
      <c r="AT243" s="16">
        <v>0</v>
      </c>
      <c r="AU243" s="16">
        <v>0</v>
      </c>
      <c r="AV243" s="16">
        <v>0</v>
      </c>
      <c r="AW243" s="16">
        <v>0</v>
      </c>
      <c r="AX243" s="16">
        <v>0</v>
      </c>
      <c r="AY243" s="16"/>
      <c r="AZ243" s="16">
        <f>254907+126440</f>
        <v>381347</v>
      </c>
      <c r="BA243" s="16">
        <f t="shared" si="407"/>
        <v>0</v>
      </c>
      <c r="BB243" s="16">
        <f t="shared" si="408"/>
        <v>0</v>
      </c>
      <c r="BC243" s="16">
        <v>0</v>
      </c>
      <c r="BD243" s="16">
        <v>0</v>
      </c>
      <c r="BE243" s="16">
        <v>0</v>
      </c>
      <c r="BF243" s="16">
        <f t="shared" si="362"/>
        <v>0</v>
      </c>
      <c r="BG243" s="16">
        <v>0</v>
      </c>
      <c r="BH243" s="16">
        <v>0</v>
      </c>
      <c r="BI243" s="16">
        <v>0</v>
      </c>
      <c r="BJ243" s="16">
        <v>0</v>
      </c>
      <c r="BK243" s="16">
        <f t="shared" si="363"/>
        <v>0</v>
      </c>
      <c r="BL243" s="16">
        <v>0</v>
      </c>
      <c r="BM243" s="16">
        <f t="shared" si="364"/>
        <v>0</v>
      </c>
      <c r="BN243" s="16">
        <v>0</v>
      </c>
      <c r="BO243" s="16">
        <v>0</v>
      </c>
      <c r="BP243" s="16">
        <v>0</v>
      </c>
      <c r="BQ243" s="16">
        <v>0</v>
      </c>
      <c r="BR243" s="16">
        <v>0</v>
      </c>
      <c r="BS243" s="16">
        <v>0</v>
      </c>
      <c r="BT243" s="16">
        <v>0</v>
      </c>
      <c r="BU243" s="16">
        <v>0</v>
      </c>
      <c r="BV243" s="16">
        <v>0</v>
      </c>
      <c r="BW243" s="16">
        <v>0</v>
      </c>
      <c r="BX243" s="16">
        <v>0</v>
      </c>
      <c r="BY243" s="16">
        <f t="shared" si="409"/>
        <v>385846</v>
      </c>
      <c r="BZ243" s="16">
        <f t="shared" si="410"/>
        <v>385846</v>
      </c>
      <c r="CA243" s="16">
        <f t="shared" si="365"/>
        <v>385846</v>
      </c>
      <c r="CB243" s="16">
        <v>0</v>
      </c>
      <c r="CC243" s="16">
        <f>209311+176535</f>
        <v>385846</v>
      </c>
      <c r="CD243" s="16">
        <f t="shared" si="366"/>
        <v>0</v>
      </c>
      <c r="CE243" s="16">
        <v>0</v>
      </c>
      <c r="CF243" s="16">
        <v>0</v>
      </c>
      <c r="CG243" s="16">
        <v>0</v>
      </c>
      <c r="CH243" s="16">
        <v>0</v>
      </c>
      <c r="CI243" s="16">
        <v>0</v>
      </c>
      <c r="CJ243" s="16">
        <v>0</v>
      </c>
      <c r="CK243" s="16">
        <f t="shared" si="367"/>
        <v>0</v>
      </c>
      <c r="CL243" s="16">
        <v>0</v>
      </c>
      <c r="CM243" s="16">
        <v>0</v>
      </c>
      <c r="CN243" s="16">
        <v>0</v>
      </c>
      <c r="CO243" s="16">
        <v>0</v>
      </c>
      <c r="CP243" s="16">
        <v>0</v>
      </c>
      <c r="CQ243" s="16"/>
      <c r="CR243" s="16"/>
      <c r="CS243" s="16">
        <v>0</v>
      </c>
      <c r="CT243" s="16">
        <f t="shared" si="368"/>
        <v>0</v>
      </c>
      <c r="CU243" s="16">
        <f t="shared" si="369"/>
        <v>0</v>
      </c>
      <c r="CV243" s="16">
        <v>0</v>
      </c>
      <c r="CW243" s="17">
        <v>0</v>
      </c>
      <c r="CX243" s="40"/>
    </row>
    <row r="244" spans="1:102" ht="31.5" hidden="1" x14ac:dyDescent="0.25">
      <c r="A244" s="13" t="s">
        <v>1</v>
      </c>
      <c r="B244" s="14" t="s">
        <v>1</v>
      </c>
      <c r="C244" s="14" t="s">
        <v>23</v>
      </c>
      <c r="D244" s="30" t="s">
        <v>267</v>
      </c>
      <c r="E244" s="15">
        <f t="shared" si="402"/>
        <v>10239290</v>
      </c>
      <c r="F244" s="16">
        <f t="shared" si="403"/>
        <v>9767597</v>
      </c>
      <c r="G244" s="16">
        <f t="shared" si="404"/>
        <v>9767597</v>
      </c>
      <c r="H244" s="16">
        <f>3201919-87022</f>
        <v>3114897</v>
      </c>
      <c r="I244" s="16">
        <f>785595-21756</f>
        <v>763839</v>
      </c>
      <c r="J244" s="16">
        <f t="shared" si="360"/>
        <v>2660682</v>
      </c>
      <c r="K244" s="16">
        <v>22772</v>
      </c>
      <c r="L244" s="16">
        <v>64233</v>
      </c>
      <c r="M244" s="16">
        <v>1170842</v>
      </c>
      <c r="N244" s="16">
        <v>0</v>
      </c>
      <c r="O244" s="16">
        <f>656316-20000</f>
        <v>636316</v>
      </c>
      <c r="P244" s="16">
        <f>813679-47160</f>
        <v>766519</v>
      </c>
      <c r="Q244" s="16">
        <f t="shared" si="361"/>
        <v>34044</v>
      </c>
      <c r="R244" s="16">
        <f>35894-1850</f>
        <v>34044</v>
      </c>
      <c r="S244" s="16">
        <v>0</v>
      </c>
      <c r="T244" s="16">
        <v>0</v>
      </c>
      <c r="U244" s="16">
        <f>223302-10080</f>
        <v>213222</v>
      </c>
      <c r="V244" s="16">
        <f t="shared" si="405"/>
        <v>1820593</v>
      </c>
      <c r="W244" s="16">
        <f>39783-3142</f>
        <v>36641</v>
      </c>
      <c r="X244" s="16">
        <f>971707-71062</f>
        <v>900645</v>
      </c>
      <c r="Y244" s="16">
        <f>545053+1549</f>
        <v>546602</v>
      </c>
      <c r="Z244" s="16">
        <f>221669+13109</f>
        <v>234778</v>
      </c>
      <c r="AA244" s="16">
        <f>100678-1436</f>
        <v>99242</v>
      </c>
      <c r="AB244" s="16">
        <v>0</v>
      </c>
      <c r="AC244" s="16">
        <v>0</v>
      </c>
      <c r="AD244" s="16">
        <f>2671+14</f>
        <v>2685</v>
      </c>
      <c r="AE244" s="16">
        <f t="shared" si="406"/>
        <v>1160320</v>
      </c>
      <c r="AF244" s="16">
        <v>0</v>
      </c>
      <c r="AG244" s="16">
        <f>47708-6500</f>
        <v>41208</v>
      </c>
      <c r="AH244" s="16">
        <v>310338</v>
      </c>
      <c r="AI244" s="16">
        <v>60048</v>
      </c>
      <c r="AJ244" s="16">
        <f>117612-7208</f>
        <v>110404</v>
      </c>
      <c r="AK244" s="16">
        <v>0</v>
      </c>
      <c r="AL244" s="16">
        <f>17009-1000</f>
        <v>16009</v>
      </c>
      <c r="AM244" s="16">
        <f>52987-5000</f>
        <v>47987</v>
      </c>
      <c r="AN244" s="16">
        <v>0</v>
      </c>
      <c r="AO244" s="16">
        <v>1076</v>
      </c>
      <c r="AP244" s="16"/>
      <c r="AQ244" s="16">
        <v>0</v>
      </c>
      <c r="AR244" s="16">
        <v>0</v>
      </c>
      <c r="AS244" s="16">
        <v>0</v>
      </c>
      <c r="AT244" s="16">
        <v>0</v>
      </c>
      <c r="AU244" s="16">
        <v>0</v>
      </c>
      <c r="AV244" s="16">
        <v>0</v>
      </c>
      <c r="AW244" s="16">
        <v>0</v>
      </c>
      <c r="AX244" s="16">
        <v>0</v>
      </c>
      <c r="AY244" s="16"/>
      <c r="AZ244" s="16">
        <f>610507-37257</f>
        <v>573250</v>
      </c>
      <c r="BA244" s="16">
        <f t="shared" si="407"/>
        <v>0</v>
      </c>
      <c r="BB244" s="16">
        <f t="shared" si="408"/>
        <v>0</v>
      </c>
      <c r="BC244" s="16">
        <v>0</v>
      </c>
      <c r="BD244" s="16">
        <v>0</v>
      </c>
      <c r="BE244" s="16">
        <v>0</v>
      </c>
      <c r="BF244" s="16">
        <f t="shared" si="362"/>
        <v>0</v>
      </c>
      <c r="BG244" s="16">
        <v>0</v>
      </c>
      <c r="BH244" s="16">
        <v>0</v>
      </c>
      <c r="BI244" s="16">
        <v>0</v>
      </c>
      <c r="BJ244" s="16">
        <v>0</v>
      </c>
      <c r="BK244" s="16">
        <f t="shared" si="363"/>
        <v>0</v>
      </c>
      <c r="BL244" s="16">
        <v>0</v>
      </c>
      <c r="BM244" s="16">
        <f t="shared" si="364"/>
        <v>0</v>
      </c>
      <c r="BN244" s="16">
        <v>0</v>
      </c>
      <c r="BO244" s="16">
        <v>0</v>
      </c>
      <c r="BP244" s="16">
        <v>0</v>
      </c>
      <c r="BQ244" s="16">
        <v>0</v>
      </c>
      <c r="BR244" s="16">
        <v>0</v>
      </c>
      <c r="BS244" s="16">
        <v>0</v>
      </c>
      <c r="BT244" s="16">
        <v>0</v>
      </c>
      <c r="BU244" s="16">
        <v>0</v>
      </c>
      <c r="BV244" s="16">
        <v>0</v>
      </c>
      <c r="BW244" s="16">
        <v>0</v>
      </c>
      <c r="BX244" s="16">
        <v>0</v>
      </c>
      <c r="BY244" s="16">
        <f t="shared" si="409"/>
        <v>471693</v>
      </c>
      <c r="BZ244" s="16">
        <f t="shared" si="410"/>
        <v>471693</v>
      </c>
      <c r="CA244" s="16">
        <f t="shared" si="365"/>
        <v>330420</v>
      </c>
      <c r="CB244" s="16">
        <v>0</v>
      </c>
      <c r="CC244" s="16">
        <v>330420</v>
      </c>
      <c r="CD244" s="16">
        <f t="shared" si="366"/>
        <v>0</v>
      </c>
      <c r="CE244" s="16">
        <v>0</v>
      </c>
      <c r="CF244" s="16">
        <v>0</v>
      </c>
      <c r="CG244" s="16">
        <v>0</v>
      </c>
      <c r="CH244" s="16">
        <v>0</v>
      </c>
      <c r="CI244" s="16">
        <v>0</v>
      </c>
      <c r="CJ244" s="16">
        <v>0</v>
      </c>
      <c r="CK244" s="16">
        <f t="shared" si="367"/>
        <v>141273</v>
      </c>
      <c r="CL244" s="16">
        <v>0</v>
      </c>
      <c r="CM244" s="16">
        <v>0</v>
      </c>
      <c r="CN244" s="16">
        <f>156273-15000</f>
        <v>141273</v>
      </c>
      <c r="CO244" s="16">
        <v>0</v>
      </c>
      <c r="CP244" s="16">
        <v>0</v>
      </c>
      <c r="CQ244" s="16"/>
      <c r="CR244" s="16"/>
      <c r="CS244" s="16">
        <v>0</v>
      </c>
      <c r="CT244" s="16">
        <f t="shared" si="368"/>
        <v>0</v>
      </c>
      <c r="CU244" s="16">
        <f t="shared" si="369"/>
        <v>0</v>
      </c>
      <c r="CV244" s="16">
        <v>0</v>
      </c>
      <c r="CW244" s="17">
        <v>0</v>
      </c>
      <c r="CX244" s="40"/>
    </row>
    <row r="245" spans="1:102" ht="31.5" hidden="1" x14ac:dyDescent="0.25">
      <c r="A245" s="13" t="s">
        <v>1</v>
      </c>
      <c r="B245" s="14" t="s">
        <v>1</v>
      </c>
      <c r="C245" s="14" t="s">
        <v>25</v>
      </c>
      <c r="D245" s="30" t="s">
        <v>268</v>
      </c>
      <c r="E245" s="15">
        <f t="shared" si="402"/>
        <v>1250000</v>
      </c>
      <c r="F245" s="16">
        <f t="shared" si="403"/>
        <v>1222651</v>
      </c>
      <c r="G245" s="16">
        <f t="shared" si="404"/>
        <v>1222651</v>
      </c>
      <c r="H245" s="16">
        <v>309757</v>
      </c>
      <c r="I245" s="16">
        <v>73246</v>
      </c>
      <c r="J245" s="16">
        <f t="shared" si="360"/>
        <v>3057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f>3235-178</f>
        <v>3057</v>
      </c>
      <c r="Q245" s="16">
        <f t="shared" si="361"/>
        <v>0</v>
      </c>
      <c r="R245" s="16">
        <v>0</v>
      </c>
      <c r="S245" s="16">
        <v>0</v>
      </c>
      <c r="T245" s="16">
        <v>0</v>
      </c>
      <c r="U245" s="16">
        <v>8860</v>
      </c>
      <c r="V245" s="16">
        <f t="shared" si="405"/>
        <v>5082</v>
      </c>
      <c r="W245" s="16">
        <v>688</v>
      </c>
      <c r="X245" s="16">
        <f>2133+24</f>
        <v>2157</v>
      </c>
      <c r="Y245" s="16">
        <f>1821+109</f>
        <v>1930</v>
      </c>
      <c r="Z245" s="16">
        <f>262+45</f>
        <v>307</v>
      </c>
      <c r="AA245" s="16">
        <v>0</v>
      </c>
      <c r="AB245" s="16">
        <v>0</v>
      </c>
      <c r="AC245" s="16">
        <v>0</v>
      </c>
      <c r="AD245" s="16">
        <v>0</v>
      </c>
      <c r="AE245" s="16">
        <f t="shared" si="406"/>
        <v>822649</v>
      </c>
      <c r="AF245" s="16">
        <v>0</v>
      </c>
      <c r="AG245" s="16">
        <v>0</v>
      </c>
      <c r="AH245" s="16">
        <v>322</v>
      </c>
      <c r="AI245" s="16">
        <v>0</v>
      </c>
      <c r="AJ245" s="16">
        <v>0</v>
      </c>
      <c r="AK245" s="16">
        <v>0</v>
      </c>
      <c r="AL245" s="16">
        <v>1585</v>
      </c>
      <c r="AM245" s="16">
        <v>820582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160</v>
      </c>
      <c r="AT245" s="16">
        <v>0</v>
      </c>
      <c r="AU245" s="16">
        <v>0</v>
      </c>
      <c r="AV245" s="16">
        <v>0</v>
      </c>
      <c r="AW245" s="16">
        <v>0</v>
      </c>
      <c r="AX245" s="16">
        <v>0</v>
      </c>
      <c r="AY245" s="16">
        <v>0</v>
      </c>
      <c r="AZ245" s="16">
        <v>0</v>
      </c>
      <c r="BA245" s="16">
        <f t="shared" si="407"/>
        <v>0</v>
      </c>
      <c r="BB245" s="16">
        <f t="shared" si="408"/>
        <v>0</v>
      </c>
      <c r="BC245" s="16">
        <v>0</v>
      </c>
      <c r="BD245" s="16">
        <v>0</v>
      </c>
      <c r="BE245" s="16">
        <v>0</v>
      </c>
      <c r="BF245" s="16">
        <f t="shared" si="362"/>
        <v>0</v>
      </c>
      <c r="BG245" s="16">
        <v>0</v>
      </c>
      <c r="BH245" s="16">
        <v>0</v>
      </c>
      <c r="BI245" s="16">
        <v>0</v>
      </c>
      <c r="BJ245" s="16">
        <v>0</v>
      </c>
      <c r="BK245" s="16">
        <f t="shared" si="363"/>
        <v>0</v>
      </c>
      <c r="BL245" s="16">
        <v>0</v>
      </c>
      <c r="BM245" s="16">
        <f t="shared" si="364"/>
        <v>0</v>
      </c>
      <c r="BN245" s="16">
        <v>0</v>
      </c>
      <c r="BO245" s="16">
        <v>0</v>
      </c>
      <c r="BP245" s="16">
        <v>0</v>
      </c>
      <c r="BQ245" s="16">
        <v>0</v>
      </c>
      <c r="BR245" s="16">
        <v>0</v>
      </c>
      <c r="BS245" s="16">
        <v>0</v>
      </c>
      <c r="BT245" s="16">
        <v>0</v>
      </c>
      <c r="BU245" s="16">
        <v>0</v>
      </c>
      <c r="BV245" s="16">
        <v>0</v>
      </c>
      <c r="BW245" s="16">
        <v>0</v>
      </c>
      <c r="BX245" s="16">
        <v>0</v>
      </c>
      <c r="BY245" s="16">
        <f t="shared" si="409"/>
        <v>27349</v>
      </c>
      <c r="BZ245" s="16">
        <f t="shared" si="410"/>
        <v>27349</v>
      </c>
      <c r="CA245" s="16">
        <f t="shared" si="365"/>
        <v>27349</v>
      </c>
      <c r="CB245" s="16">
        <v>0</v>
      </c>
      <c r="CC245" s="16">
        <v>27349</v>
      </c>
      <c r="CD245" s="16">
        <f t="shared" si="366"/>
        <v>0</v>
      </c>
      <c r="CE245" s="16">
        <v>0</v>
      </c>
      <c r="CF245" s="16">
        <v>0</v>
      </c>
      <c r="CG245" s="16">
        <v>0</v>
      </c>
      <c r="CH245" s="16">
        <v>0</v>
      </c>
      <c r="CI245" s="16">
        <v>0</v>
      </c>
      <c r="CJ245" s="16">
        <v>0</v>
      </c>
      <c r="CK245" s="16">
        <f t="shared" si="367"/>
        <v>0</v>
      </c>
      <c r="CL245" s="16">
        <v>0</v>
      </c>
      <c r="CM245" s="16">
        <v>0</v>
      </c>
      <c r="CN245" s="16">
        <v>0</v>
      </c>
      <c r="CO245" s="16">
        <v>0</v>
      </c>
      <c r="CP245" s="16">
        <v>0</v>
      </c>
      <c r="CQ245" s="16">
        <v>0</v>
      </c>
      <c r="CR245" s="16">
        <v>0</v>
      </c>
      <c r="CS245" s="16">
        <v>0</v>
      </c>
      <c r="CT245" s="16">
        <f t="shared" si="368"/>
        <v>0</v>
      </c>
      <c r="CU245" s="16">
        <f t="shared" si="369"/>
        <v>0</v>
      </c>
      <c r="CV245" s="16">
        <v>0</v>
      </c>
      <c r="CW245" s="17">
        <v>0</v>
      </c>
      <c r="CX245" s="40"/>
    </row>
    <row r="246" spans="1:102" ht="15.75" hidden="1" x14ac:dyDescent="0.25">
      <c r="A246" s="13" t="s">
        <v>1</v>
      </c>
      <c r="B246" s="14" t="s">
        <v>1</v>
      </c>
      <c r="C246" s="14" t="s">
        <v>91</v>
      </c>
      <c r="D246" s="30" t="s">
        <v>269</v>
      </c>
      <c r="E246" s="15">
        <f t="shared" si="402"/>
        <v>51341867</v>
      </c>
      <c r="F246" s="16">
        <f t="shared" si="403"/>
        <v>47482995</v>
      </c>
      <c r="G246" s="16">
        <f t="shared" si="404"/>
        <v>47482995</v>
      </c>
      <c r="H246" s="16">
        <f>30643991+470263</f>
        <v>31114254</v>
      </c>
      <c r="I246" s="16">
        <f>2871781+128195</f>
        <v>2999976</v>
      </c>
      <c r="J246" s="16">
        <f t="shared" si="360"/>
        <v>8203757</v>
      </c>
      <c r="K246" s="16">
        <f>111332+50000</f>
        <v>161332</v>
      </c>
      <c r="L246" s="16">
        <f>1681337+30000+100000</f>
        <v>1811337</v>
      </c>
      <c r="M246" s="16">
        <v>410434</v>
      </c>
      <c r="N246" s="16">
        <v>0</v>
      </c>
      <c r="O246" s="16">
        <f>2630665-14082</f>
        <v>2616583</v>
      </c>
      <c r="P246" s="16">
        <f>3082387+21684+100000</f>
        <v>3204071</v>
      </c>
      <c r="Q246" s="16">
        <f t="shared" si="361"/>
        <v>151230</v>
      </c>
      <c r="R246" s="16">
        <v>31230</v>
      </c>
      <c r="S246" s="16">
        <v>120000</v>
      </c>
      <c r="T246" s="16">
        <v>0</v>
      </c>
      <c r="U246" s="16">
        <f>367942+50000</f>
        <v>417942</v>
      </c>
      <c r="V246" s="16">
        <f t="shared" si="405"/>
        <v>499610</v>
      </c>
      <c r="W246" s="16">
        <f>68156+6000</f>
        <v>74156</v>
      </c>
      <c r="X246" s="16">
        <f>193659-62552</f>
        <v>131107</v>
      </c>
      <c r="Y246" s="16">
        <f>146584-3011</f>
        <v>143573</v>
      </c>
      <c r="Z246" s="16">
        <f>81199+14207</f>
        <v>95406</v>
      </c>
      <c r="AA246" s="16">
        <v>26040</v>
      </c>
      <c r="AB246" s="16">
        <v>16724</v>
      </c>
      <c r="AC246" s="16">
        <v>0</v>
      </c>
      <c r="AD246" s="16">
        <f>8536+4068</f>
        <v>12604</v>
      </c>
      <c r="AE246" s="16">
        <f t="shared" si="406"/>
        <v>4096226</v>
      </c>
      <c r="AF246" s="16">
        <v>0</v>
      </c>
      <c r="AG246" s="16">
        <f>225498+40000</f>
        <v>265498</v>
      </c>
      <c r="AH246" s="16">
        <f>701512+589106</f>
        <v>1290618</v>
      </c>
      <c r="AI246" s="16">
        <v>49914</v>
      </c>
      <c r="AJ246" s="16">
        <f>46162+13776</f>
        <v>59938</v>
      </c>
      <c r="AK246" s="16">
        <v>7380</v>
      </c>
      <c r="AL246" s="16">
        <v>8868</v>
      </c>
      <c r="AM246" s="16">
        <v>34163</v>
      </c>
      <c r="AN246" s="16">
        <v>0</v>
      </c>
      <c r="AO246" s="16">
        <v>0</v>
      </c>
      <c r="AP246" s="16">
        <v>0</v>
      </c>
      <c r="AQ246" s="16">
        <f>72307+17000</f>
        <v>89307</v>
      </c>
      <c r="AR246" s="16">
        <v>0</v>
      </c>
      <c r="AS246" s="16">
        <f>109300+10000</f>
        <v>119300</v>
      </c>
      <c r="AT246" s="16">
        <v>0</v>
      </c>
      <c r="AU246" s="16">
        <v>0</v>
      </c>
      <c r="AV246" s="16">
        <v>0</v>
      </c>
      <c r="AW246" s="16">
        <v>1588691</v>
      </c>
      <c r="AX246" s="16">
        <v>0</v>
      </c>
      <c r="AY246" s="16">
        <v>0</v>
      </c>
      <c r="AZ246" s="16">
        <f>532526+20023+30000</f>
        <v>582549</v>
      </c>
      <c r="BA246" s="16">
        <f t="shared" si="407"/>
        <v>0</v>
      </c>
      <c r="BB246" s="16">
        <f t="shared" si="408"/>
        <v>0</v>
      </c>
      <c r="BC246" s="16">
        <v>0</v>
      </c>
      <c r="BD246" s="16">
        <v>0</v>
      </c>
      <c r="BE246" s="16">
        <v>0</v>
      </c>
      <c r="BF246" s="16">
        <f t="shared" si="362"/>
        <v>0</v>
      </c>
      <c r="BG246" s="16">
        <v>0</v>
      </c>
      <c r="BH246" s="16">
        <v>0</v>
      </c>
      <c r="BI246" s="16">
        <v>0</v>
      </c>
      <c r="BJ246" s="16">
        <v>0</v>
      </c>
      <c r="BK246" s="16">
        <f t="shared" si="363"/>
        <v>0</v>
      </c>
      <c r="BL246" s="16">
        <v>0</v>
      </c>
      <c r="BM246" s="16">
        <f t="shared" si="364"/>
        <v>0</v>
      </c>
      <c r="BN246" s="16">
        <v>0</v>
      </c>
      <c r="BO246" s="16">
        <v>0</v>
      </c>
      <c r="BP246" s="16">
        <v>0</v>
      </c>
      <c r="BQ246" s="16">
        <v>0</v>
      </c>
      <c r="BR246" s="16">
        <v>0</v>
      </c>
      <c r="BS246" s="16">
        <v>0</v>
      </c>
      <c r="BT246" s="16">
        <v>0</v>
      </c>
      <c r="BU246" s="16">
        <v>0</v>
      </c>
      <c r="BV246" s="16">
        <v>0</v>
      </c>
      <c r="BW246" s="16">
        <v>0</v>
      </c>
      <c r="BX246" s="16">
        <v>0</v>
      </c>
      <c r="BY246" s="16">
        <f t="shared" si="409"/>
        <v>3858872</v>
      </c>
      <c r="BZ246" s="16">
        <f t="shared" si="410"/>
        <v>3858872</v>
      </c>
      <c r="CA246" s="16">
        <f t="shared" si="365"/>
        <v>1813750</v>
      </c>
      <c r="CB246" s="16">
        <v>0</v>
      </c>
      <c r="CC246" s="16">
        <f>1228526+585224</f>
        <v>1813750</v>
      </c>
      <c r="CD246" s="16">
        <f t="shared" si="366"/>
        <v>800000</v>
      </c>
      <c r="CE246" s="16">
        <v>0</v>
      </c>
      <c r="CF246" s="16">
        <v>0</v>
      </c>
      <c r="CG246" s="16">
        <v>0</v>
      </c>
      <c r="CH246" s="16">
        <v>800000</v>
      </c>
      <c r="CI246" s="16">
        <v>0</v>
      </c>
      <c r="CJ246" s="16">
        <v>0</v>
      </c>
      <c r="CK246" s="16">
        <f t="shared" si="367"/>
        <v>1245122</v>
      </c>
      <c r="CL246" s="16">
        <v>0</v>
      </c>
      <c r="CM246" s="16">
        <v>0</v>
      </c>
      <c r="CN246" s="16">
        <v>0</v>
      </c>
      <c r="CO246" s="16">
        <f>987827-12705+270000</f>
        <v>1245122</v>
      </c>
      <c r="CP246" s="16">
        <v>0</v>
      </c>
      <c r="CQ246" s="16">
        <v>0</v>
      </c>
      <c r="CR246" s="16">
        <v>0</v>
      </c>
      <c r="CS246" s="16">
        <v>0</v>
      </c>
      <c r="CT246" s="16">
        <f t="shared" si="368"/>
        <v>0</v>
      </c>
      <c r="CU246" s="16">
        <f t="shared" si="369"/>
        <v>0</v>
      </c>
      <c r="CV246" s="16">
        <v>0</v>
      </c>
      <c r="CW246" s="17">
        <v>0</v>
      </c>
      <c r="CX246" s="40"/>
    </row>
    <row r="247" spans="1:102" ht="31.5" hidden="1" x14ac:dyDescent="0.25">
      <c r="A247" s="13" t="s">
        <v>1</v>
      </c>
      <c r="B247" s="14" t="s">
        <v>1</v>
      </c>
      <c r="C247" s="14" t="s">
        <v>29</v>
      </c>
      <c r="D247" s="30" t="s">
        <v>273</v>
      </c>
      <c r="E247" s="15">
        <f t="shared" si="402"/>
        <v>3140489</v>
      </c>
      <c r="F247" s="16">
        <f t="shared" si="403"/>
        <v>3050489</v>
      </c>
      <c r="G247" s="16">
        <f t="shared" si="404"/>
        <v>3050489</v>
      </c>
      <c r="H247" s="16">
        <f>899765+77314</f>
        <v>977079</v>
      </c>
      <c r="I247" s="16">
        <f>224941+19328</f>
        <v>244269</v>
      </c>
      <c r="J247" s="16">
        <f>SUM(K247:P247)</f>
        <v>793444</v>
      </c>
      <c r="K247" s="16">
        <v>0</v>
      </c>
      <c r="L247" s="16">
        <v>0</v>
      </c>
      <c r="M247" s="16">
        <v>0</v>
      </c>
      <c r="N247" s="16">
        <v>0</v>
      </c>
      <c r="O247" s="16">
        <f>480000+5000</f>
        <v>485000</v>
      </c>
      <c r="P247" s="16">
        <f>259500+48944</f>
        <v>308444</v>
      </c>
      <c r="Q247" s="16">
        <f>SUM(R247:S247)</f>
        <v>55000</v>
      </c>
      <c r="R247" s="16">
        <v>0</v>
      </c>
      <c r="S247" s="16">
        <v>55000</v>
      </c>
      <c r="T247" s="16">
        <f>25000+1800</f>
        <v>26800</v>
      </c>
      <c r="U247" s="16">
        <v>32000</v>
      </c>
      <c r="V247" s="16">
        <f t="shared" si="405"/>
        <v>51821</v>
      </c>
      <c r="W247" s="16">
        <v>0</v>
      </c>
      <c r="X247" s="16">
        <v>0</v>
      </c>
      <c r="Y247" s="16">
        <f>0+10000</f>
        <v>10000</v>
      </c>
      <c r="Z247" s="16">
        <f>0+11500</f>
        <v>11500</v>
      </c>
      <c r="AA247" s="16">
        <v>23200</v>
      </c>
      <c r="AB247" s="16">
        <f>2000+2400</f>
        <v>4400</v>
      </c>
      <c r="AC247" s="16">
        <v>0</v>
      </c>
      <c r="AD247" s="16">
        <f>2178+543</f>
        <v>2721</v>
      </c>
      <c r="AE247" s="16">
        <f>SUM(AF247:AZ247)</f>
        <v>870076</v>
      </c>
      <c r="AF247" s="16">
        <v>335000</v>
      </c>
      <c r="AG247" s="16">
        <f>12300+11320</f>
        <v>23620</v>
      </c>
      <c r="AH247" s="16">
        <f>55200+30000</f>
        <v>85200</v>
      </c>
      <c r="AI247" s="16">
        <v>0</v>
      </c>
      <c r="AJ247" s="16">
        <v>20268</v>
      </c>
      <c r="AK247" s="16">
        <v>0</v>
      </c>
      <c r="AL247" s="16">
        <f>13400+1500</f>
        <v>14900</v>
      </c>
      <c r="AM247" s="16">
        <v>23000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f>0+4000</f>
        <v>4000</v>
      </c>
      <c r="AT247" s="16">
        <v>0</v>
      </c>
      <c r="AU247" s="16">
        <v>0</v>
      </c>
      <c r="AV247" s="16">
        <v>0</v>
      </c>
      <c r="AW247" s="16">
        <v>0</v>
      </c>
      <c r="AX247" s="16">
        <v>0</v>
      </c>
      <c r="AY247" s="16">
        <v>0</v>
      </c>
      <c r="AZ247" s="16">
        <f>354088+10000</f>
        <v>364088</v>
      </c>
      <c r="BA247" s="16">
        <f t="shared" si="407"/>
        <v>0</v>
      </c>
      <c r="BB247" s="16">
        <f t="shared" si="408"/>
        <v>0</v>
      </c>
      <c r="BC247" s="16">
        <v>0</v>
      </c>
      <c r="BD247" s="16">
        <v>0</v>
      </c>
      <c r="BE247" s="16">
        <v>0</v>
      </c>
      <c r="BF247" s="16">
        <f>SUM(BG247:BH247)</f>
        <v>0</v>
      </c>
      <c r="BG247" s="16">
        <v>0</v>
      </c>
      <c r="BH247" s="16">
        <v>0</v>
      </c>
      <c r="BI247" s="16">
        <v>0</v>
      </c>
      <c r="BJ247" s="16">
        <v>0</v>
      </c>
      <c r="BK247" s="16">
        <f>SUM(BL247)</f>
        <v>0</v>
      </c>
      <c r="BL247" s="16">
        <v>0</v>
      </c>
      <c r="BM247" s="16">
        <f>SUM(BN247:BX247)</f>
        <v>0</v>
      </c>
      <c r="BN247" s="16">
        <v>0</v>
      </c>
      <c r="BO247" s="16">
        <v>0</v>
      </c>
      <c r="BP247" s="16">
        <v>0</v>
      </c>
      <c r="BQ247" s="16">
        <v>0</v>
      </c>
      <c r="BR247" s="16">
        <v>0</v>
      </c>
      <c r="BS247" s="16">
        <v>0</v>
      </c>
      <c r="BT247" s="16">
        <v>0</v>
      </c>
      <c r="BU247" s="16">
        <v>0</v>
      </c>
      <c r="BV247" s="16">
        <v>0</v>
      </c>
      <c r="BW247" s="16">
        <v>0</v>
      </c>
      <c r="BX247" s="16">
        <v>0</v>
      </c>
      <c r="BY247" s="16">
        <f t="shared" si="409"/>
        <v>90000</v>
      </c>
      <c r="BZ247" s="16">
        <f t="shared" si="410"/>
        <v>90000</v>
      </c>
      <c r="CA247" s="16">
        <f>SUM(CB247:CC247)</f>
        <v>90000</v>
      </c>
      <c r="CB247" s="16">
        <v>0</v>
      </c>
      <c r="CC247" s="16">
        <f>60000+30000</f>
        <v>90000</v>
      </c>
      <c r="CD247" s="16">
        <f>SUM(CE247:CI247)</f>
        <v>0</v>
      </c>
      <c r="CE247" s="16">
        <v>0</v>
      </c>
      <c r="CF247" s="16">
        <v>0</v>
      </c>
      <c r="CG247" s="16">
        <v>0</v>
      </c>
      <c r="CH247" s="16">
        <v>0</v>
      </c>
      <c r="CI247" s="16">
        <v>0</v>
      </c>
      <c r="CJ247" s="16">
        <v>0</v>
      </c>
      <c r="CK247" s="16">
        <f>SUM(CL247:CP247)</f>
        <v>0</v>
      </c>
      <c r="CL247" s="16">
        <v>0</v>
      </c>
      <c r="CM247" s="16">
        <v>0</v>
      </c>
      <c r="CN247" s="16">
        <v>0</v>
      </c>
      <c r="CO247" s="16">
        <v>0</v>
      </c>
      <c r="CP247" s="16">
        <v>0</v>
      </c>
      <c r="CQ247" s="16">
        <v>0</v>
      </c>
      <c r="CR247" s="16">
        <v>0</v>
      </c>
      <c r="CS247" s="16">
        <v>0</v>
      </c>
      <c r="CT247" s="16">
        <f>SUM(CU247)</f>
        <v>0</v>
      </c>
      <c r="CU247" s="16">
        <f>SUM(CV247:CW247)</f>
        <v>0</v>
      </c>
      <c r="CV247" s="16">
        <v>0</v>
      </c>
      <c r="CW247" s="17">
        <v>0</v>
      </c>
      <c r="CX247" s="40"/>
    </row>
    <row r="248" spans="1:102" ht="31.5" hidden="1" x14ac:dyDescent="0.25">
      <c r="A248" s="13" t="s">
        <v>1</v>
      </c>
      <c r="B248" s="14" t="s">
        <v>1</v>
      </c>
      <c r="C248" s="14" t="s">
        <v>29</v>
      </c>
      <c r="D248" s="30" t="s">
        <v>274</v>
      </c>
      <c r="E248" s="15">
        <f t="shared" si="402"/>
        <v>26456167</v>
      </c>
      <c r="F248" s="16">
        <f t="shared" si="403"/>
        <v>23981735</v>
      </c>
      <c r="G248" s="16">
        <f t="shared" si="404"/>
        <v>23981735</v>
      </c>
      <c r="H248" s="16">
        <f>2500000+1134995</f>
        <v>3634995</v>
      </c>
      <c r="I248" s="16">
        <f>625000+283748</f>
        <v>908748</v>
      </c>
      <c r="J248" s="16">
        <f>SUM(K248:P248)</f>
        <v>1857226</v>
      </c>
      <c r="K248" s="16">
        <v>0</v>
      </c>
      <c r="L248" s="16">
        <v>200000</v>
      </c>
      <c r="M248" s="16">
        <v>0</v>
      </c>
      <c r="N248" s="16">
        <v>0</v>
      </c>
      <c r="O248" s="16">
        <v>952226</v>
      </c>
      <c r="P248" s="16">
        <v>705000</v>
      </c>
      <c r="Q248" s="16">
        <f>SUM(R248:S248)</f>
        <v>0</v>
      </c>
      <c r="R248" s="16">
        <v>0</v>
      </c>
      <c r="S248" s="16">
        <v>0</v>
      </c>
      <c r="T248" s="16">
        <v>0</v>
      </c>
      <c r="U248" s="16">
        <f>80853+10000</f>
        <v>90853</v>
      </c>
      <c r="V248" s="16">
        <f t="shared" si="405"/>
        <v>15826332</v>
      </c>
      <c r="W248" s="16">
        <v>0</v>
      </c>
      <c r="X248" s="16">
        <f>12473+144</f>
        <v>12617</v>
      </c>
      <c r="Y248" s="16">
        <f>7011562+2000500+6791730</f>
        <v>15803792</v>
      </c>
      <c r="Z248" s="16">
        <f>2668+463</f>
        <v>3131</v>
      </c>
      <c r="AA248" s="16">
        <v>3348</v>
      </c>
      <c r="AB248" s="16">
        <v>0</v>
      </c>
      <c r="AC248" s="16">
        <v>0</v>
      </c>
      <c r="AD248" s="16">
        <f>3289+155</f>
        <v>3444</v>
      </c>
      <c r="AE248" s="16">
        <f>SUM(AF248:AZ248)</f>
        <v>1663581</v>
      </c>
      <c r="AF248" s="16">
        <v>0</v>
      </c>
      <c r="AG248" s="16">
        <v>353062</v>
      </c>
      <c r="AH248" s="16">
        <v>693395</v>
      </c>
      <c r="AI248" s="16">
        <v>0</v>
      </c>
      <c r="AJ248" s="16">
        <v>12729</v>
      </c>
      <c r="AK248" s="16">
        <v>0</v>
      </c>
      <c r="AL248" s="16">
        <f>15099+15000</f>
        <v>30099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0</v>
      </c>
      <c r="AV248" s="16">
        <v>0</v>
      </c>
      <c r="AW248" s="16">
        <v>0</v>
      </c>
      <c r="AX248" s="16">
        <v>0</v>
      </c>
      <c r="AY248" s="16">
        <v>0</v>
      </c>
      <c r="AZ248" s="16">
        <f>929296-355000</f>
        <v>574296</v>
      </c>
      <c r="BA248" s="16">
        <f t="shared" si="407"/>
        <v>0</v>
      </c>
      <c r="BB248" s="16">
        <f t="shared" si="408"/>
        <v>0</v>
      </c>
      <c r="BC248" s="16">
        <v>0</v>
      </c>
      <c r="BD248" s="16">
        <v>0</v>
      </c>
      <c r="BE248" s="16">
        <v>0</v>
      </c>
      <c r="BF248" s="16">
        <f>SUM(BG248:BH248)</f>
        <v>0</v>
      </c>
      <c r="BG248" s="16">
        <v>0</v>
      </c>
      <c r="BH248" s="16">
        <v>0</v>
      </c>
      <c r="BI248" s="16">
        <v>0</v>
      </c>
      <c r="BJ248" s="16">
        <v>0</v>
      </c>
      <c r="BK248" s="16">
        <f>SUM(BL248)</f>
        <v>0</v>
      </c>
      <c r="BL248" s="16">
        <v>0</v>
      </c>
      <c r="BM248" s="16">
        <f>SUM(BN248:BX248)</f>
        <v>0</v>
      </c>
      <c r="BN248" s="16">
        <v>0</v>
      </c>
      <c r="BO248" s="16">
        <v>0</v>
      </c>
      <c r="BP248" s="16">
        <v>0</v>
      </c>
      <c r="BQ248" s="16">
        <v>0</v>
      </c>
      <c r="BR248" s="16">
        <v>0</v>
      </c>
      <c r="BS248" s="16">
        <v>0</v>
      </c>
      <c r="BT248" s="16">
        <v>0</v>
      </c>
      <c r="BU248" s="16">
        <v>0</v>
      </c>
      <c r="BV248" s="16">
        <v>0</v>
      </c>
      <c r="BW248" s="16">
        <v>0</v>
      </c>
      <c r="BX248" s="16">
        <v>0</v>
      </c>
      <c r="BY248" s="16">
        <f t="shared" si="409"/>
        <v>2474432</v>
      </c>
      <c r="BZ248" s="16">
        <f t="shared" si="410"/>
        <v>2474432</v>
      </c>
      <c r="CA248" s="16">
        <f>SUM(CB248:CC248)</f>
        <v>1400000</v>
      </c>
      <c r="CB248" s="16">
        <f>0+1000000</f>
        <v>1000000</v>
      </c>
      <c r="CC248" s="16">
        <v>400000</v>
      </c>
      <c r="CD248" s="16">
        <f>SUM(CE248:CI248)</f>
        <v>0</v>
      </c>
      <c r="CE248" s="16">
        <v>0</v>
      </c>
      <c r="CF248" s="16">
        <v>0</v>
      </c>
      <c r="CG248" s="16">
        <v>0</v>
      </c>
      <c r="CH248" s="16">
        <v>0</v>
      </c>
      <c r="CI248" s="16">
        <v>0</v>
      </c>
      <c r="CJ248" s="16">
        <v>0</v>
      </c>
      <c r="CK248" s="16">
        <f>SUM(CL248:CP248)</f>
        <v>1074432</v>
      </c>
      <c r="CL248" s="16">
        <v>0</v>
      </c>
      <c r="CM248" s="16">
        <v>0</v>
      </c>
      <c r="CN248" s="16">
        <f>0+355000</f>
        <v>355000</v>
      </c>
      <c r="CO248" s="16">
        <v>0</v>
      </c>
      <c r="CP248" s="16">
        <f>0+719432</f>
        <v>719432</v>
      </c>
      <c r="CQ248" s="16">
        <v>0</v>
      </c>
      <c r="CR248" s="16">
        <v>0</v>
      </c>
      <c r="CS248" s="16">
        <v>0</v>
      </c>
      <c r="CT248" s="16">
        <f>SUM(CU248)</f>
        <v>0</v>
      </c>
      <c r="CU248" s="16">
        <f>SUM(CV248:CW248)</f>
        <v>0</v>
      </c>
      <c r="CV248" s="16">
        <v>0</v>
      </c>
      <c r="CW248" s="17">
        <v>0</v>
      </c>
      <c r="CX248" s="40"/>
    </row>
    <row r="249" spans="1:102" ht="31.5" hidden="1" x14ac:dyDescent="0.25">
      <c r="A249" s="13" t="s">
        <v>1</v>
      </c>
      <c r="B249" s="14" t="s">
        <v>1</v>
      </c>
      <c r="C249" s="14" t="s">
        <v>29</v>
      </c>
      <c r="D249" s="30" t="s">
        <v>272</v>
      </c>
      <c r="E249" s="15">
        <f t="shared" si="402"/>
        <v>14296150</v>
      </c>
      <c r="F249" s="16">
        <f t="shared" si="403"/>
        <v>13257331</v>
      </c>
      <c r="G249" s="16">
        <f t="shared" si="404"/>
        <v>13257331</v>
      </c>
      <c r="H249" s="16">
        <f>4216619+641490</f>
        <v>4858109</v>
      </c>
      <c r="I249" s="16">
        <f>1054155+160372</f>
        <v>1214527</v>
      </c>
      <c r="J249" s="16">
        <f t="shared" si="360"/>
        <v>3649943</v>
      </c>
      <c r="K249" s="16">
        <v>1500000</v>
      </c>
      <c r="L249" s="16">
        <v>0</v>
      </c>
      <c r="M249" s="16">
        <v>5000</v>
      </c>
      <c r="N249" s="16">
        <v>0</v>
      </c>
      <c r="O249" s="16">
        <f>863921+350000</f>
        <v>1213921</v>
      </c>
      <c r="P249" s="16">
        <f>572022+359000</f>
        <v>931022</v>
      </c>
      <c r="Q249" s="16">
        <f t="shared" si="361"/>
        <v>41526</v>
      </c>
      <c r="R249" s="16">
        <v>400</v>
      </c>
      <c r="S249" s="16">
        <v>41126</v>
      </c>
      <c r="T249" s="16">
        <v>0</v>
      </c>
      <c r="U249" s="16">
        <v>116016</v>
      </c>
      <c r="V249" s="16">
        <f t="shared" si="405"/>
        <v>299415</v>
      </c>
      <c r="W249" s="16">
        <v>0</v>
      </c>
      <c r="X249" s="16">
        <f>77845+13814</f>
        <v>91659</v>
      </c>
      <c r="Y249" s="16">
        <f>91975+30491</f>
        <v>122466</v>
      </c>
      <c r="Z249" s="16">
        <f>5832+15015</f>
        <v>20847</v>
      </c>
      <c r="AA249" s="16">
        <v>26818</v>
      </c>
      <c r="AB249" s="16">
        <v>2000</v>
      </c>
      <c r="AC249" s="16">
        <v>0</v>
      </c>
      <c r="AD249" s="16">
        <f>20128+15497</f>
        <v>35625</v>
      </c>
      <c r="AE249" s="16">
        <f t="shared" si="406"/>
        <v>3077795</v>
      </c>
      <c r="AF249" s="16">
        <v>0</v>
      </c>
      <c r="AG249" s="16">
        <f>50600+50000</f>
        <v>100600</v>
      </c>
      <c r="AH249" s="16">
        <f>999956+700000</f>
        <v>1699956</v>
      </c>
      <c r="AI249" s="16">
        <v>0</v>
      </c>
      <c r="AJ249" s="16">
        <f>31562+20000</f>
        <v>51562</v>
      </c>
      <c r="AK249" s="16">
        <v>0</v>
      </c>
      <c r="AL249" s="16">
        <v>41126</v>
      </c>
      <c r="AM249" s="16">
        <v>200000</v>
      </c>
      <c r="AN249" s="16">
        <v>0</v>
      </c>
      <c r="AO249" s="16">
        <v>0</v>
      </c>
      <c r="AP249" s="16">
        <v>0</v>
      </c>
      <c r="AQ249" s="16">
        <v>0</v>
      </c>
      <c r="AR249" s="16">
        <f>46774+21000</f>
        <v>67774</v>
      </c>
      <c r="AS249" s="16">
        <v>0</v>
      </c>
      <c r="AT249" s="16">
        <v>0</v>
      </c>
      <c r="AU249" s="16">
        <v>0</v>
      </c>
      <c r="AV249" s="16">
        <v>0</v>
      </c>
      <c r="AW249" s="16">
        <v>0</v>
      </c>
      <c r="AX249" s="16">
        <v>0</v>
      </c>
      <c r="AY249" s="16">
        <v>0</v>
      </c>
      <c r="AZ249" s="16">
        <f>2716777-1800000</f>
        <v>916777</v>
      </c>
      <c r="BA249" s="16">
        <f t="shared" si="407"/>
        <v>0</v>
      </c>
      <c r="BB249" s="16">
        <f t="shared" si="408"/>
        <v>0</v>
      </c>
      <c r="BC249" s="16">
        <v>0</v>
      </c>
      <c r="BD249" s="16">
        <v>0</v>
      </c>
      <c r="BE249" s="16">
        <v>0</v>
      </c>
      <c r="BF249" s="16">
        <f t="shared" si="362"/>
        <v>0</v>
      </c>
      <c r="BG249" s="16">
        <v>0</v>
      </c>
      <c r="BH249" s="16">
        <v>0</v>
      </c>
      <c r="BI249" s="16">
        <v>0</v>
      </c>
      <c r="BJ249" s="16">
        <v>0</v>
      </c>
      <c r="BK249" s="16">
        <f t="shared" si="363"/>
        <v>0</v>
      </c>
      <c r="BL249" s="16">
        <v>0</v>
      </c>
      <c r="BM249" s="16">
        <f t="shared" si="364"/>
        <v>0</v>
      </c>
      <c r="BN249" s="16">
        <v>0</v>
      </c>
      <c r="BO249" s="16">
        <v>0</v>
      </c>
      <c r="BP249" s="16">
        <v>0</v>
      </c>
      <c r="BQ249" s="16">
        <v>0</v>
      </c>
      <c r="BR249" s="16">
        <v>0</v>
      </c>
      <c r="BS249" s="16">
        <v>0</v>
      </c>
      <c r="BT249" s="16">
        <v>0</v>
      </c>
      <c r="BU249" s="16">
        <v>0</v>
      </c>
      <c r="BV249" s="16">
        <v>0</v>
      </c>
      <c r="BW249" s="16">
        <v>0</v>
      </c>
      <c r="BX249" s="16">
        <v>0</v>
      </c>
      <c r="BY249" s="16">
        <f t="shared" si="409"/>
        <v>1038819</v>
      </c>
      <c r="BZ249" s="16">
        <f t="shared" si="410"/>
        <v>1038819</v>
      </c>
      <c r="CA249" s="16">
        <f t="shared" si="365"/>
        <v>1038819</v>
      </c>
      <c r="CB249" s="16">
        <v>0</v>
      </c>
      <c r="CC249" s="16">
        <f>496284+242535+300000</f>
        <v>1038819</v>
      </c>
      <c r="CD249" s="16">
        <f t="shared" si="366"/>
        <v>0</v>
      </c>
      <c r="CE249" s="16">
        <v>0</v>
      </c>
      <c r="CF249" s="16">
        <v>0</v>
      </c>
      <c r="CG249" s="16">
        <v>0</v>
      </c>
      <c r="CH249" s="16">
        <v>0</v>
      </c>
      <c r="CI249" s="16">
        <v>0</v>
      </c>
      <c r="CJ249" s="16">
        <v>0</v>
      </c>
      <c r="CK249" s="16">
        <f t="shared" si="367"/>
        <v>0</v>
      </c>
      <c r="CL249" s="16">
        <v>0</v>
      </c>
      <c r="CM249" s="16">
        <v>0</v>
      </c>
      <c r="CN249" s="16">
        <v>0</v>
      </c>
      <c r="CO249" s="16">
        <v>0</v>
      </c>
      <c r="CP249" s="16">
        <v>0</v>
      </c>
      <c r="CQ249" s="16">
        <v>0</v>
      </c>
      <c r="CR249" s="16">
        <v>0</v>
      </c>
      <c r="CS249" s="16">
        <v>0</v>
      </c>
      <c r="CT249" s="16">
        <f t="shared" si="368"/>
        <v>0</v>
      </c>
      <c r="CU249" s="16">
        <f t="shared" si="369"/>
        <v>0</v>
      </c>
      <c r="CV249" s="16">
        <v>0</v>
      </c>
      <c r="CW249" s="17">
        <v>0</v>
      </c>
      <c r="CX249" s="40"/>
    </row>
    <row r="250" spans="1:102" ht="31.5" hidden="1" x14ac:dyDescent="0.25">
      <c r="A250" s="13" t="s">
        <v>1</v>
      </c>
      <c r="B250" s="14" t="s">
        <v>1</v>
      </c>
      <c r="C250" s="14" t="s">
        <v>29</v>
      </c>
      <c r="D250" s="30" t="s">
        <v>271</v>
      </c>
      <c r="E250" s="15">
        <f t="shared" si="402"/>
        <v>158264</v>
      </c>
      <c r="F250" s="16">
        <f t="shared" si="403"/>
        <v>147489</v>
      </c>
      <c r="G250" s="16">
        <f t="shared" si="404"/>
        <v>147489</v>
      </c>
      <c r="H250" s="16">
        <v>8000</v>
      </c>
      <c r="I250" s="16">
        <v>2000</v>
      </c>
      <c r="J250" s="16">
        <f>SUM(K250:P250)</f>
        <v>88743</v>
      </c>
      <c r="K250" s="16">
        <v>0</v>
      </c>
      <c r="L250" s="16">
        <v>5478</v>
      </c>
      <c r="M250" s="16">
        <v>9502</v>
      </c>
      <c r="N250" s="16">
        <v>2513</v>
      </c>
      <c r="O250" s="16">
        <f>22026+8000</f>
        <v>30026</v>
      </c>
      <c r="P250" s="16">
        <f>37224+4000</f>
        <v>41224</v>
      </c>
      <c r="Q250" s="16">
        <f>SUM(R250:S250)</f>
        <v>2071</v>
      </c>
      <c r="R250" s="16">
        <v>2071</v>
      </c>
      <c r="S250" s="16">
        <v>0</v>
      </c>
      <c r="T250" s="16">
        <v>0</v>
      </c>
      <c r="U250" s="16">
        <v>9788</v>
      </c>
      <c r="V250" s="16">
        <f t="shared" si="405"/>
        <v>12691</v>
      </c>
      <c r="W250" s="16">
        <f>2000+1000</f>
        <v>3000</v>
      </c>
      <c r="X250" s="16">
        <v>0</v>
      </c>
      <c r="Y250" s="16">
        <v>0</v>
      </c>
      <c r="Z250" s="16">
        <f>3008+524</f>
        <v>3532</v>
      </c>
      <c r="AA250" s="16">
        <v>1507</v>
      </c>
      <c r="AB250" s="16">
        <v>1440</v>
      </c>
      <c r="AC250" s="16">
        <v>0</v>
      </c>
      <c r="AD250" s="16">
        <f>3027+185</f>
        <v>3212</v>
      </c>
      <c r="AE250" s="16">
        <f>SUM(AF250:AZ250)</f>
        <v>24196</v>
      </c>
      <c r="AF250" s="16">
        <v>0</v>
      </c>
      <c r="AG250" s="16">
        <v>98</v>
      </c>
      <c r="AH250" s="16">
        <v>0</v>
      </c>
      <c r="AI250" s="16">
        <v>0</v>
      </c>
      <c r="AJ250" s="16">
        <v>2004</v>
      </c>
      <c r="AK250" s="16">
        <v>0</v>
      </c>
      <c r="AL250" s="16">
        <v>1300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16">
        <v>0</v>
      </c>
      <c r="AZ250" s="16">
        <f>8684+12110</f>
        <v>20794</v>
      </c>
      <c r="BA250" s="16">
        <f t="shared" si="407"/>
        <v>0</v>
      </c>
      <c r="BB250" s="16">
        <f t="shared" si="408"/>
        <v>0</v>
      </c>
      <c r="BC250" s="16">
        <v>0</v>
      </c>
      <c r="BD250" s="16">
        <v>0</v>
      </c>
      <c r="BE250" s="16">
        <v>0</v>
      </c>
      <c r="BF250" s="16">
        <f>SUM(BG250:BH250)</f>
        <v>0</v>
      </c>
      <c r="BG250" s="16">
        <v>0</v>
      </c>
      <c r="BH250" s="16">
        <v>0</v>
      </c>
      <c r="BI250" s="16">
        <v>0</v>
      </c>
      <c r="BJ250" s="16">
        <v>0</v>
      </c>
      <c r="BK250" s="16">
        <f>SUM(BL250)</f>
        <v>0</v>
      </c>
      <c r="BL250" s="16">
        <v>0</v>
      </c>
      <c r="BM250" s="16">
        <f>SUM(BN250:BX250)</f>
        <v>0</v>
      </c>
      <c r="BN250" s="16">
        <v>0</v>
      </c>
      <c r="BO250" s="16">
        <v>0</v>
      </c>
      <c r="BP250" s="16">
        <v>0</v>
      </c>
      <c r="BQ250" s="16">
        <v>0</v>
      </c>
      <c r="BR250" s="16">
        <v>0</v>
      </c>
      <c r="BS250" s="16">
        <v>0</v>
      </c>
      <c r="BT250" s="16">
        <v>0</v>
      </c>
      <c r="BU250" s="16">
        <v>0</v>
      </c>
      <c r="BV250" s="16">
        <v>0</v>
      </c>
      <c r="BW250" s="16">
        <v>0</v>
      </c>
      <c r="BX250" s="16">
        <v>0</v>
      </c>
      <c r="BY250" s="16">
        <f t="shared" si="409"/>
        <v>10775</v>
      </c>
      <c r="BZ250" s="16">
        <f t="shared" si="410"/>
        <v>10775</v>
      </c>
      <c r="CA250" s="16">
        <f>SUM(CB250:CC250)</f>
        <v>10775</v>
      </c>
      <c r="CB250" s="16">
        <v>0</v>
      </c>
      <c r="CC250" s="16">
        <f>7775+3000</f>
        <v>10775</v>
      </c>
      <c r="CD250" s="16">
        <f>SUM(CE250:CI250)</f>
        <v>0</v>
      </c>
      <c r="CE250" s="16">
        <v>0</v>
      </c>
      <c r="CF250" s="16">
        <v>0</v>
      </c>
      <c r="CG250" s="16">
        <v>0</v>
      </c>
      <c r="CH250" s="16">
        <v>0</v>
      </c>
      <c r="CI250" s="16">
        <v>0</v>
      </c>
      <c r="CJ250" s="16">
        <v>0</v>
      </c>
      <c r="CK250" s="16">
        <f>SUM(CL250:CP250)</f>
        <v>0</v>
      </c>
      <c r="CL250" s="16">
        <v>0</v>
      </c>
      <c r="CM250" s="16">
        <v>0</v>
      </c>
      <c r="CN250" s="16">
        <v>0</v>
      </c>
      <c r="CO250" s="16">
        <v>0</v>
      </c>
      <c r="CP250" s="16">
        <v>0</v>
      </c>
      <c r="CQ250" s="16">
        <v>0</v>
      </c>
      <c r="CR250" s="16">
        <v>0</v>
      </c>
      <c r="CS250" s="16">
        <v>0</v>
      </c>
      <c r="CT250" s="16">
        <f>SUM(CU250)</f>
        <v>0</v>
      </c>
      <c r="CU250" s="16">
        <f>SUM(CV250:CW250)</f>
        <v>0</v>
      </c>
      <c r="CV250" s="16">
        <v>0</v>
      </c>
      <c r="CW250" s="17">
        <v>0</v>
      </c>
      <c r="CX250" s="40"/>
    </row>
    <row r="251" spans="1:102" ht="15.75" hidden="1" x14ac:dyDescent="0.25">
      <c r="A251" s="13" t="s">
        <v>1</v>
      </c>
      <c r="B251" s="14" t="s">
        <v>1</v>
      </c>
      <c r="C251" s="14" t="s">
        <v>275</v>
      </c>
      <c r="D251" s="30" t="s">
        <v>276</v>
      </c>
      <c r="E251" s="15">
        <f t="shared" si="402"/>
        <v>3510616</v>
      </c>
      <c r="F251" s="16">
        <f t="shared" si="403"/>
        <v>2892061</v>
      </c>
      <c r="G251" s="16">
        <f t="shared" si="404"/>
        <v>2892061</v>
      </c>
      <c r="H251" s="16">
        <v>1633226</v>
      </c>
      <c r="I251" s="16">
        <v>386622</v>
      </c>
      <c r="J251" s="16">
        <f t="shared" si="360"/>
        <v>370000</v>
      </c>
      <c r="K251" s="16">
        <v>0</v>
      </c>
      <c r="L251" s="16">
        <v>0</v>
      </c>
      <c r="M251" s="16">
        <v>0</v>
      </c>
      <c r="N251" s="16">
        <v>0</v>
      </c>
      <c r="O251" s="16">
        <v>120000</v>
      </c>
      <c r="P251" s="16">
        <v>250000</v>
      </c>
      <c r="Q251" s="16">
        <f t="shared" si="361"/>
        <v>10000</v>
      </c>
      <c r="R251" s="16">
        <v>0</v>
      </c>
      <c r="S251" s="16">
        <v>10000</v>
      </c>
      <c r="T251" s="16">
        <v>0</v>
      </c>
      <c r="U251" s="16">
        <v>30800</v>
      </c>
      <c r="V251" s="16">
        <f t="shared" si="405"/>
        <v>81193</v>
      </c>
      <c r="W251" s="16">
        <v>0</v>
      </c>
      <c r="X251" s="16">
        <f>48841+563</f>
        <v>49404</v>
      </c>
      <c r="Y251" s="16">
        <f>21861+446</f>
        <v>22307</v>
      </c>
      <c r="Z251" s="16">
        <f>2965+517</f>
        <v>3482</v>
      </c>
      <c r="AA251" s="16">
        <v>6000</v>
      </c>
      <c r="AB251" s="16">
        <v>0</v>
      </c>
      <c r="AC251" s="16">
        <v>0</v>
      </c>
      <c r="AD251" s="16">
        <v>0</v>
      </c>
      <c r="AE251" s="16">
        <f t="shared" si="406"/>
        <v>380220</v>
      </c>
      <c r="AF251" s="16">
        <v>0</v>
      </c>
      <c r="AG251" s="16">
        <f>60000+135340</f>
        <v>195340</v>
      </c>
      <c r="AH251" s="16">
        <v>100880</v>
      </c>
      <c r="AI251" s="16">
        <v>0</v>
      </c>
      <c r="AJ251" s="16">
        <v>4000</v>
      </c>
      <c r="AK251" s="16">
        <v>0</v>
      </c>
      <c r="AL251" s="16">
        <v>20000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10000</v>
      </c>
      <c r="AT251" s="16">
        <v>0</v>
      </c>
      <c r="AU251" s="16">
        <v>0</v>
      </c>
      <c r="AV251" s="16">
        <v>0</v>
      </c>
      <c r="AW251" s="16">
        <v>0</v>
      </c>
      <c r="AX251" s="16">
        <v>0</v>
      </c>
      <c r="AY251" s="16">
        <v>0</v>
      </c>
      <c r="AZ251" s="16">
        <v>50000</v>
      </c>
      <c r="BA251" s="16">
        <f t="shared" si="407"/>
        <v>0</v>
      </c>
      <c r="BB251" s="16">
        <f t="shared" si="408"/>
        <v>0</v>
      </c>
      <c r="BC251" s="16">
        <v>0</v>
      </c>
      <c r="BD251" s="16">
        <v>0</v>
      </c>
      <c r="BE251" s="16">
        <v>0</v>
      </c>
      <c r="BF251" s="16">
        <f t="shared" si="362"/>
        <v>0</v>
      </c>
      <c r="BG251" s="16">
        <v>0</v>
      </c>
      <c r="BH251" s="16">
        <v>0</v>
      </c>
      <c r="BI251" s="16">
        <v>0</v>
      </c>
      <c r="BJ251" s="16">
        <v>0</v>
      </c>
      <c r="BK251" s="16">
        <f t="shared" si="363"/>
        <v>0</v>
      </c>
      <c r="BL251" s="16">
        <v>0</v>
      </c>
      <c r="BM251" s="16">
        <f t="shared" si="364"/>
        <v>0</v>
      </c>
      <c r="BN251" s="16">
        <v>0</v>
      </c>
      <c r="BO251" s="16">
        <v>0</v>
      </c>
      <c r="BP251" s="16">
        <v>0</v>
      </c>
      <c r="BQ251" s="16">
        <v>0</v>
      </c>
      <c r="BR251" s="16">
        <v>0</v>
      </c>
      <c r="BS251" s="16">
        <v>0</v>
      </c>
      <c r="BT251" s="16">
        <v>0</v>
      </c>
      <c r="BU251" s="16">
        <v>0</v>
      </c>
      <c r="BV251" s="16">
        <v>0</v>
      </c>
      <c r="BW251" s="16">
        <v>0</v>
      </c>
      <c r="BX251" s="16">
        <v>0</v>
      </c>
      <c r="BY251" s="16">
        <f t="shared" si="409"/>
        <v>618555</v>
      </c>
      <c r="BZ251" s="16">
        <f t="shared" si="410"/>
        <v>618555</v>
      </c>
      <c r="CA251" s="16">
        <f t="shared" si="365"/>
        <v>618555</v>
      </c>
      <c r="CB251" s="16">
        <v>0</v>
      </c>
      <c r="CC251" s="16">
        <f>218555+400000</f>
        <v>618555</v>
      </c>
      <c r="CD251" s="16">
        <f t="shared" si="366"/>
        <v>0</v>
      </c>
      <c r="CE251" s="16">
        <v>0</v>
      </c>
      <c r="CF251" s="16">
        <v>0</v>
      </c>
      <c r="CG251" s="16">
        <v>0</v>
      </c>
      <c r="CH251" s="16">
        <v>0</v>
      </c>
      <c r="CI251" s="16">
        <v>0</v>
      </c>
      <c r="CJ251" s="16">
        <v>0</v>
      </c>
      <c r="CK251" s="16">
        <f t="shared" si="367"/>
        <v>0</v>
      </c>
      <c r="CL251" s="16">
        <v>0</v>
      </c>
      <c r="CM251" s="16">
        <v>0</v>
      </c>
      <c r="CN251" s="16">
        <v>0</v>
      </c>
      <c r="CO251" s="16">
        <v>0</v>
      </c>
      <c r="CP251" s="16">
        <v>0</v>
      </c>
      <c r="CQ251" s="16">
        <v>0</v>
      </c>
      <c r="CR251" s="16">
        <v>0</v>
      </c>
      <c r="CS251" s="16">
        <v>0</v>
      </c>
      <c r="CT251" s="16">
        <f t="shared" si="368"/>
        <v>0</v>
      </c>
      <c r="CU251" s="16">
        <f t="shared" si="369"/>
        <v>0</v>
      </c>
      <c r="CV251" s="16">
        <v>0</v>
      </c>
      <c r="CW251" s="17">
        <v>0</v>
      </c>
      <c r="CX251" s="40"/>
    </row>
    <row r="252" spans="1:102" ht="15.75" hidden="1" x14ac:dyDescent="0.25">
      <c r="A252" s="13" t="s">
        <v>1</v>
      </c>
      <c r="B252" s="14" t="s">
        <v>1</v>
      </c>
      <c r="C252" s="14" t="s">
        <v>122</v>
      </c>
      <c r="D252" s="30" t="s">
        <v>543</v>
      </c>
      <c r="E252" s="15">
        <f t="shared" si="402"/>
        <v>7749506</v>
      </c>
      <c r="F252" s="16">
        <f t="shared" si="403"/>
        <v>7749506</v>
      </c>
      <c r="G252" s="16">
        <f t="shared" si="404"/>
        <v>7749506</v>
      </c>
      <c r="H252" s="16">
        <v>0</v>
      </c>
      <c r="I252" s="16">
        <v>0</v>
      </c>
      <c r="J252" s="16">
        <f>SUM(K252:P252)</f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f>SUM(R252:S252)</f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f t="shared" si="405"/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f>SUM(AF252:AZ252)</f>
        <v>7749506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/>
      <c r="AQ252" s="16">
        <v>0</v>
      </c>
      <c r="AR252" s="16">
        <v>0</v>
      </c>
      <c r="AS252" s="16">
        <v>0</v>
      </c>
      <c r="AT252" s="16">
        <v>0</v>
      </c>
      <c r="AU252" s="16">
        <v>0</v>
      </c>
      <c r="AV252" s="16">
        <v>0</v>
      </c>
      <c r="AW252" s="16">
        <v>0</v>
      </c>
      <c r="AX252" s="16">
        <v>0</v>
      </c>
      <c r="AY252" s="16">
        <v>0</v>
      </c>
      <c r="AZ252" s="16">
        <f>7749506</f>
        <v>7749506</v>
      </c>
      <c r="BA252" s="16">
        <f t="shared" si="407"/>
        <v>0</v>
      </c>
      <c r="BB252" s="16">
        <f t="shared" si="408"/>
        <v>0</v>
      </c>
      <c r="BC252" s="16">
        <v>0</v>
      </c>
      <c r="BD252" s="16">
        <v>0</v>
      </c>
      <c r="BE252" s="16">
        <v>0</v>
      </c>
      <c r="BF252" s="16">
        <f>SUM(BG252:BH252)</f>
        <v>0</v>
      </c>
      <c r="BG252" s="16">
        <v>0</v>
      </c>
      <c r="BH252" s="16">
        <v>0</v>
      </c>
      <c r="BI252" s="16">
        <v>0</v>
      </c>
      <c r="BJ252" s="16">
        <v>0</v>
      </c>
      <c r="BK252" s="16">
        <f>SUM(BL252)</f>
        <v>0</v>
      </c>
      <c r="BL252" s="16">
        <v>0</v>
      </c>
      <c r="BM252" s="16">
        <f>SUM(BN252:BX252)</f>
        <v>0</v>
      </c>
      <c r="BN252" s="16">
        <v>0</v>
      </c>
      <c r="BO252" s="16">
        <v>0</v>
      </c>
      <c r="BP252" s="16">
        <v>0</v>
      </c>
      <c r="BQ252" s="16">
        <v>0</v>
      </c>
      <c r="BR252" s="16">
        <v>0</v>
      </c>
      <c r="BS252" s="16">
        <v>0</v>
      </c>
      <c r="BT252" s="16">
        <v>0</v>
      </c>
      <c r="BU252" s="16">
        <v>0</v>
      </c>
      <c r="BV252" s="16">
        <v>0</v>
      </c>
      <c r="BW252" s="16">
        <v>0</v>
      </c>
      <c r="BX252" s="16">
        <v>0</v>
      </c>
      <c r="BY252" s="16">
        <f t="shared" si="409"/>
        <v>0</v>
      </c>
      <c r="BZ252" s="16">
        <f t="shared" si="410"/>
        <v>0</v>
      </c>
      <c r="CA252" s="16">
        <f>SUM(CB252:CC252)</f>
        <v>0</v>
      </c>
      <c r="CB252" s="16">
        <v>0</v>
      </c>
      <c r="CC252" s="16"/>
      <c r="CD252" s="16">
        <f>SUM(CE252:CI252)</f>
        <v>0</v>
      </c>
      <c r="CE252" s="16">
        <v>0</v>
      </c>
      <c r="CF252" s="16">
        <v>0</v>
      </c>
      <c r="CG252" s="16">
        <v>0</v>
      </c>
      <c r="CH252" s="16">
        <v>0</v>
      </c>
      <c r="CI252" s="16">
        <v>0</v>
      </c>
      <c r="CJ252" s="16">
        <v>0</v>
      </c>
      <c r="CK252" s="16">
        <f>SUM(CL252:CP252)</f>
        <v>0</v>
      </c>
      <c r="CL252" s="16">
        <v>0</v>
      </c>
      <c r="CM252" s="16">
        <v>0</v>
      </c>
      <c r="CN252" s="16"/>
      <c r="CO252" s="16">
        <v>0</v>
      </c>
      <c r="CP252" s="16">
        <v>0</v>
      </c>
      <c r="CQ252" s="16">
        <v>0</v>
      </c>
      <c r="CR252" s="16">
        <v>0</v>
      </c>
      <c r="CS252" s="16">
        <v>0</v>
      </c>
      <c r="CT252" s="16">
        <f>SUM(CU252)</f>
        <v>0</v>
      </c>
      <c r="CU252" s="16">
        <f>SUM(CV252:CW252)</f>
        <v>0</v>
      </c>
      <c r="CV252" s="16">
        <v>0</v>
      </c>
      <c r="CW252" s="17">
        <v>0</v>
      </c>
      <c r="CX252" s="40"/>
    </row>
    <row r="253" spans="1:102" ht="15.75" hidden="1" x14ac:dyDescent="0.25">
      <c r="A253" s="13" t="s">
        <v>1</v>
      </c>
      <c r="B253" s="14" t="s">
        <v>1</v>
      </c>
      <c r="C253" s="14" t="s">
        <v>122</v>
      </c>
      <c r="D253" s="30" t="s">
        <v>277</v>
      </c>
      <c r="E253" s="15">
        <f t="shared" si="402"/>
        <v>46587933</v>
      </c>
      <c r="F253" s="16">
        <f t="shared" si="403"/>
        <v>40973940</v>
      </c>
      <c r="G253" s="16">
        <f t="shared" si="404"/>
        <v>40968940</v>
      </c>
      <c r="H253" s="16">
        <f>23500000+75807</f>
        <v>23575807</v>
      </c>
      <c r="I253" s="16">
        <f>5875000+21756</f>
        <v>5896756</v>
      </c>
      <c r="J253" s="16">
        <f t="shared" si="360"/>
        <v>4089992</v>
      </c>
      <c r="K253" s="16">
        <f>10600+10000</f>
        <v>20600</v>
      </c>
      <c r="L253" s="16">
        <v>170500</v>
      </c>
      <c r="M253" s="16">
        <f>2290000-210844</f>
        <v>2079156</v>
      </c>
      <c r="N253" s="16">
        <v>0</v>
      </c>
      <c r="O253" s="16">
        <f>825700+47589</f>
        <v>873289</v>
      </c>
      <c r="P253" s="16">
        <f>1175000-228553</f>
        <v>946447</v>
      </c>
      <c r="Q253" s="16">
        <f t="shared" si="361"/>
        <v>250978</v>
      </c>
      <c r="R253" s="16">
        <f>25000+1850</f>
        <v>26850</v>
      </c>
      <c r="S253" s="16">
        <f>210000+14128</f>
        <v>224128</v>
      </c>
      <c r="T253" s="16">
        <v>0</v>
      </c>
      <c r="U253" s="16">
        <f>313086+15080</f>
        <v>328166</v>
      </c>
      <c r="V253" s="16">
        <f t="shared" si="405"/>
        <v>2982304</v>
      </c>
      <c r="W253" s="16">
        <f>432627+8892</f>
        <v>441519</v>
      </c>
      <c r="X253" s="16">
        <f>1413123+96769</f>
        <v>1509892</v>
      </c>
      <c r="Y253" s="16">
        <f>468973+31355</f>
        <v>500328</v>
      </c>
      <c r="Z253" s="16">
        <f>208209+26450</f>
        <v>234659</v>
      </c>
      <c r="AA253" s="16">
        <f>120985+16436</f>
        <v>137421</v>
      </c>
      <c r="AB253" s="16">
        <v>158149</v>
      </c>
      <c r="AC253" s="16">
        <v>0</v>
      </c>
      <c r="AD253" s="16">
        <v>336</v>
      </c>
      <c r="AE253" s="16">
        <f t="shared" si="406"/>
        <v>3844937</v>
      </c>
      <c r="AF253" s="16">
        <v>0</v>
      </c>
      <c r="AG253" s="16">
        <f>323077+6343</f>
        <v>329420</v>
      </c>
      <c r="AH253" s="16">
        <f>230717+55000</f>
        <v>285717</v>
      </c>
      <c r="AI253" s="16">
        <f>649346+96561</f>
        <v>745907</v>
      </c>
      <c r="AJ253" s="16">
        <f>318100+7208</f>
        <v>325308</v>
      </c>
      <c r="AK253" s="16">
        <v>0</v>
      </c>
      <c r="AL253" s="16">
        <f>235000+1000</f>
        <v>236000</v>
      </c>
      <c r="AM253" s="16">
        <f>449324+5000</f>
        <v>454324</v>
      </c>
      <c r="AN253" s="16">
        <v>0</v>
      </c>
      <c r="AO253" s="16">
        <v>19559</v>
      </c>
      <c r="AP253" s="16">
        <f>0+873452</f>
        <v>873452</v>
      </c>
      <c r="AQ253" s="16">
        <v>0</v>
      </c>
      <c r="AR253" s="16">
        <v>0</v>
      </c>
      <c r="AS253" s="16">
        <v>0</v>
      </c>
      <c r="AT253" s="16">
        <v>0</v>
      </c>
      <c r="AU253" s="16">
        <v>0</v>
      </c>
      <c r="AV253" s="16">
        <v>0</v>
      </c>
      <c r="AW253" s="16">
        <v>0</v>
      </c>
      <c r="AX253" s="16">
        <v>0</v>
      </c>
      <c r="AY253" s="16"/>
      <c r="AZ253" s="16">
        <f>613176-37926</f>
        <v>575250</v>
      </c>
      <c r="BA253" s="16">
        <f t="shared" si="407"/>
        <v>5000</v>
      </c>
      <c r="BB253" s="16">
        <f t="shared" si="408"/>
        <v>0</v>
      </c>
      <c r="BC253" s="16">
        <v>0</v>
      </c>
      <c r="BD253" s="16">
        <v>0</v>
      </c>
      <c r="BE253" s="16">
        <v>0</v>
      </c>
      <c r="BF253" s="16">
        <f t="shared" si="362"/>
        <v>0</v>
      </c>
      <c r="BG253" s="16">
        <v>0</v>
      </c>
      <c r="BH253" s="16">
        <v>0</v>
      </c>
      <c r="BI253" s="16">
        <v>0</v>
      </c>
      <c r="BJ253" s="16">
        <v>0</v>
      </c>
      <c r="BK253" s="16">
        <f t="shared" si="363"/>
        <v>0</v>
      </c>
      <c r="BL253" s="16">
        <v>0</v>
      </c>
      <c r="BM253" s="16">
        <f t="shared" si="364"/>
        <v>5000</v>
      </c>
      <c r="BN253" s="16">
        <v>0</v>
      </c>
      <c r="BO253" s="16">
        <v>0</v>
      </c>
      <c r="BP253" s="16">
        <v>5000</v>
      </c>
      <c r="BQ253" s="16">
        <v>0</v>
      </c>
      <c r="BR253" s="16">
        <v>0</v>
      </c>
      <c r="BS253" s="16">
        <v>0</v>
      </c>
      <c r="BT253" s="16">
        <v>0</v>
      </c>
      <c r="BU253" s="16">
        <v>0</v>
      </c>
      <c r="BV253" s="16">
        <v>0</v>
      </c>
      <c r="BW253" s="16">
        <v>0</v>
      </c>
      <c r="BX253" s="16">
        <v>0</v>
      </c>
      <c r="BY253" s="16">
        <f t="shared" si="409"/>
        <v>5613993</v>
      </c>
      <c r="BZ253" s="16">
        <f t="shared" si="410"/>
        <v>5613993</v>
      </c>
      <c r="CA253" s="16">
        <f t="shared" si="365"/>
        <v>2534907</v>
      </c>
      <c r="CB253" s="16">
        <v>0</v>
      </c>
      <c r="CC253" s="16">
        <f>2350000+184907</f>
        <v>2534907</v>
      </c>
      <c r="CD253" s="16">
        <f t="shared" si="366"/>
        <v>0</v>
      </c>
      <c r="CE253" s="16">
        <v>0</v>
      </c>
      <c r="CF253" s="16">
        <v>0</v>
      </c>
      <c r="CG253" s="16">
        <v>0</v>
      </c>
      <c r="CH253" s="16">
        <v>0</v>
      </c>
      <c r="CI253" s="16">
        <v>0</v>
      </c>
      <c r="CJ253" s="16">
        <v>0</v>
      </c>
      <c r="CK253" s="16">
        <f t="shared" si="367"/>
        <v>3079086</v>
      </c>
      <c r="CL253" s="16">
        <v>0</v>
      </c>
      <c r="CM253" s="16">
        <v>0</v>
      </c>
      <c r="CN253" s="16">
        <f>2967125+111961</f>
        <v>3079086</v>
      </c>
      <c r="CO253" s="16">
        <v>0</v>
      </c>
      <c r="CP253" s="16">
        <v>0</v>
      </c>
      <c r="CQ253" s="16"/>
      <c r="CR253" s="16"/>
      <c r="CS253" s="16">
        <v>0</v>
      </c>
      <c r="CT253" s="16">
        <f t="shared" si="368"/>
        <v>0</v>
      </c>
      <c r="CU253" s="16">
        <f t="shared" si="369"/>
        <v>0</v>
      </c>
      <c r="CV253" s="16">
        <v>0</v>
      </c>
      <c r="CW253" s="17">
        <v>0</v>
      </c>
      <c r="CX253" s="40"/>
    </row>
    <row r="254" spans="1:102" ht="15.75" hidden="1" x14ac:dyDescent="0.25">
      <c r="A254" s="13" t="s">
        <v>1</v>
      </c>
      <c r="B254" s="14" t="s">
        <v>1</v>
      </c>
      <c r="C254" s="14" t="s">
        <v>93</v>
      </c>
      <c r="D254" s="30" t="s">
        <v>278</v>
      </c>
      <c r="E254" s="15">
        <f t="shared" si="402"/>
        <v>1500000</v>
      </c>
      <c r="F254" s="16">
        <f t="shared" si="403"/>
        <v>1400000</v>
      </c>
      <c r="G254" s="16">
        <f t="shared" si="404"/>
        <v>1400000</v>
      </c>
      <c r="H254" s="16">
        <v>395400</v>
      </c>
      <c r="I254" s="16">
        <v>86988</v>
      </c>
      <c r="J254" s="16">
        <f t="shared" si="360"/>
        <v>470000</v>
      </c>
      <c r="K254" s="16">
        <v>0</v>
      </c>
      <c r="L254" s="16">
        <v>100000</v>
      </c>
      <c r="M254" s="16">
        <v>0</v>
      </c>
      <c r="N254" s="16">
        <v>0</v>
      </c>
      <c r="O254" s="16">
        <v>120000</v>
      </c>
      <c r="P254" s="16">
        <v>250000</v>
      </c>
      <c r="Q254" s="16">
        <f t="shared" si="361"/>
        <v>0</v>
      </c>
      <c r="R254" s="16">
        <v>0</v>
      </c>
      <c r="S254" s="16">
        <v>0</v>
      </c>
      <c r="T254" s="16">
        <v>0</v>
      </c>
      <c r="U254" s="16">
        <v>50000</v>
      </c>
      <c r="V254" s="16">
        <f t="shared" si="405"/>
        <v>20096</v>
      </c>
      <c r="W254" s="16">
        <v>4585</v>
      </c>
      <c r="X254" s="16">
        <f>4292+49</f>
        <v>4341</v>
      </c>
      <c r="Y254" s="16">
        <f>5213+311</f>
        <v>5524</v>
      </c>
      <c r="Z254" s="16">
        <f>4099+715</f>
        <v>4814</v>
      </c>
      <c r="AA254" s="16">
        <v>630</v>
      </c>
      <c r="AB254" s="16">
        <v>0</v>
      </c>
      <c r="AC254" s="16">
        <v>0</v>
      </c>
      <c r="AD254" s="16">
        <f>193+9</f>
        <v>202</v>
      </c>
      <c r="AE254" s="16">
        <f t="shared" si="406"/>
        <v>377516</v>
      </c>
      <c r="AF254" s="16">
        <v>0</v>
      </c>
      <c r="AG254" s="16">
        <v>40000</v>
      </c>
      <c r="AH254" s="16">
        <v>57000</v>
      </c>
      <c r="AI254" s="16">
        <v>0</v>
      </c>
      <c r="AJ254" s="16">
        <v>1600</v>
      </c>
      <c r="AK254" s="16">
        <v>0</v>
      </c>
      <c r="AL254" s="16">
        <v>2000</v>
      </c>
      <c r="AM254" s="16">
        <v>0</v>
      </c>
      <c r="AN254" s="16">
        <v>15000</v>
      </c>
      <c r="AO254" s="16">
        <v>0</v>
      </c>
      <c r="AP254" s="16">
        <v>0</v>
      </c>
      <c r="AQ254" s="16">
        <v>0</v>
      </c>
      <c r="AR254" s="16">
        <v>13000</v>
      </c>
      <c r="AS254" s="16">
        <v>0</v>
      </c>
      <c r="AT254" s="16">
        <v>0</v>
      </c>
      <c r="AU254" s="16">
        <v>0</v>
      </c>
      <c r="AV254" s="16">
        <v>0</v>
      </c>
      <c r="AW254" s="16">
        <v>0</v>
      </c>
      <c r="AX254" s="16">
        <v>0</v>
      </c>
      <c r="AY254" s="16">
        <v>0</v>
      </c>
      <c r="AZ254" s="16">
        <f>250000-1084</f>
        <v>248916</v>
      </c>
      <c r="BA254" s="16">
        <f t="shared" si="407"/>
        <v>0</v>
      </c>
      <c r="BB254" s="16">
        <f t="shared" si="408"/>
        <v>0</v>
      </c>
      <c r="BC254" s="16">
        <v>0</v>
      </c>
      <c r="BD254" s="16">
        <v>0</v>
      </c>
      <c r="BE254" s="16">
        <v>0</v>
      </c>
      <c r="BF254" s="16">
        <f t="shared" si="362"/>
        <v>0</v>
      </c>
      <c r="BG254" s="16">
        <v>0</v>
      </c>
      <c r="BH254" s="16">
        <v>0</v>
      </c>
      <c r="BI254" s="16">
        <v>0</v>
      </c>
      <c r="BJ254" s="16">
        <v>0</v>
      </c>
      <c r="BK254" s="16">
        <f t="shared" si="363"/>
        <v>0</v>
      </c>
      <c r="BL254" s="16">
        <v>0</v>
      </c>
      <c r="BM254" s="16">
        <f t="shared" si="364"/>
        <v>0</v>
      </c>
      <c r="BN254" s="16">
        <v>0</v>
      </c>
      <c r="BO254" s="16">
        <v>0</v>
      </c>
      <c r="BP254" s="16">
        <v>0</v>
      </c>
      <c r="BQ254" s="16">
        <v>0</v>
      </c>
      <c r="BR254" s="16">
        <v>0</v>
      </c>
      <c r="BS254" s="16">
        <v>0</v>
      </c>
      <c r="BT254" s="16">
        <v>0</v>
      </c>
      <c r="BU254" s="16">
        <v>0</v>
      </c>
      <c r="BV254" s="16">
        <v>0</v>
      </c>
      <c r="BW254" s="16">
        <v>0</v>
      </c>
      <c r="BX254" s="16">
        <v>0</v>
      </c>
      <c r="BY254" s="16">
        <f t="shared" si="409"/>
        <v>100000</v>
      </c>
      <c r="BZ254" s="16">
        <f t="shared" si="410"/>
        <v>100000</v>
      </c>
      <c r="CA254" s="16">
        <f t="shared" si="365"/>
        <v>100000</v>
      </c>
      <c r="CB254" s="16">
        <v>0</v>
      </c>
      <c r="CC254" s="16">
        <v>100000</v>
      </c>
      <c r="CD254" s="16">
        <f t="shared" si="366"/>
        <v>0</v>
      </c>
      <c r="CE254" s="16">
        <v>0</v>
      </c>
      <c r="CF254" s="16">
        <v>0</v>
      </c>
      <c r="CG254" s="16">
        <v>0</v>
      </c>
      <c r="CH254" s="16">
        <v>0</v>
      </c>
      <c r="CI254" s="16">
        <v>0</v>
      </c>
      <c r="CJ254" s="16">
        <v>0</v>
      </c>
      <c r="CK254" s="16">
        <f t="shared" si="367"/>
        <v>0</v>
      </c>
      <c r="CL254" s="16">
        <v>0</v>
      </c>
      <c r="CM254" s="16">
        <v>0</v>
      </c>
      <c r="CN254" s="16">
        <v>0</v>
      </c>
      <c r="CO254" s="16">
        <v>0</v>
      </c>
      <c r="CP254" s="16">
        <v>0</v>
      </c>
      <c r="CQ254" s="16">
        <v>0</v>
      </c>
      <c r="CR254" s="16">
        <v>0</v>
      </c>
      <c r="CS254" s="16">
        <v>0</v>
      </c>
      <c r="CT254" s="16">
        <f t="shared" si="368"/>
        <v>0</v>
      </c>
      <c r="CU254" s="16">
        <f t="shared" si="369"/>
        <v>0</v>
      </c>
      <c r="CV254" s="16">
        <v>0</v>
      </c>
      <c r="CW254" s="17">
        <v>0</v>
      </c>
      <c r="CX254" s="40"/>
    </row>
    <row r="255" spans="1:102" ht="15.75" hidden="1" x14ac:dyDescent="0.25">
      <c r="A255" s="13" t="s">
        <v>1</v>
      </c>
      <c r="B255" s="14" t="s">
        <v>1</v>
      </c>
      <c r="C255" s="14" t="s">
        <v>95</v>
      </c>
      <c r="D255" s="30" t="s">
        <v>279</v>
      </c>
      <c r="E255" s="15">
        <f t="shared" si="402"/>
        <v>7415904</v>
      </c>
      <c r="F255" s="16">
        <f t="shared" si="403"/>
        <v>7075241</v>
      </c>
      <c r="G255" s="16">
        <f t="shared" si="404"/>
        <v>7075241</v>
      </c>
      <c r="H255" s="16">
        <v>943522</v>
      </c>
      <c r="I255" s="16">
        <v>183377</v>
      </c>
      <c r="J255" s="16">
        <f t="shared" si="360"/>
        <v>3395441</v>
      </c>
      <c r="K255" s="16">
        <v>68040</v>
      </c>
      <c r="L255" s="16">
        <v>18840</v>
      </c>
      <c r="M255" s="16">
        <v>81840</v>
      </c>
      <c r="N255" s="16">
        <v>0</v>
      </c>
      <c r="O255" s="16">
        <v>947365</v>
      </c>
      <c r="P255" s="16">
        <f>1871012+408344</f>
        <v>2279356</v>
      </c>
      <c r="Q255" s="16">
        <f t="shared" si="361"/>
        <v>4000</v>
      </c>
      <c r="R255" s="16">
        <v>4000</v>
      </c>
      <c r="S255" s="16">
        <v>0</v>
      </c>
      <c r="T255" s="16">
        <v>195729</v>
      </c>
      <c r="U255" s="16">
        <v>18500</v>
      </c>
      <c r="V255" s="16">
        <f t="shared" si="405"/>
        <v>345739</v>
      </c>
      <c r="W255" s="16">
        <v>129002</v>
      </c>
      <c r="X255" s="16">
        <v>0</v>
      </c>
      <c r="Y255" s="16">
        <f>70795-5528</f>
        <v>65267</v>
      </c>
      <c r="Z255" s="16">
        <f>48508-6408</f>
        <v>42100</v>
      </c>
      <c r="AA255" s="16">
        <v>45144</v>
      </c>
      <c r="AB255" s="16">
        <v>0</v>
      </c>
      <c r="AC255" s="16">
        <v>0</v>
      </c>
      <c r="AD255" s="16">
        <v>64226</v>
      </c>
      <c r="AE255" s="16">
        <f t="shared" si="406"/>
        <v>1988933</v>
      </c>
      <c r="AF255" s="16">
        <v>0</v>
      </c>
      <c r="AG255" s="16">
        <v>38900</v>
      </c>
      <c r="AH255" s="16">
        <v>512251</v>
      </c>
      <c r="AI255" s="16">
        <v>0</v>
      </c>
      <c r="AJ255" s="16">
        <v>11950</v>
      </c>
      <c r="AK255" s="16">
        <v>8000</v>
      </c>
      <c r="AL255" s="16">
        <v>0</v>
      </c>
      <c r="AM255" s="16">
        <v>19100</v>
      </c>
      <c r="AN255" s="16">
        <v>0</v>
      </c>
      <c r="AO255" s="16">
        <v>0</v>
      </c>
      <c r="AP255" s="16">
        <v>0</v>
      </c>
      <c r="AQ255" s="16">
        <v>12000</v>
      </c>
      <c r="AR255" s="16">
        <v>0</v>
      </c>
      <c r="AS255" s="16">
        <v>0</v>
      </c>
      <c r="AT255" s="16">
        <v>0</v>
      </c>
      <c r="AU255" s="16">
        <v>0</v>
      </c>
      <c r="AV255" s="16">
        <v>0</v>
      </c>
      <c r="AW255" s="16">
        <v>11684</v>
      </c>
      <c r="AX255" s="16">
        <v>0</v>
      </c>
      <c r="AY255" s="16">
        <v>0</v>
      </c>
      <c r="AZ255" s="16">
        <f>763112+611936</f>
        <v>1375048</v>
      </c>
      <c r="BA255" s="16">
        <f t="shared" si="407"/>
        <v>0</v>
      </c>
      <c r="BB255" s="16">
        <f t="shared" si="408"/>
        <v>0</v>
      </c>
      <c r="BC255" s="16">
        <v>0</v>
      </c>
      <c r="BD255" s="16">
        <v>0</v>
      </c>
      <c r="BE255" s="16">
        <v>0</v>
      </c>
      <c r="BF255" s="16">
        <f t="shared" si="362"/>
        <v>0</v>
      </c>
      <c r="BG255" s="16">
        <v>0</v>
      </c>
      <c r="BH255" s="16">
        <v>0</v>
      </c>
      <c r="BI255" s="16">
        <v>0</v>
      </c>
      <c r="BJ255" s="16">
        <v>0</v>
      </c>
      <c r="BK255" s="16">
        <f t="shared" si="363"/>
        <v>0</v>
      </c>
      <c r="BL255" s="16">
        <v>0</v>
      </c>
      <c r="BM255" s="16">
        <f t="shared" si="364"/>
        <v>0</v>
      </c>
      <c r="BN255" s="16">
        <v>0</v>
      </c>
      <c r="BO255" s="16">
        <v>0</v>
      </c>
      <c r="BP255" s="16">
        <v>0</v>
      </c>
      <c r="BQ255" s="16">
        <v>0</v>
      </c>
      <c r="BR255" s="16">
        <v>0</v>
      </c>
      <c r="BS255" s="16">
        <v>0</v>
      </c>
      <c r="BT255" s="16">
        <v>0</v>
      </c>
      <c r="BU255" s="16">
        <v>0</v>
      </c>
      <c r="BV255" s="16">
        <v>0</v>
      </c>
      <c r="BW255" s="16">
        <v>0</v>
      </c>
      <c r="BX255" s="16">
        <v>0</v>
      </c>
      <c r="BY255" s="16">
        <f t="shared" si="409"/>
        <v>340663</v>
      </c>
      <c r="BZ255" s="16">
        <f t="shared" si="410"/>
        <v>340663</v>
      </c>
      <c r="CA255" s="16">
        <f t="shared" si="365"/>
        <v>340663</v>
      </c>
      <c r="CB255" s="16">
        <v>0</v>
      </c>
      <c r="CC255" s="16">
        <v>340663</v>
      </c>
      <c r="CD255" s="16">
        <f t="shared" si="366"/>
        <v>0</v>
      </c>
      <c r="CE255" s="16">
        <v>0</v>
      </c>
      <c r="CF255" s="16">
        <v>0</v>
      </c>
      <c r="CG255" s="16">
        <v>0</v>
      </c>
      <c r="CH255" s="16">
        <v>0</v>
      </c>
      <c r="CI255" s="16">
        <v>0</v>
      </c>
      <c r="CJ255" s="16">
        <v>0</v>
      </c>
      <c r="CK255" s="16">
        <f t="shared" si="367"/>
        <v>0</v>
      </c>
      <c r="CL255" s="16">
        <v>0</v>
      </c>
      <c r="CM255" s="16">
        <v>0</v>
      </c>
      <c r="CN255" s="16">
        <v>0</v>
      </c>
      <c r="CO255" s="16">
        <v>0</v>
      </c>
      <c r="CP255" s="16">
        <v>0</v>
      </c>
      <c r="CQ255" s="16">
        <v>0</v>
      </c>
      <c r="CR255" s="16">
        <v>0</v>
      </c>
      <c r="CS255" s="16">
        <v>0</v>
      </c>
      <c r="CT255" s="16">
        <f t="shared" si="368"/>
        <v>0</v>
      </c>
      <c r="CU255" s="16">
        <f t="shared" si="369"/>
        <v>0</v>
      </c>
      <c r="CV255" s="16">
        <v>0</v>
      </c>
      <c r="CW255" s="17">
        <v>0</v>
      </c>
      <c r="CX255" s="40"/>
    </row>
    <row r="256" spans="1:102" ht="15.75" hidden="1" x14ac:dyDescent="0.25">
      <c r="A256" s="13" t="s">
        <v>1</v>
      </c>
      <c r="B256" s="14" t="s">
        <v>1</v>
      </c>
      <c r="C256" s="14" t="s">
        <v>31</v>
      </c>
      <c r="D256" s="30" t="s">
        <v>280</v>
      </c>
      <c r="E256" s="15">
        <f t="shared" si="402"/>
        <v>553293</v>
      </c>
      <c r="F256" s="16">
        <f t="shared" si="403"/>
        <v>521150</v>
      </c>
      <c r="G256" s="16">
        <f t="shared" si="404"/>
        <v>521150</v>
      </c>
      <c r="H256" s="16">
        <v>21431</v>
      </c>
      <c r="I256" s="16">
        <v>5358</v>
      </c>
      <c r="J256" s="16">
        <f t="shared" si="360"/>
        <v>93684</v>
      </c>
      <c r="K256" s="16">
        <v>5201</v>
      </c>
      <c r="L256" s="16">
        <v>0</v>
      </c>
      <c r="M256" s="16">
        <v>0</v>
      </c>
      <c r="N256" s="16">
        <v>0</v>
      </c>
      <c r="O256" s="16">
        <v>0</v>
      </c>
      <c r="P256" s="16">
        <f>58483+30000</f>
        <v>88483</v>
      </c>
      <c r="Q256" s="16">
        <f t="shared" si="361"/>
        <v>0</v>
      </c>
      <c r="R256" s="16">
        <v>0</v>
      </c>
      <c r="S256" s="16">
        <v>0</v>
      </c>
      <c r="T256" s="16">
        <v>0</v>
      </c>
      <c r="U256" s="16">
        <f>7538+1000</f>
        <v>8538</v>
      </c>
      <c r="V256" s="16">
        <f t="shared" si="405"/>
        <v>95619</v>
      </c>
      <c r="W256" s="16">
        <f>5272+2000</f>
        <v>7272</v>
      </c>
      <c r="X256" s="16">
        <f>65569+756</f>
        <v>66325</v>
      </c>
      <c r="Y256" s="16">
        <f>11620+694</f>
        <v>12314</v>
      </c>
      <c r="Z256" s="16">
        <f>6988+1215</f>
        <v>8203</v>
      </c>
      <c r="AA256" s="16">
        <v>1505</v>
      </c>
      <c r="AB256" s="16">
        <v>0</v>
      </c>
      <c r="AC256" s="16">
        <v>0</v>
      </c>
      <c r="AD256" s="16">
        <v>0</v>
      </c>
      <c r="AE256" s="16">
        <f t="shared" si="406"/>
        <v>296520</v>
      </c>
      <c r="AF256" s="16">
        <v>0</v>
      </c>
      <c r="AG256" s="16">
        <f>3070+1000</f>
        <v>4070</v>
      </c>
      <c r="AH256" s="16">
        <v>177962</v>
      </c>
      <c r="AI256" s="16">
        <v>0</v>
      </c>
      <c r="AJ256" s="16">
        <v>1591</v>
      </c>
      <c r="AK256" s="16">
        <v>0</v>
      </c>
      <c r="AL256" s="16">
        <v>214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16">
        <v>0</v>
      </c>
      <c r="AU256" s="16">
        <v>0</v>
      </c>
      <c r="AV256" s="16">
        <v>0</v>
      </c>
      <c r="AW256" s="16">
        <v>0</v>
      </c>
      <c r="AX256" s="16">
        <v>0</v>
      </c>
      <c r="AY256" s="16">
        <v>0</v>
      </c>
      <c r="AZ256" s="16">
        <f>77753+34930</f>
        <v>112683</v>
      </c>
      <c r="BA256" s="16">
        <f t="shared" si="407"/>
        <v>0</v>
      </c>
      <c r="BB256" s="16">
        <f t="shared" si="408"/>
        <v>0</v>
      </c>
      <c r="BC256" s="16">
        <v>0</v>
      </c>
      <c r="BD256" s="16">
        <v>0</v>
      </c>
      <c r="BE256" s="16">
        <v>0</v>
      </c>
      <c r="BF256" s="16">
        <f t="shared" si="362"/>
        <v>0</v>
      </c>
      <c r="BG256" s="16">
        <v>0</v>
      </c>
      <c r="BH256" s="16">
        <v>0</v>
      </c>
      <c r="BI256" s="16">
        <v>0</v>
      </c>
      <c r="BJ256" s="16">
        <v>0</v>
      </c>
      <c r="BK256" s="16">
        <f t="shared" si="363"/>
        <v>0</v>
      </c>
      <c r="BL256" s="16">
        <v>0</v>
      </c>
      <c r="BM256" s="16">
        <f t="shared" si="364"/>
        <v>0</v>
      </c>
      <c r="BN256" s="16">
        <v>0</v>
      </c>
      <c r="BO256" s="16">
        <v>0</v>
      </c>
      <c r="BP256" s="16">
        <v>0</v>
      </c>
      <c r="BQ256" s="16">
        <v>0</v>
      </c>
      <c r="BR256" s="16">
        <v>0</v>
      </c>
      <c r="BS256" s="16">
        <v>0</v>
      </c>
      <c r="BT256" s="16">
        <v>0</v>
      </c>
      <c r="BU256" s="16">
        <v>0</v>
      </c>
      <c r="BV256" s="16">
        <v>0</v>
      </c>
      <c r="BW256" s="16">
        <v>0</v>
      </c>
      <c r="BX256" s="16">
        <v>0</v>
      </c>
      <c r="BY256" s="16">
        <f t="shared" si="409"/>
        <v>32143</v>
      </c>
      <c r="BZ256" s="16">
        <f t="shared" si="410"/>
        <v>32143</v>
      </c>
      <c r="CA256" s="16">
        <f t="shared" si="365"/>
        <v>32143</v>
      </c>
      <c r="CB256" s="16">
        <v>0</v>
      </c>
      <c r="CC256" s="16">
        <f>2143+30000</f>
        <v>32143</v>
      </c>
      <c r="CD256" s="16">
        <f t="shared" si="366"/>
        <v>0</v>
      </c>
      <c r="CE256" s="16">
        <v>0</v>
      </c>
      <c r="CF256" s="16">
        <v>0</v>
      </c>
      <c r="CG256" s="16">
        <v>0</v>
      </c>
      <c r="CH256" s="16">
        <v>0</v>
      </c>
      <c r="CI256" s="16">
        <v>0</v>
      </c>
      <c r="CJ256" s="16">
        <v>0</v>
      </c>
      <c r="CK256" s="16">
        <f t="shared" si="367"/>
        <v>0</v>
      </c>
      <c r="CL256" s="16">
        <v>0</v>
      </c>
      <c r="CM256" s="16">
        <v>0</v>
      </c>
      <c r="CN256" s="16">
        <v>0</v>
      </c>
      <c r="CO256" s="16">
        <v>0</v>
      </c>
      <c r="CP256" s="16">
        <v>0</v>
      </c>
      <c r="CQ256" s="16">
        <v>0</v>
      </c>
      <c r="CR256" s="16">
        <v>0</v>
      </c>
      <c r="CS256" s="16">
        <v>0</v>
      </c>
      <c r="CT256" s="16">
        <f t="shared" si="368"/>
        <v>0</v>
      </c>
      <c r="CU256" s="16">
        <f t="shared" si="369"/>
        <v>0</v>
      </c>
      <c r="CV256" s="16">
        <v>0</v>
      </c>
      <c r="CW256" s="17">
        <v>0</v>
      </c>
      <c r="CX256" s="40"/>
    </row>
    <row r="257" spans="1:102" ht="15.75" hidden="1" x14ac:dyDescent="0.25">
      <c r="A257" s="13" t="s">
        <v>1</v>
      </c>
      <c r="B257" s="14" t="s">
        <v>1</v>
      </c>
      <c r="C257" s="14" t="s">
        <v>33</v>
      </c>
      <c r="D257" s="30" t="s">
        <v>282</v>
      </c>
      <c r="E257" s="15">
        <f t="shared" si="402"/>
        <v>569556</v>
      </c>
      <c r="F257" s="16">
        <f t="shared" si="403"/>
        <v>520285</v>
      </c>
      <c r="G257" s="16">
        <f t="shared" si="404"/>
        <v>520285</v>
      </c>
      <c r="H257" s="16">
        <v>25000</v>
      </c>
      <c r="I257" s="16">
        <f>6250+2</f>
        <v>6252</v>
      </c>
      <c r="J257" s="16">
        <f t="shared" si="360"/>
        <v>146163</v>
      </c>
      <c r="K257" s="16">
        <v>1800</v>
      </c>
      <c r="L257" s="16">
        <v>0</v>
      </c>
      <c r="M257" s="16">
        <v>0</v>
      </c>
      <c r="N257" s="16">
        <v>0</v>
      </c>
      <c r="O257" s="16">
        <v>10600</v>
      </c>
      <c r="P257" s="16">
        <f>138868-5105</f>
        <v>133763</v>
      </c>
      <c r="Q257" s="16">
        <f t="shared" si="361"/>
        <v>0</v>
      </c>
      <c r="R257" s="16">
        <v>0</v>
      </c>
      <c r="S257" s="16">
        <v>0</v>
      </c>
      <c r="T257" s="16">
        <v>0</v>
      </c>
      <c r="U257" s="16">
        <v>10752</v>
      </c>
      <c r="V257" s="16">
        <f t="shared" si="405"/>
        <v>144059</v>
      </c>
      <c r="W257" s="16">
        <v>3027</v>
      </c>
      <c r="X257" s="16">
        <f>101888-16384</f>
        <v>85504</v>
      </c>
      <c r="Y257" s="16">
        <f>26858-7074</f>
        <v>19784</v>
      </c>
      <c r="Z257" s="16">
        <f>40757-11927</f>
        <v>28830</v>
      </c>
      <c r="AA257" s="16">
        <f>6832-798</f>
        <v>6034</v>
      </c>
      <c r="AB257" s="16">
        <v>0</v>
      </c>
      <c r="AC257" s="16">
        <v>0</v>
      </c>
      <c r="AD257" s="16">
        <v>880</v>
      </c>
      <c r="AE257" s="16">
        <f t="shared" si="406"/>
        <v>188059</v>
      </c>
      <c r="AF257" s="16">
        <v>0</v>
      </c>
      <c r="AG257" s="16">
        <v>0</v>
      </c>
      <c r="AH257" s="16">
        <f>16939-16939</f>
        <v>0</v>
      </c>
      <c r="AI257" s="16">
        <v>0</v>
      </c>
      <c r="AJ257" s="16">
        <v>23750</v>
      </c>
      <c r="AK257" s="16">
        <v>0</v>
      </c>
      <c r="AL257" s="16">
        <v>2900</v>
      </c>
      <c r="AM257" s="16">
        <v>2830</v>
      </c>
      <c r="AN257" s="16">
        <v>0</v>
      </c>
      <c r="AO257" s="16">
        <v>0</v>
      </c>
      <c r="AP257" s="16">
        <f>0+101397</f>
        <v>101397</v>
      </c>
      <c r="AQ257" s="16">
        <v>0</v>
      </c>
      <c r="AR257" s="16">
        <v>0</v>
      </c>
      <c r="AS257" s="16">
        <v>15000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f>42351-169</f>
        <v>42182</v>
      </c>
      <c r="BA257" s="16">
        <f t="shared" si="407"/>
        <v>0</v>
      </c>
      <c r="BB257" s="16">
        <f t="shared" si="408"/>
        <v>0</v>
      </c>
      <c r="BC257" s="16">
        <v>0</v>
      </c>
      <c r="BD257" s="16">
        <v>0</v>
      </c>
      <c r="BE257" s="16">
        <v>0</v>
      </c>
      <c r="BF257" s="16">
        <f t="shared" si="362"/>
        <v>0</v>
      </c>
      <c r="BG257" s="16">
        <v>0</v>
      </c>
      <c r="BH257" s="16">
        <v>0</v>
      </c>
      <c r="BI257" s="16">
        <v>0</v>
      </c>
      <c r="BJ257" s="16">
        <v>0</v>
      </c>
      <c r="BK257" s="16">
        <f t="shared" si="363"/>
        <v>0</v>
      </c>
      <c r="BL257" s="16">
        <v>0</v>
      </c>
      <c r="BM257" s="16">
        <f t="shared" si="364"/>
        <v>0</v>
      </c>
      <c r="BN257" s="16">
        <v>0</v>
      </c>
      <c r="BO257" s="16">
        <v>0</v>
      </c>
      <c r="BP257" s="16">
        <v>0</v>
      </c>
      <c r="BQ257" s="16">
        <v>0</v>
      </c>
      <c r="BR257" s="16">
        <v>0</v>
      </c>
      <c r="BS257" s="16">
        <v>0</v>
      </c>
      <c r="BT257" s="16">
        <v>0</v>
      </c>
      <c r="BU257" s="16">
        <v>0</v>
      </c>
      <c r="BV257" s="16">
        <v>0</v>
      </c>
      <c r="BW257" s="16">
        <v>0</v>
      </c>
      <c r="BX257" s="16">
        <v>0</v>
      </c>
      <c r="BY257" s="16">
        <f t="shared" si="409"/>
        <v>49271</v>
      </c>
      <c r="BZ257" s="16">
        <f t="shared" si="410"/>
        <v>49271</v>
      </c>
      <c r="CA257" s="16">
        <f t="shared" si="365"/>
        <v>49271</v>
      </c>
      <c r="CB257" s="16">
        <v>0</v>
      </c>
      <c r="CC257" s="16">
        <f>51351-2080</f>
        <v>49271</v>
      </c>
      <c r="CD257" s="16">
        <f t="shared" si="366"/>
        <v>0</v>
      </c>
      <c r="CE257" s="16">
        <v>0</v>
      </c>
      <c r="CF257" s="16">
        <v>0</v>
      </c>
      <c r="CG257" s="16">
        <v>0</v>
      </c>
      <c r="CH257" s="16">
        <v>0</v>
      </c>
      <c r="CI257" s="16">
        <v>0</v>
      </c>
      <c r="CJ257" s="16">
        <v>0</v>
      </c>
      <c r="CK257" s="16">
        <f t="shared" si="367"/>
        <v>0</v>
      </c>
      <c r="CL257" s="16">
        <v>0</v>
      </c>
      <c r="CM257" s="16">
        <v>0</v>
      </c>
      <c r="CN257" s="16">
        <v>0</v>
      </c>
      <c r="CO257" s="16">
        <v>0</v>
      </c>
      <c r="CP257" s="16">
        <v>0</v>
      </c>
      <c r="CQ257" s="16">
        <v>0</v>
      </c>
      <c r="CR257" s="16">
        <v>0</v>
      </c>
      <c r="CS257" s="16">
        <v>0</v>
      </c>
      <c r="CT257" s="16">
        <f t="shared" si="368"/>
        <v>0</v>
      </c>
      <c r="CU257" s="16">
        <f t="shared" si="369"/>
        <v>0</v>
      </c>
      <c r="CV257" s="16">
        <v>0</v>
      </c>
      <c r="CW257" s="17">
        <v>0</v>
      </c>
      <c r="CX257" s="40"/>
    </row>
    <row r="258" spans="1:102" ht="31.5" hidden="1" x14ac:dyDescent="0.25">
      <c r="A258" s="13" t="s">
        <v>1</v>
      </c>
      <c r="B258" s="14" t="s">
        <v>1</v>
      </c>
      <c r="C258" s="14" t="s">
        <v>33</v>
      </c>
      <c r="D258" s="30" t="s">
        <v>283</v>
      </c>
      <c r="E258" s="15">
        <f t="shared" si="402"/>
        <v>1032910</v>
      </c>
      <c r="F258" s="16">
        <f t="shared" si="403"/>
        <v>1000801</v>
      </c>
      <c r="G258" s="16">
        <f t="shared" si="404"/>
        <v>1000801</v>
      </c>
      <c r="H258" s="16">
        <v>321088</v>
      </c>
      <c r="I258" s="16">
        <v>80272</v>
      </c>
      <c r="J258" s="16">
        <f t="shared" si="360"/>
        <v>320938</v>
      </c>
      <c r="K258" s="16">
        <v>5042</v>
      </c>
      <c r="L258" s="16">
        <v>800</v>
      </c>
      <c r="M258" s="16">
        <v>0</v>
      </c>
      <c r="N258" s="16">
        <v>0</v>
      </c>
      <c r="O258" s="16">
        <v>239314</v>
      </c>
      <c r="P258" s="16">
        <v>75782</v>
      </c>
      <c r="Q258" s="16">
        <f t="shared" si="361"/>
        <v>873</v>
      </c>
      <c r="R258" s="16">
        <v>873</v>
      </c>
      <c r="S258" s="16">
        <v>0</v>
      </c>
      <c r="T258" s="16">
        <v>0</v>
      </c>
      <c r="U258" s="16">
        <v>17472</v>
      </c>
      <c r="V258" s="16">
        <f t="shared" si="405"/>
        <v>50088</v>
      </c>
      <c r="W258" s="16">
        <v>1000</v>
      </c>
      <c r="X258" s="16">
        <f>29577+341</f>
        <v>29918</v>
      </c>
      <c r="Y258" s="16">
        <f>9252+552</f>
        <v>9804</v>
      </c>
      <c r="Z258" s="16">
        <f>2054+359</f>
        <v>2413</v>
      </c>
      <c r="AA258" s="16">
        <v>6953</v>
      </c>
      <c r="AB258" s="16">
        <v>0</v>
      </c>
      <c r="AC258" s="16">
        <v>0</v>
      </c>
      <c r="AD258" s="16">
        <v>0</v>
      </c>
      <c r="AE258" s="16">
        <f t="shared" si="406"/>
        <v>210070</v>
      </c>
      <c r="AF258" s="16">
        <v>0</v>
      </c>
      <c r="AG258" s="16">
        <v>8451</v>
      </c>
      <c r="AH258" s="16">
        <v>11000</v>
      </c>
      <c r="AI258" s="16">
        <v>0</v>
      </c>
      <c r="AJ258" s="16">
        <v>0</v>
      </c>
      <c r="AK258" s="16">
        <v>0</v>
      </c>
      <c r="AL258" s="16">
        <v>3661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16">
        <v>0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f>187640-682</f>
        <v>186958</v>
      </c>
      <c r="BA258" s="16">
        <f t="shared" si="407"/>
        <v>0</v>
      </c>
      <c r="BB258" s="16">
        <f t="shared" si="408"/>
        <v>0</v>
      </c>
      <c r="BC258" s="16">
        <v>0</v>
      </c>
      <c r="BD258" s="16">
        <v>0</v>
      </c>
      <c r="BE258" s="16">
        <v>0</v>
      </c>
      <c r="BF258" s="16">
        <f t="shared" si="362"/>
        <v>0</v>
      </c>
      <c r="BG258" s="16">
        <v>0</v>
      </c>
      <c r="BH258" s="16">
        <v>0</v>
      </c>
      <c r="BI258" s="16">
        <v>0</v>
      </c>
      <c r="BJ258" s="16">
        <v>0</v>
      </c>
      <c r="BK258" s="16">
        <f t="shared" si="363"/>
        <v>0</v>
      </c>
      <c r="BL258" s="16">
        <v>0</v>
      </c>
      <c r="BM258" s="16">
        <f t="shared" si="364"/>
        <v>0</v>
      </c>
      <c r="BN258" s="16">
        <v>0</v>
      </c>
      <c r="BO258" s="16">
        <v>0</v>
      </c>
      <c r="BP258" s="16">
        <v>0</v>
      </c>
      <c r="BQ258" s="16">
        <v>0</v>
      </c>
      <c r="BR258" s="16">
        <v>0</v>
      </c>
      <c r="BS258" s="16">
        <v>0</v>
      </c>
      <c r="BT258" s="16">
        <v>0</v>
      </c>
      <c r="BU258" s="16">
        <v>0</v>
      </c>
      <c r="BV258" s="16">
        <v>0</v>
      </c>
      <c r="BW258" s="16">
        <v>0</v>
      </c>
      <c r="BX258" s="16">
        <v>0</v>
      </c>
      <c r="BY258" s="16">
        <f t="shared" si="409"/>
        <v>32109</v>
      </c>
      <c r="BZ258" s="16">
        <f t="shared" si="410"/>
        <v>32109</v>
      </c>
      <c r="CA258" s="16">
        <f t="shared" si="365"/>
        <v>32109</v>
      </c>
      <c r="CB258" s="16">
        <v>0</v>
      </c>
      <c r="CC258" s="16">
        <v>32109</v>
      </c>
      <c r="CD258" s="16">
        <f t="shared" si="366"/>
        <v>0</v>
      </c>
      <c r="CE258" s="16">
        <v>0</v>
      </c>
      <c r="CF258" s="16">
        <v>0</v>
      </c>
      <c r="CG258" s="16">
        <v>0</v>
      </c>
      <c r="CH258" s="16">
        <v>0</v>
      </c>
      <c r="CI258" s="16">
        <v>0</v>
      </c>
      <c r="CJ258" s="16">
        <v>0</v>
      </c>
      <c r="CK258" s="16">
        <f t="shared" si="367"/>
        <v>0</v>
      </c>
      <c r="CL258" s="16">
        <v>0</v>
      </c>
      <c r="CM258" s="16">
        <v>0</v>
      </c>
      <c r="CN258" s="16">
        <v>0</v>
      </c>
      <c r="CO258" s="16">
        <v>0</v>
      </c>
      <c r="CP258" s="16">
        <v>0</v>
      </c>
      <c r="CQ258" s="16">
        <v>0</v>
      </c>
      <c r="CR258" s="16">
        <v>0</v>
      </c>
      <c r="CS258" s="16">
        <v>0</v>
      </c>
      <c r="CT258" s="16">
        <f t="shared" si="368"/>
        <v>0</v>
      </c>
      <c r="CU258" s="16">
        <f t="shared" si="369"/>
        <v>0</v>
      </c>
      <c r="CV258" s="16">
        <v>0</v>
      </c>
      <c r="CW258" s="17">
        <v>0</v>
      </c>
      <c r="CX258" s="40"/>
    </row>
    <row r="259" spans="1:102" ht="15.75" hidden="1" x14ac:dyDescent="0.25">
      <c r="A259" s="13" t="s">
        <v>1</v>
      </c>
      <c r="B259" s="14" t="s">
        <v>1</v>
      </c>
      <c r="C259" s="14" t="s">
        <v>33</v>
      </c>
      <c r="D259" s="30" t="s">
        <v>509</v>
      </c>
      <c r="E259" s="15">
        <f t="shared" si="402"/>
        <v>1606408</v>
      </c>
      <c r="F259" s="16">
        <f t="shared" si="403"/>
        <v>1463379</v>
      </c>
      <c r="G259" s="16">
        <f t="shared" si="404"/>
        <v>1463379</v>
      </c>
      <c r="H259" s="16">
        <v>327600</v>
      </c>
      <c r="I259" s="16">
        <v>81900</v>
      </c>
      <c r="J259" s="16">
        <f t="shared" si="360"/>
        <v>93530</v>
      </c>
      <c r="K259" s="16">
        <v>0</v>
      </c>
      <c r="L259" s="16">
        <v>0</v>
      </c>
      <c r="M259" s="16">
        <v>0</v>
      </c>
      <c r="N259" s="16">
        <v>0</v>
      </c>
      <c r="O259" s="16">
        <v>77150</v>
      </c>
      <c r="P259" s="16">
        <v>16380</v>
      </c>
      <c r="Q259" s="16">
        <f t="shared" si="361"/>
        <v>55750</v>
      </c>
      <c r="R259" s="16">
        <v>1000</v>
      </c>
      <c r="S259" s="16">
        <v>54750</v>
      </c>
      <c r="T259" s="16">
        <v>0</v>
      </c>
      <c r="U259" s="16">
        <v>28986</v>
      </c>
      <c r="V259" s="16">
        <f t="shared" si="405"/>
        <v>255706</v>
      </c>
      <c r="W259" s="16">
        <v>101154</v>
      </c>
      <c r="X259" s="16">
        <f>2110+24</f>
        <v>2134</v>
      </c>
      <c r="Y259" s="16">
        <f>98987+12318</f>
        <v>111305</v>
      </c>
      <c r="Z259" s="16">
        <f>12093+2109</f>
        <v>14202</v>
      </c>
      <c r="AA259" s="16">
        <v>3261</v>
      </c>
      <c r="AB259" s="16">
        <v>0</v>
      </c>
      <c r="AC259" s="16">
        <v>0</v>
      </c>
      <c r="AD259" s="16">
        <f>22586+1064</f>
        <v>23650</v>
      </c>
      <c r="AE259" s="16">
        <f t="shared" si="406"/>
        <v>619907</v>
      </c>
      <c r="AF259" s="16">
        <v>0</v>
      </c>
      <c r="AG259" s="16">
        <v>22575</v>
      </c>
      <c r="AH259" s="16">
        <v>43392</v>
      </c>
      <c r="AI259" s="16">
        <v>0</v>
      </c>
      <c r="AJ259" s="16">
        <v>1591</v>
      </c>
      <c r="AK259" s="16">
        <v>0</v>
      </c>
      <c r="AL259" s="16">
        <v>3276</v>
      </c>
      <c r="AM259" s="16">
        <v>42107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16">
        <v>0</v>
      </c>
      <c r="AU259" s="16">
        <v>0</v>
      </c>
      <c r="AV259" s="16">
        <v>0</v>
      </c>
      <c r="AW259" s="16">
        <v>0</v>
      </c>
      <c r="AX259" s="16">
        <v>0</v>
      </c>
      <c r="AY259" s="16">
        <v>0</v>
      </c>
      <c r="AZ259" s="16">
        <f>516073-9107</f>
        <v>506966</v>
      </c>
      <c r="BA259" s="16">
        <f t="shared" si="407"/>
        <v>0</v>
      </c>
      <c r="BB259" s="16">
        <f t="shared" si="408"/>
        <v>0</v>
      </c>
      <c r="BC259" s="16">
        <v>0</v>
      </c>
      <c r="BD259" s="16">
        <v>0</v>
      </c>
      <c r="BE259" s="16">
        <v>0</v>
      </c>
      <c r="BF259" s="16">
        <f t="shared" si="362"/>
        <v>0</v>
      </c>
      <c r="BG259" s="16">
        <v>0</v>
      </c>
      <c r="BH259" s="16">
        <v>0</v>
      </c>
      <c r="BI259" s="16">
        <v>0</v>
      </c>
      <c r="BJ259" s="16">
        <v>0</v>
      </c>
      <c r="BK259" s="16">
        <f t="shared" si="363"/>
        <v>0</v>
      </c>
      <c r="BL259" s="16">
        <v>0</v>
      </c>
      <c r="BM259" s="16">
        <f t="shared" si="364"/>
        <v>0</v>
      </c>
      <c r="BN259" s="16">
        <v>0</v>
      </c>
      <c r="BO259" s="16">
        <v>0</v>
      </c>
      <c r="BP259" s="16">
        <v>0</v>
      </c>
      <c r="BQ259" s="16">
        <v>0</v>
      </c>
      <c r="BR259" s="16">
        <v>0</v>
      </c>
      <c r="BS259" s="16">
        <v>0</v>
      </c>
      <c r="BT259" s="16">
        <v>0</v>
      </c>
      <c r="BU259" s="16">
        <v>0</v>
      </c>
      <c r="BV259" s="16">
        <v>0</v>
      </c>
      <c r="BW259" s="16">
        <v>0</v>
      </c>
      <c r="BX259" s="16">
        <v>0</v>
      </c>
      <c r="BY259" s="16">
        <f t="shared" si="409"/>
        <v>143029</v>
      </c>
      <c r="BZ259" s="16">
        <f t="shared" si="410"/>
        <v>143029</v>
      </c>
      <c r="CA259" s="16">
        <f t="shared" si="365"/>
        <v>143029</v>
      </c>
      <c r="CB259" s="16">
        <v>0</v>
      </c>
      <c r="CC259" s="16">
        <v>143029</v>
      </c>
      <c r="CD259" s="16">
        <f t="shared" si="366"/>
        <v>0</v>
      </c>
      <c r="CE259" s="16">
        <v>0</v>
      </c>
      <c r="CF259" s="16">
        <v>0</v>
      </c>
      <c r="CG259" s="16">
        <v>0</v>
      </c>
      <c r="CH259" s="16">
        <v>0</v>
      </c>
      <c r="CI259" s="16">
        <v>0</v>
      </c>
      <c r="CJ259" s="16">
        <v>0</v>
      </c>
      <c r="CK259" s="16">
        <f t="shared" si="367"/>
        <v>0</v>
      </c>
      <c r="CL259" s="16">
        <v>0</v>
      </c>
      <c r="CM259" s="16">
        <v>0</v>
      </c>
      <c r="CN259" s="16">
        <v>0</v>
      </c>
      <c r="CO259" s="16">
        <v>0</v>
      </c>
      <c r="CP259" s="16">
        <v>0</v>
      </c>
      <c r="CQ259" s="16">
        <v>0</v>
      </c>
      <c r="CR259" s="16">
        <v>0</v>
      </c>
      <c r="CS259" s="16">
        <v>0</v>
      </c>
      <c r="CT259" s="16">
        <f t="shared" si="368"/>
        <v>0</v>
      </c>
      <c r="CU259" s="16">
        <f t="shared" si="369"/>
        <v>0</v>
      </c>
      <c r="CV259" s="16">
        <v>0</v>
      </c>
      <c r="CW259" s="17">
        <v>0</v>
      </c>
      <c r="CX259" s="40"/>
    </row>
    <row r="260" spans="1:102" ht="15.75" hidden="1" x14ac:dyDescent="0.25">
      <c r="A260" s="13" t="s">
        <v>1</v>
      </c>
      <c r="B260" s="14" t="s">
        <v>1</v>
      </c>
      <c r="C260" s="14" t="s">
        <v>33</v>
      </c>
      <c r="D260" s="30" t="s">
        <v>281</v>
      </c>
      <c r="E260" s="15">
        <f t="shared" si="402"/>
        <v>15200875</v>
      </c>
      <c r="F260" s="16">
        <f t="shared" si="403"/>
        <v>14950049</v>
      </c>
      <c r="G260" s="16">
        <f t="shared" si="404"/>
        <v>14950049</v>
      </c>
      <c r="H260" s="16">
        <v>2681030</v>
      </c>
      <c r="I260" s="16">
        <v>634052</v>
      </c>
      <c r="J260" s="16">
        <f>SUM(K260:P260)</f>
        <v>191773</v>
      </c>
      <c r="K260" s="16">
        <v>0</v>
      </c>
      <c r="L260" s="16">
        <v>0</v>
      </c>
      <c r="M260" s="16">
        <v>0</v>
      </c>
      <c r="N260" s="16">
        <v>0</v>
      </c>
      <c r="O260" s="16">
        <v>82768</v>
      </c>
      <c r="P260" s="16">
        <v>109005</v>
      </c>
      <c r="Q260" s="16">
        <f>SUM(R260:S260)</f>
        <v>0</v>
      </c>
      <c r="R260" s="16">
        <v>0</v>
      </c>
      <c r="S260" s="16">
        <v>0</v>
      </c>
      <c r="T260" s="16">
        <v>36000</v>
      </c>
      <c r="U260" s="16">
        <v>24047</v>
      </c>
      <c r="V260" s="16">
        <f t="shared" si="405"/>
        <v>213181</v>
      </c>
      <c r="W260" s="16">
        <v>4176</v>
      </c>
      <c r="X260" s="16">
        <f>96095+1108</f>
        <v>97203</v>
      </c>
      <c r="Y260" s="16">
        <f>89585+5348</f>
        <v>94933</v>
      </c>
      <c r="Z260" s="16">
        <f>3217+609</f>
        <v>3826</v>
      </c>
      <c r="AA260" s="16">
        <v>13043</v>
      </c>
      <c r="AB260" s="16">
        <v>0</v>
      </c>
      <c r="AC260" s="16">
        <v>0</v>
      </c>
      <c r="AD260" s="16">
        <v>0</v>
      </c>
      <c r="AE260" s="16">
        <f>SUM(AF260:AZ260)</f>
        <v>11169966</v>
      </c>
      <c r="AF260" s="16">
        <v>0</v>
      </c>
      <c r="AG260" s="16">
        <v>286682</v>
      </c>
      <c r="AH260" s="16">
        <v>18121</v>
      </c>
      <c r="AI260" s="16">
        <v>0</v>
      </c>
      <c r="AJ260" s="16">
        <v>4500</v>
      </c>
      <c r="AK260" s="16">
        <v>0</v>
      </c>
      <c r="AL260" s="16">
        <v>25083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16">
        <v>0</v>
      </c>
      <c r="AU260" s="16">
        <v>0</v>
      </c>
      <c r="AV260" s="16">
        <v>0</v>
      </c>
      <c r="AW260" s="16">
        <v>0</v>
      </c>
      <c r="AX260" s="16">
        <v>0</v>
      </c>
      <c r="AY260" s="16">
        <v>0</v>
      </c>
      <c r="AZ260" s="16">
        <f>10579770+255810</f>
        <v>10835580</v>
      </c>
      <c r="BA260" s="16">
        <f t="shared" si="407"/>
        <v>0</v>
      </c>
      <c r="BB260" s="16">
        <f t="shared" si="408"/>
        <v>0</v>
      </c>
      <c r="BC260" s="16">
        <v>0</v>
      </c>
      <c r="BD260" s="16">
        <v>0</v>
      </c>
      <c r="BE260" s="16">
        <v>0</v>
      </c>
      <c r="BF260" s="16">
        <f>SUM(BG260:BH260)</f>
        <v>0</v>
      </c>
      <c r="BG260" s="16">
        <v>0</v>
      </c>
      <c r="BH260" s="16">
        <v>0</v>
      </c>
      <c r="BI260" s="16">
        <v>0</v>
      </c>
      <c r="BJ260" s="16">
        <v>0</v>
      </c>
      <c r="BK260" s="16">
        <f>SUM(BL260)</f>
        <v>0</v>
      </c>
      <c r="BL260" s="16">
        <v>0</v>
      </c>
      <c r="BM260" s="16">
        <f>SUM(BN260:BX260)</f>
        <v>0</v>
      </c>
      <c r="BN260" s="16">
        <v>0</v>
      </c>
      <c r="BO260" s="16">
        <v>0</v>
      </c>
      <c r="BP260" s="16">
        <v>0</v>
      </c>
      <c r="BQ260" s="16">
        <v>0</v>
      </c>
      <c r="BR260" s="16">
        <v>0</v>
      </c>
      <c r="BS260" s="16">
        <v>0</v>
      </c>
      <c r="BT260" s="16">
        <v>0</v>
      </c>
      <c r="BU260" s="16">
        <v>0</v>
      </c>
      <c r="BV260" s="16">
        <v>0</v>
      </c>
      <c r="BW260" s="16">
        <v>0</v>
      </c>
      <c r="BX260" s="16">
        <v>0</v>
      </c>
      <c r="BY260" s="16">
        <f t="shared" si="409"/>
        <v>250826</v>
      </c>
      <c r="BZ260" s="16">
        <f t="shared" si="410"/>
        <v>250826</v>
      </c>
      <c r="CA260" s="16">
        <f>SUM(CB260:CC260)</f>
        <v>250826</v>
      </c>
      <c r="CB260" s="16">
        <v>0</v>
      </c>
      <c r="CC260" s="16">
        <v>250826</v>
      </c>
      <c r="CD260" s="16">
        <f>SUM(CE260:CI260)</f>
        <v>0</v>
      </c>
      <c r="CE260" s="16">
        <v>0</v>
      </c>
      <c r="CF260" s="16">
        <v>0</v>
      </c>
      <c r="CG260" s="16">
        <v>0</v>
      </c>
      <c r="CH260" s="16">
        <v>0</v>
      </c>
      <c r="CI260" s="16">
        <v>0</v>
      </c>
      <c r="CJ260" s="16">
        <v>0</v>
      </c>
      <c r="CK260" s="16">
        <f>SUM(CL260:CP260)</f>
        <v>0</v>
      </c>
      <c r="CL260" s="16">
        <v>0</v>
      </c>
      <c r="CM260" s="16">
        <v>0</v>
      </c>
      <c r="CN260" s="16">
        <v>0</v>
      </c>
      <c r="CO260" s="16">
        <v>0</v>
      </c>
      <c r="CP260" s="16">
        <v>0</v>
      </c>
      <c r="CQ260" s="16">
        <v>0</v>
      </c>
      <c r="CR260" s="16">
        <v>0</v>
      </c>
      <c r="CS260" s="16">
        <v>0</v>
      </c>
      <c r="CT260" s="16">
        <f>SUM(CU260)</f>
        <v>0</v>
      </c>
      <c r="CU260" s="16">
        <f>SUM(CV260:CW260)</f>
        <v>0</v>
      </c>
      <c r="CV260" s="16">
        <v>0</v>
      </c>
      <c r="CW260" s="17">
        <v>0</v>
      </c>
      <c r="CX260" s="40"/>
    </row>
    <row r="261" spans="1:102" ht="15.75" hidden="1" x14ac:dyDescent="0.25">
      <c r="A261" s="13" t="s">
        <v>1</v>
      </c>
      <c r="B261" s="14" t="s">
        <v>1</v>
      </c>
      <c r="C261" s="14" t="s">
        <v>34</v>
      </c>
      <c r="D261" s="30" t="s">
        <v>284</v>
      </c>
      <c r="E261" s="15">
        <f t="shared" si="402"/>
        <v>1633903</v>
      </c>
      <c r="F261" s="16">
        <f t="shared" si="403"/>
        <v>1246477</v>
      </c>
      <c r="G261" s="16">
        <f t="shared" si="404"/>
        <v>1246477</v>
      </c>
      <c r="H261" s="16">
        <v>0</v>
      </c>
      <c r="I261" s="16">
        <v>0</v>
      </c>
      <c r="J261" s="16">
        <f t="shared" si="360"/>
        <v>503230</v>
      </c>
      <c r="K261" s="16">
        <v>1000</v>
      </c>
      <c r="L261" s="16">
        <v>0</v>
      </c>
      <c r="M261" s="16">
        <v>0</v>
      </c>
      <c r="N261" s="16">
        <v>0</v>
      </c>
      <c r="O261" s="16">
        <v>287044</v>
      </c>
      <c r="P261" s="16">
        <v>215186</v>
      </c>
      <c r="Q261" s="16">
        <f t="shared" si="361"/>
        <v>60000</v>
      </c>
      <c r="R261" s="16">
        <v>0</v>
      </c>
      <c r="S261" s="16">
        <v>60000</v>
      </c>
      <c r="T261" s="16">
        <v>0</v>
      </c>
      <c r="U261" s="16">
        <v>75000</v>
      </c>
      <c r="V261" s="16">
        <f t="shared" si="405"/>
        <v>291507</v>
      </c>
      <c r="W261" s="16">
        <v>20200</v>
      </c>
      <c r="X261" s="16">
        <f>48959+9082</f>
        <v>58041</v>
      </c>
      <c r="Y261" s="16">
        <f>81968+57051</f>
        <v>139019</v>
      </c>
      <c r="Z261" s="16">
        <f>10737+2822</f>
        <v>13559</v>
      </c>
      <c r="AA261" s="16">
        <v>6271</v>
      </c>
      <c r="AB261" s="16">
        <v>50000</v>
      </c>
      <c r="AC261" s="16">
        <v>0</v>
      </c>
      <c r="AD261" s="16">
        <f>3771+646</f>
        <v>4417</v>
      </c>
      <c r="AE261" s="16">
        <f t="shared" si="406"/>
        <v>316740</v>
      </c>
      <c r="AF261" s="16">
        <v>0</v>
      </c>
      <c r="AG261" s="16">
        <v>95400</v>
      </c>
      <c r="AH261" s="16">
        <v>97750</v>
      </c>
      <c r="AI261" s="16">
        <v>0</v>
      </c>
      <c r="AJ261" s="16">
        <v>19700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42400</v>
      </c>
      <c r="AS261" s="16">
        <v>0</v>
      </c>
      <c r="AT261" s="16">
        <v>0</v>
      </c>
      <c r="AU261" s="16">
        <v>0</v>
      </c>
      <c r="AV261" s="16">
        <v>0</v>
      </c>
      <c r="AW261" s="16">
        <v>0</v>
      </c>
      <c r="AX261" s="16">
        <v>0</v>
      </c>
      <c r="AY261" s="16">
        <v>0</v>
      </c>
      <c r="AZ261" s="16">
        <v>61490</v>
      </c>
      <c r="BA261" s="16">
        <f t="shared" si="407"/>
        <v>0</v>
      </c>
      <c r="BB261" s="16">
        <f t="shared" si="408"/>
        <v>0</v>
      </c>
      <c r="BC261" s="16">
        <v>0</v>
      </c>
      <c r="BD261" s="16">
        <v>0</v>
      </c>
      <c r="BE261" s="16">
        <v>0</v>
      </c>
      <c r="BF261" s="16">
        <f t="shared" si="362"/>
        <v>0</v>
      </c>
      <c r="BG261" s="16">
        <v>0</v>
      </c>
      <c r="BH261" s="16">
        <v>0</v>
      </c>
      <c r="BI261" s="16">
        <v>0</v>
      </c>
      <c r="BJ261" s="16">
        <v>0</v>
      </c>
      <c r="BK261" s="16">
        <f t="shared" si="363"/>
        <v>0</v>
      </c>
      <c r="BL261" s="16">
        <v>0</v>
      </c>
      <c r="BM261" s="16">
        <f t="shared" si="364"/>
        <v>0</v>
      </c>
      <c r="BN261" s="16">
        <v>0</v>
      </c>
      <c r="BO261" s="16">
        <v>0</v>
      </c>
      <c r="BP261" s="16">
        <v>0</v>
      </c>
      <c r="BQ261" s="16">
        <v>0</v>
      </c>
      <c r="BR261" s="16">
        <v>0</v>
      </c>
      <c r="BS261" s="16">
        <v>0</v>
      </c>
      <c r="BT261" s="16">
        <v>0</v>
      </c>
      <c r="BU261" s="16">
        <v>0</v>
      </c>
      <c r="BV261" s="16">
        <v>0</v>
      </c>
      <c r="BW261" s="16">
        <v>0</v>
      </c>
      <c r="BX261" s="16">
        <v>0</v>
      </c>
      <c r="BY261" s="16">
        <f t="shared" si="409"/>
        <v>387426</v>
      </c>
      <c r="BZ261" s="16">
        <f t="shared" si="410"/>
        <v>387426</v>
      </c>
      <c r="CA261" s="16">
        <f t="shared" si="365"/>
        <v>387426</v>
      </c>
      <c r="CB261" s="16">
        <v>0</v>
      </c>
      <c r="CC261" s="16">
        <v>387426</v>
      </c>
      <c r="CD261" s="16">
        <f t="shared" si="366"/>
        <v>0</v>
      </c>
      <c r="CE261" s="16">
        <v>0</v>
      </c>
      <c r="CF261" s="16">
        <v>0</v>
      </c>
      <c r="CG261" s="16">
        <v>0</v>
      </c>
      <c r="CH261" s="16">
        <v>0</v>
      </c>
      <c r="CI261" s="16">
        <v>0</v>
      </c>
      <c r="CJ261" s="16">
        <v>0</v>
      </c>
      <c r="CK261" s="16">
        <f t="shared" si="367"/>
        <v>0</v>
      </c>
      <c r="CL261" s="16">
        <v>0</v>
      </c>
      <c r="CM261" s="16">
        <v>0</v>
      </c>
      <c r="CN261" s="16">
        <v>0</v>
      </c>
      <c r="CO261" s="16">
        <v>0</v>
      </c>
      <c r="CP261" s="16">
        <v>0</v>
      </c>
      <c r="CQ261" s="16">
        <v>0</v>
      </c>
      <c r="CR261" s="16">
        <v>0</v>
      </c>
      <c r="CS261" s="16">
        <v>0</v>
      </c>
      <c r="CT261" s="16">
        <f t="shared" si="368"/>
        <v>0</v>
      </c>
      <c r="CU261" s="16">
        <f t="shared" si="369"/>
        <v>0</v>
      </c>
      <c r="CV261" s="16">
        <v>0</v>
      </c>
      <c r="CW261" s="17">
        <v>0</v>
      </c>
      <c r="CX261" s="40"/>
    </row>
    <row r="262" spans="1:102" ht="15.75" hidden="1" x14ac:dyDescent="0.25">
      <c r="A262" s="13" t="s">
        <v>1</v>
      </c>
      <c r="B262" s="14" t="s">
        <v>1</v>
      </c>
      <c r="C262" s="14" t="s">
        <v>34</v>
      </c>
      <c r="D262" s="30" t="s">
        <v>285</v>
      </c>
      <c r="E262" s="15">
        <f t="shared" si="402"/>
        <v>1146821</v>
      </c>
      <c r="F262" s="16">
        <f t="shared" si="403"/>
        <v>342787</v>
      </c>
      <c r="G262" s="16">
        <f t="shared" si="404"/>
        <v>342787</v>
      </c>
      <c r="H262" s="16">
        <v>0</v>
      </c>
      <c r="I262" s="16">
        <v>0</v>
      </c>
      <c r="J262" s="16">
        <f t="shared" si="360"/>
        <v>146770</v>
      </c>
      <c r="K262" s="16">
        <v>0</v>
      </c>
      <c r="L262" s="16">
        <v>0</v>
      </c>
      <c r="M262" s="16">
        <v>0</v>
      </c>
      <c r="N262" s="16">
        <v>0</v>
      </c>
      <c r="O262" s="16">
        <v>36738</v>
      </c>
      <c r="P262" s="16">
        <v>110032</v>
      </c>
      <c r="Q262" s="16">
        <f t="shared" si="361"/>
        <v>0</v>
      </c>
      <c r="R262" s="16">
        <v>0</v>
      </c>
      <c r="S262" s="16">
        <v>0</v>
      </c>
      <c r="T262" s="16">
        <v>0</v>
      </c>
      <c r="U262" s="16">
        <v>10767</v>
      </c>
      <c r="V262" s="16">
        <f t="shared" si="405"/>
        <v>63173</v>
      </c>
      <c r="W262" s="16">
        <v>0</v>
      </c>
      <c r="X262" s="16">
        <f>30945+4146</f>
        <v>35091</v>
      </c>
      <c r="Y262" s="16">
        <f>19842+1185</f>
        <v>21027</v>
      </c>
      <c r="Z262" s="16">
        <f>3372+792</f>
        <v>4164</v>
      </c>
      <c r="AA262" s="16">
        <v>2891</v>
      </c>
      <c r="AB262" s="16">
        <v>0</v>
      </c>
      <c r="AC262" s="16">
        <v>0</v>
      </c>
      <c r="AD262" s="16">
        <v>0</v>
      </c>
      <c r="AE262" s="16">
        <f t="shared" si="406"/>
        <v>122077</v>
      </c>
      <c r="AF262" s="16">
        <v>0</v>
      </c>
      <c r="AG262" s="16">
        <v>4305</v>
      </c>
      <c r="AH262" s="16">
        <f>5237+2033</f>
        <v>7270</v>
      </c>
      <c r="AI262" s="16">
        <v>0</v>
      </c>
      <c r="AJ262" s="16">
        <v>1591</v>
      </c>
      <c r="AK262" s="16">
        <v>0</v>
      </c>
      <c r="AL262" s="16">
        <v>0</v>
      </c>
      <c r="AM262" s="16">
        <f>0+71428</f>
        <v>71428</v>
      </c>
      <c r="AN262" s="16">
        <v>0</v>
      </c>
      <c r="AO262" s="16">
        <v>0</v>
      </c>
      <c r="AP262" s="16">
        <v>0</v>
      </c>
      <c r="AQ262" s="16">
        <v>0</v>
      </c>
      <c r="AR262" s="16">
        <v>0</v>
      </c>
      <c r="AS262" s="16">
        <v>0</v>
      </c>
      <c r="AT262" s="16">
        <v>0</v>
      </c>
      <c r="AU262" s="16">
        <v>0</v>
      </c>
      <c r="AV262" s="16">
        <v>0</v>
      </c>
      <c r="AW262" s="16">
        <v>0</v>
      </c>
      <c r="AX262" s="16">
        <v>0</v>
      </c>
      <c r="AY262" s="16">
        <v>0</v>
      </c>
      <c r="AZ262" s="16">
        <v>37483</v>
      </c>
      <c r="BA262" s="16">
        <f t="shared" si="407"/>
        <v>0</v>
      </c>
      <c r="BB262" s="16">
        <f t="shared" si="408"/>
        <v>0</v>
      </c>
      <c r="BC262" s="16">
        <v>0</v>
      </c>
      <c r="BD262" s="16">
        <v>0</v>
      </c>
      <c r="BE262" s="16">
        <v>0</v>
      </c>
      <c r="BF262" s="16">
        <f t="shared" si="362"/>
        <v>0</v>
      </c>
      <c r="BG262" s="16">
        <v>0</v>
      </c>
      <c r="BH262" s="16">
        <v>0</v>
      </c>
      <c r="BI262" s="16">
        <v>0</v>
      </c>
      <c r="BJ262" s="16">
        <v>0</v>
      </c>
      <c r="BK262" s="16">
        <f t="shared" si="363"/>
        <v>0</v>
      </c>
      <c r="BL262" s="16">
        <v>0</v>
      </c>
      <c r="BM262" s="16">
        <f t="shared" si="364"/>
        <v>0</v>
      </c>
      <c r="BN262" s="16">
        <v>0</v>
      </c>
      <c r="BO262" s="16">
        <v>0</v>
      </c>
      <c r="BP262" s="16">
        <v>0</v>
      </c>
      <c r="BQ262" s="16">
        <v>0</v>
      </c>
      <c r="BR262" s="16">
        <v>0</v>
      </c>
      <c r="BS262" s="16">
        <v>0</v>
      </c>
      <c r="BT262" s="16">
        <v>0</v>
      </c>
      <c r="BU262" s="16">
        <v>0</v>
      </c>
      <c r="BV262" s="16">
        <v>0</v>
      </c>
      <c r="BW262" s="16">
        <v>0</v>
      </c>
      <c r="BX262" s="16">
        <v>0</v>
      </c>
      <c r="BY262" s="16">
        <f t="shared" si="409"/>
        <v>804034</v>
      </c>
      <c r="BZ262" s="16">
        <f t="shared" si="410"/>
        <v>804034</v>
      </c>
      <c r="CA262" s="16">
        <f t="shared" si="365"/>
        <v>268850</v>
      </c>
      <c r="CB262" s="16">
        <v>0</v>
      </c>
      <c r="CC262" s="16">
        <v>268850</v>
      </c>
      <c r="CD262" s="16">
        <f t="shared" si="366"/>
        <v>0</v>
      </c>
      <c r="CE262" s="16">
        <v>0</v>
      </c>
      <c r="CF262" s="16">
        <v>0</v>
      </c>
      <c r="CG262" s="16">
        <v>0</v>
      </c>
      <c r="CH262" s="16">
        <v>0</v>
      </c>
      <c r="CI262" s="16">
        <v>0</v>
      </c>
      <c r="CJ262" s="16">
        <v>0</v>
      </c>
      <c r="CK262" s="16">
        <f t="shared" si="367"/>
        <v>535184</v>
      </c>
      <c r="CL262" s="16">
        <v>0</v>
      </c>
      <c r="CM262" s="16">
        <v>0</v>
      </c>
      <c r="CN262" s="16">
        <v>535184</v>
      </c>
      <c r="CO262" s="16">
        <v>0</v>
      </c>
      <c r="CP262" s="16">
        <v>0</v>
      </c>
      <c r="CQ262" s="16">
        <v>0</v>
      </c>
      <c r="CR262" s="16">
        <v>0</v>
      </c>
      <c r="CS262" s="16">
        <v>0</v>
      </c>
      <c r="CT262" s="16">
        <f t="shared" si="368"/>
        <v>0</v>
      </c>
      <c r="CU262" s="16">
        <f t="shared" si="369"/>
        <v>0</v>
      </c>
      <c r="CV262" s="16">
        <v>0</v>
      </c>
      <c r="CW262" s="17">
        <v>0</v>
      </c>
      <c r="CX262" s="40"/>
    </row>
    <row r="263" spans="1:102" ht="31.5" hidden="1" x14ac:dyDescent="0.25">
      <c r="A263" s="13" t="s">
        <v>1</v>
      </c>
      <c r="B263" s="14" t="s">
        <v>1</v>
      </c>
      <c r="C263" s="14" t="s">
        <v>38</v>
      </c>
      <c r="D263" s="30" t="s">
        <v>510</v>
      </c>
      <c r="E263" s="15">
        <f t="shared" si="402"/>
        <v>605616</v>
      </c>
      <c r="F263" s="16">
        <f t="shared" si="403"/>
        <v>510616</v>
      </c>
      <c r="G263" s="16">
        <f t="shared" si="404"/>
        <v>510616</v>
      </c>
      <c r="H263" s="16">
        <v>138141</v>
      </c>
      <c r="I263" s="16">
        <v>32810</v>
      </c>
      <c r="J263" s="16">
        <f t="shared" si="360"/>
        <v>115000</v>
      </c>
      <c r="K263" s="16">
        <v>0</v>
      </c>
      <c r="L263" s="16">
        <v>0</v>
      </c>
      <c r="M263" s="16">
        <v>0</v>
      </c>
      <c r="N263" s="16">
        <v>0</v>
      </c>
      <c r="O263" s="16">
        <v>20000</v>
      </c>
      <c r="P263" s="16">
        <v>95000</v>
      </c>
      <c r="Q263" s="16">
        <f t="shared" si="361"/>
        <v>8616</v>
      </c>
      <c r="R263" s="16">
        <f>3000+5616</f>
        <v>8616</v>
      </c>
      <c r="S263" s="16">
        <v>0</v>
      </c>
      <c r="T263" s="16">
        <v>0</v>
      </c>
      <c r="U263" s="16">
        <v>25000</v>
      </c>
      <c r="V263" s="16">
        <f t="shared" si="405"/>
        <v>31049</v>
      </c>
      <c r="W263" s="16">
        <v>31049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f t="shared" si="406"/>
        <v>160000</v>
      </c>
      <c r="AF263" s="16">
        <v>0</v>
      </c>
      <c r="AG263" s="16">
        <v>10000</v>
      </c>
      <c r="AH263" s="16">
        <v>80000</v>
      </c>
      <c r="AI263" s="16">
        <v>0</v>
      </c>
      <c r="AJ263" s="16">
        <v>5000</v>
      </c>
      <c r="AK263" s="16">
        <v>0</v>
      </c>
      <c r="AL263" s="16">
        <v>10000</v>
      </c>
      <c r="AM263" s="16">
        <v>15000</v>
      </c>
      <c r="AN263" s="16">
        <v>0</v>
      </c>
      <c r="AO263" s="16">
        <v>0</v>
      </c>
      <c r="AP263" s="16">
        <v>0</v>
      </c>
      <c r="AQ263" s="16">
        <v>0</v>
      </c>
      <c r="AR263" s="16">
        <v>20000</v>
      </c>
      <c r="AS263" s="16">
        <v>0</v>
      </c>
      <c r="AT263" s="16"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20000</v>
      </c>
      <c r="BA263" s="16">
        <f t="shared" si="407"/>
        <v>0</v>
      </c>
      <c r="BB263" s="16">
        <f t="shared" si="408"/>
        <v>0</v>
      </c>
      <c r="BC263" s="16">
        <v>0</v>
      </c>
      <c r="BD263" s="16">
        <v>0</v>
      </c>
      <c r="BE263" s="16">
        <v>0</v>
      </c>
      <c r="BF263" s="16">
        <f t="shared" si="362"/>
        <v>0</v>
      </c>
      <c r="BG263" s="16">
        <v>0</v>
      </c>
      <c r="BH263" s="16">
        <v>0</v>
      </c>
      <c r="BI263" s="16">
        <v>0</v>
      </c>
      <c r="BJ263" s="16">
        <v>0</v>
      </c>
      <c r="BK263" s="16">
        <f t="shared" si="363"/>
        <v>0</v>
      </c>
      <c r="BL263" s="16">
        <v>0</v>
      </c>
      <c r="BM263" s="16">
        <f t="shared" si="364"/>
        <v>0</v>
      </c>
      <c r="BN263" s="16">
        <v>0</v>
      </c>
      <c r="BO263" s="16">
        <v>0</v>
      </c>
      <c r="BP263" s="16">
        <v>0</v>
      </c>
      <c r="BQ263" s="16">
        <v>0</v>
      </c>
      <c r="BR263" s="16">
        <v>0</v>
      </c>
      <c r="BS263" s="16">
        <v>0</v>
      </c>
      <c r="BT263" s="16">
        <v>0</v>
      </c>
      <c r="BU263" s="16">
        <v>0</v>
      </c>
      <c r="BV263" s="16">
        <v>0</v>
      </c>
      <c r="BW263" s="16">
        <v>0</v>
      </c>
      <c r="BX263" s="16">
        <v>0</v>
      </c>
      <c r="BY263" s="16">
        <f t="shared" si="409"/>
        <v>95000</v>
      </c>
      <c r="BZ263" s="16">
        <f t="shared" si="410"/>
        <v>95000</v>
      </c>
      <c r="CA263" s="16">
        <f t="shared" si="365"/>
        <v>95000</v>
      </c>
      <c r="CB263" s="16">
        <v>0</v>
      </c>
      <c r="CC263" s="16">
        <v>95000</v>
      </c>
      <c r="CD263" s="16">
        <f t="shared" si="366"/>
        <v>0</v>
      </c>
      <c r="CE263" s="16">
        <v>0</v>
      </c>
      <c r="CF263" s="16">
        <v>0</v>
      </c>
      <c r="CG263" s="16">
        <v>0</v>
      </c>
      <c r="CH263" s="16">
        <v>0</v>
      </c>
      <c r="CI263" s="16">
        <v>0</v>
      </c>
      <c r="CJ263" s="16">
        <v>0</v>
      </c>
      <c r="CK263" s="16">
        <f t="shared" si="367"/>
        <v>0</v>
      </c>
      <c r="CL263" s="16">
        <v>0</v>
      </c>
      <c r="CM263" s="16">
        <v>0</v>
      </c>
      <c r="CN263" s="16">
        <v>0</v>
      </c>
      <c r="CO263" s="16">
        <v>0</v>
      </c>
      <c r="CP263" s="16">
        <v>0</v>
      </c>
      <c r="CQ263" s="16">
        <v>0</v>
      </c>
      <c r="CR263" s="16">
        <v>0</v>
      </c>
      <c r="CS263" s="16">
        <v>0</v>
      </c>
      <c r="CT263" s="16">
        <f t="shared" si="368"/>
        <v>0</v>
      </c>
      <c r="CU263" s="16">
        <f t="shared" si="369"/>
        <v>0</v>
      </c>
      <c r="CV263" s="16">
        <v>0</v>
      </c>
      <c r="CW263" s="17">
        <v>0</v>
      </c>
      <c r="CX263" s="40"/>
    </row>
    <row r="264" spans="1:102" ht="31.5" hidden="1" x14ac:dyDescent="0.25">
      <c r="A264" s="13" t="s">
        <v>1</v>
      </c>
      <c r="B264" s="14" t="s">
        <v>1</v>
      </c>
      <c r="C264" s="14" t="s">
        <v>39</v>
      </c>
      <c r="D264" s="30" t="s">
        <v>286</v>
      </c>
      <c r="E264" s="15">
        <f t="shared" si="402"/>
        <v>304647</v>
      </c>
      <c r="F264" s="16">
        <f t="shared" si="403"/>
        <v>247318</v>
      </c>
      <c r="G264" s="16">
        <f t="shared" si="404"/>
        <v>247318</v>
      </c>
      <c r="H264" s="16">
        <v>120000</v>
      </c>
      <c r="I264" s="16">
        <v>30000</v>
      </c>
      <c r="J264" s="16">
        <f t="shared" si="360"/>
        <v>43113</v>
      </c>
      <c r="K264" s="16">
        <v>0</v>
      </c>
      <c r="L264" s="16">
        <v>0</v>
      </c>
      <c r="M264" s="16">
        <v>0</v>
      </c>
      <c r="N264" s="16">
        <v>0</v>
      </c>
      <c r="O264" s="16">
        <v>37113</v>
      </c>
      <c r="P264" s="16">
        <v>6000</v>
      </c>
      <c r="Q264" s="16">
        <f t="shared" si="361"/>
        <v>1200</v>
      </c>
      <c r="R264" s="16">
        <v>1200</v>
      </c>
      <c r="S264" s="16">
        <v>0</v>
      </c>
      <c r="T264" s="16">
        <v>0</v>
      </c>
      <c r="U264" s="16">
        <v>7524</v>
      </c>
      <c r="V264" s="16">
        <f t="shared" si="405"/>
        <v>15310</v>
      </c>
      <c r="W264" s="16">
        <v>0</v>
      </c>
      <c r="X264" s="16">
        <v>0</v>
      </c>
      <c r="Y264" s="16">
        <v>0</v>
      </c>
      <c r="Z264" s="16">
        <f>9966+1730</f>
        <v>11696</v>
      </c>
      <c r="AA264" s="16">
        <v>718</v>
      </c>
      <c r="AB264" s="16">
        <v>0</v>
      </c>
      <c r="AC264" s="16">
        <v>0</v>
      </c>
      <c r="AD264" s="16">
        <f>2766+130</f>
        <v>2896</v>
      </c>
      <c r="AE264" s="16">
        <f t="shared" si="406"/>
        <v>30171</v>
      </c>
      <c r="AF264" s="16">
        <v>4000</v>
      </c>
      <c r="AG264" s="16">
        <v>7506</v>
      </c>
      <c r="AH264" s="16">
        <v>3545</v>
      </c>
      <c r="AI264" s="16">
        <v>0</v>
      </c>
      <c r="AJ264" s="16">
        <v>6364</v>
      </c>
      <c r="AK264" s="16">
        <v>0</v>
      </c>
      <c r="AL264" s="16">
        <v>1200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16">
        <v>0</v>
      </c>
      <c r="AS264" s="16">
        <v>0</v>
      </c>
      <c r="AT264" s="16">
        <v>0</v>
      </c>
      <c r="AU264" s="16">
        <v>0</v>
      </c>
      <c r="AV264" s="16">
        <v>0</v>
      </c>
      <c r="AW264" s="16">
        <v>0</v>
      </c>
      <c r="AX264" s="16">
        <v>0</v>
      </c>
      <c r="AY264" s="16">
        <v>0</v>
      </c>
      <c r="AZ264" s="16">
        <v>7556</v>
      </c>
      <c r="BA264" s="16">
        <f t="shared" si="407"/>
        <v>0</v>
      </c>
      <c r="BB264" s="16">
        <f t="shared" si="408"/>
        <v>0</v>
      </c>
      <c r="BC264" s="16">
        <v>0</v>
      </c>
      <c r="BD264" s="16">
        <v>0</v>
      </c>
      <c r="BE264" s="16">
        <v>0</v>
      </c>
      <c r="BF264" s="16">
        <f t="shared" si="362"/>
        <v>0</v>
      </c>
      <c r="BG264" s="16">
        <v>0</v>
      </c>
      <c r="BH264" s="16">
        <v>0</v>
      </c>
      <c r="BI264" s="16">
        <v>0</v>
      </c>
      <c r="BJ264" s="16">
        <v>0</v>
      </c>
      <c r="BK264" s="16">
        <f t="shared" si="363"/>
        <v>0</v>
      </c>
      <c r="BL264" s="16">
        <v>0</v>
      </c>
      <c r="BM264" s="16">
        <f t="shared" si="364"/>
        <v>0</v>
      </c>
      <c r="BN264" s="16">
        <v>0</v>
      </c>
      <c r="BO264" s="16">
        <v>0</v>
      </c>
      <c r="BP264" s="16">
        <v>0</v>
      </c>
      <c r="BQ264" s="16">
        <v>0</v>
      </c>
      <c r="BR264" s="16">
        <v>0</v>
      </c>
      <c r="BS264" s="16">
        <v>0</v>
      </c>
      <c r="BT264" s="16">
        <v>0</v>
      </c>
      <c r="BU264" s="16">
        <v>0</v>
      </c>
      <c r="BV264" s="16">
        <v>0</v>
      </c>
      <c r="BW264" s="16">
        <v>0</v>
      </c>
      <c r="BX264" s="16">
        <v>0</v>
      </c>
      <c r="BY264" s="16">
        <f t="shared" si="409"/>
        <v>57329</v>
      </c>
      <c r="BZ264" s="16">
        <f t="shared" si="410"/>
        <v>57329</v>
      </c>
      <c r="CA264" s="16">
        <f t="shared" si="365"/>
        <v>57329</v>
      </c>
      <c r="CB264" s="16">
        <v>0</v>
      </c>
      <c r="CC264" s="16">
        <f>57442-113</f>
        <v>57329</v>
      </c>
      <c r="CD264" s="16">
        <f t="shared" si="366"/>
        <v>0</v>
      </c>
      <c r="CE264" s="16">
        <v>0</v>
      </c>
      <c r="CF264" s="16">
        <v>0</v>
      </c>
      <c r="CG264" s="16">
        <v>0</v>
      </c>
      <c r="CH264" s="16">
        <v>0</v>
      </c>
      <c r="CI264" s="16">
        <v>0</v>
      </c>
      <c r="CJ264" s="16">
        <v>0</v>
      </c>
      <c r="CK264" s="16">
        <f t="shared" si="367"/>
        <v>0</v>
      </c>
      <c r="CL264" s="16">
        <v>0</v>
      </c>
      <c r="CM264" s="16">
        <v>0</v>
      </c>
      <c r="CN264" s="16">
        <v>0</v>
      </c>
      <c r="CO264" s="16">
        <v>0</v>
      </c>
      <c r="CP264" s="16">
        <v>0</v>
      </c>
      <c r="CQ264" s="16">
        <v>0</v>
      </c>
      <c r="CR264" s="16">
        <v>0</v>
      </c>
      <c r="CS264" s="16">
        <v>0</v>
      </c>
      <c r="CT264" s="16">
        <f t="shared" si="368"/>
        <v>0</v>
      </c>
      <c r="CU264" s="16">
        <f t="shared" si="369"/>
        <v>0</v>
      </c>
      <c r="CV264" s="16">
        <v>0</v>
      </c>
      <c r="CW264" s="17">
        <v>0</v>
      </c>
      <c r="CX264" s="40"/>
    </row>
    <row r="265" spans="1:102" ht="15.75" hidden="1" x14ac:dyDescent="0.25">
      <c r="A265" s="13" t="s">
        <v>247</v>
      </c>
      <c r="B265" s="14" t="s">
        <v>54</v>
      </c>
      <c r="C265" s="14" t="s">
        <v>1</v>
      </c>
      <c r="D265" s="30" t="s">
        <v>289</v>
      </c>
      <c r="E265" s="15">
        <f t="shared" ref="E265:AJ265" si="411">SUM(E266:E278)</f>
        <v>76733711</v>
      </c>
      <c r="F265" s="16">
        <f t="shared" si="411"/>
        <v>1346300</v>
      </c>
      <c r="G265" s="16">
        <f t="shared" si="411"/>
        <v>1346300</v>
      </c>
      <c r="H265" s="16">
        <f t="shared" si="411"/>
        <v>0</v>
      </c>
      <c r="I265" s="16">
        <f t="shared" si="411"/>
        <v>0</v>
      </c>
      <c r="J265" s="16">
        <f t="shared" si="411"/>
        <v>0</v>
      </c>
      <c r="K265" s="16">
        <f t="shared" si="411"/>
        <v>0</v>
      </c>
      <c r="L265" s="16">
        <f t="shared" si="411"/>
        <v>0</v>
      </c>
      <c r="M265" s="16">
        <f t="shared" si="411"/>
        <v>0</v>
      </c>
      <c r="N265" s="16">
        <f t="shared" si="411"/>
        <v>0</v>
      </c>
      <c r="O265" s="16">
        <f t="shared" si="411"/>
        <v>0</v>
      </c>
      <c r="P265" s="16">
        <f t="shared" si="411"/>
        <v>0</v>
      </c>
      <c r="Q265" s="16">
        <f t="shared" si="411"/>
        <v>0</v>
      </c>
      <c r="R265" s="16">
        <f t="shared" si="411"/>
        <v>0</v>
      </c>
      <c r="S265" s="16">
        <f t="shared" si="411"/>
        <v>0</v>
      </c>
      <c r="T265" s="16">
        <f t="shared" si="411"/>
        <v>0</v>
      </c>
      <c r="U265" s="16">
        <f t="shared" si="411"/>
        <v>0</v>
      </c>
      <c r="V265" s="16">
        <f t="shared" si="411"/>
        <v>0</v>
      </c>
      <c r="W265" s="16">
        <f t="shared" si="411"/>
        <v>0</v>
      </c>
      <c r="X265" s="16">
        <f t="shared" si="411"/>
        <v>0</v>
      </c>
      <c r="Y265" s="16">
        <f t="shared" si="411"/>
        <v>0</v>
      </c>
      <c r="Z265" s="16">
        <f t="shared" si="411"/>
        <v>0</v>
      </c>
      <c r="AA265" s="16">
        <f t="shared" si="411"/>
        <v>0</v>
      </c>
      <c r="AB265" s="16">
        <f t="shared" si="411"/>
        <v>0</v>
      </c>
      <c r="AC265" s="16">
        <f t="shared" si="411"/>
        <v>0</v>
      </c>
      <c r="AD265" s="16">
        <f t="shared" ref="AD265" si="412">SUM(AD266:AD278)</f>
        <v>0</v>
      </c>
      <c r="AE265" s="16">
        <f t="shared" si="411"/>
        <v>1346300</v>
      </c>
      <c r="AF265" s="16">
        <f t="shared" si="411"/>
        <v>0</v>
      </c>
      <c r="AG265" s="16">
        <f t="shared" si="411"/>
        <v>0</v>
      </c>
      <c r="AH265" s="16">
        <f t="shared" si="411"/>
        <v>0</v>
      </c>
      <c r="AI265" s="16">
        <f t="shared" si="411"/>
        <v>0</v>
      </c>
      <c r="AJ265" s="16">
        <f t="shared" si="411"/>
        <v>0</v>
      </c>
      <c r="AK265" s="16">
        <f t="shared" ref="AK265:BP265" si="413">SUM(AK266:AK278)</f>
        <v>0</v>
      </c>
      <c r="AL265" s="16">
        <f t="shared" si="413"/>
        <v>0</v>
      </c>
      <c r="AM265" s="16">
        <f t="shared" si="413"/>
        <v>0</v>
      </c>
      <c r="AN265" s="16">
        <f t="shared" si="413"/>
        <v>0</v>
      </c>
      <c r="AO265" s="16">
        <f t="shared" si="413"/>
        <v>0</v>
      </c>
      <c r="AP265" s="16">
        <f t="shared" si="413"/>
        <v>0</v>
      </c>
      <c r="AQ265" s="16">
        <f t="shared" si="413"/>
        <v>0</v>
      </c>
      <c r="AR265" s="16">
        <f t="shared" si="413"/>
        <v>0</v>
      </c>
      <c r="AS265" s="16">
        <f t="shared" si="413"/>
        <v>0</v>
      </c>
      <c r="AT265" s="16">
        <f t="shared" si="413"/>
        <v>0</v>
      </c>
      <c r="AU265" s="16">
        <f t="shared" si="413"/>
        <v>0</v>
      </c>
      <c r="AV265" s="16">
        <f t="shared" si="413"/>
        <v>0</v>
      </c>
      <c r="AW265" s="16">
        <f t="shared" si="413"/>
        <v>0</v>
      </c>
      <c r="AX265" s="16">
        <f t="shared" si="413"/>
        <v>0</v>
      </c>
      <c r="AY265" s="16">
        <f t="shared" si="413"/>
        <v>0</v>
      </c>
      <c r="AZ265" s="16">
        <f t="shared" si="413"/>
        <v>1346300</v>
      </c>
      <c r="BA265" s="16">
        <f t="shared" si="413"/>
        <v>0</v>
      </c>
      <c r="BB265" s="16">
        <f t="shared" si="413"/>
        <v>0</v>
      </c>
      <c r="BC265" s="16">
        <f t="shared" si="413"/>
        <v>0</v>
      </c>
      <c r="BD265" s="16">
        <f t="shared" si="413"/>
        <v>0</v>
      </c>
      <c r="BE265" s="16">
        <f t="shared" si="413"/>
        <v>0</v>
      </c>
      <c r="BF265" s="16">
        <f t="shared" si="413"/>
        <v>0</v>
      </c>
      <c r="BG265" s="16">
        <f t="shared" si="413"/>
        <v>0</v>
      </c>
      <c r="BH265" s="16">
        <f t="shared" si="413"/>
        <v>0</v>
      </c>
      <c r="BI265" s="16">
        <f t="shared" si="413"/>
        <v>0</v>
      </c>
      <c r="BJ265" s="16">
        <f t="shared" si="413"/>
        <v>0</v>
      </c>
      <c r="BK265" s="16">
        <f t="shared" si="413"/>
        <v>0</v>
      </c>
      <c r="BL265" s="16">
        <f t="shared" si="413"/>
        <v>0</v>
      </c>
      <c r="BM265" s="16">
        <f t="shared" si="413"/>
        <v>0</v>
      </c>
      <c r="BN265" s="16">
        <f t="shared" si="413"/>
        <v>0</v>
      </c>
      <c r="BO265" s="16">
        <f t="shared" si="413"/>
        <v>0</v>
      </c>
      <c r="BP265" s="16">
        <f t="shared" si="413"/>
        <v>0</v>
      </c>
      <c r="BQ265" s="16">
        <f t="shared" ref="BQ265:CW265" si="414">SUM(BQ266:BQ278)</f>
        <v>0</v>
      </c>
      <c r="BR265" s="16">
        <f t="shared" si="414"/>
        <v>0</v>
      </c>
      <c r="BS265" s="16">
        <f t="shared" si="414"/>
        <v>0</v>
      </c>
      <c r="BT265" s="16">
        <f t="shared" si="414"/>
        <v>0</v>
      </c>
      <c r="BU265" s="16">
        <f t="shared" si="414"/>
        <v>0</v>
      </c>
      <c r="BV265" s="16">
        <f t="shared" si="414"/>
        <v>0</v>
      </c>
      <c r="BW265" s="16">
        <f t="shared" si="414"/>
        <v>0</v>
      </c>
      <c r="BX265" s="16">
        <f t="shared" si="414"/>
        <v>0</v>
      </c>
      <c r="BY265" s="16">
        <f t="shared" si="414"/>
        <v>75387411</v>
      </c>
      <c r="BZ265" s="16">
        <f t="shared" si="414"/>
        <v>0</v>
      </c>
      <c r="CA265" s="16">
        <f t="shared" si="414"/>
        <v>0</v>
      </c>
      <c r="CB265" s="16">
        <f t="shared" si="414"/>
        <v>0</v>
      </c>
      <c r="CC265" s="16">
        <f t="shared" si="414"/>
        <v>0</v>
      </c>
      <c r="CD265" s="16">
        <f t="shared" si="414"/>
        <v>0</v>
      </c>
      <c r="CE265" s="16">
        <f t="shared" si="414"/>
        <v>0</v>
      </c>
      <c r="CF265" s="16">
        <f t="shared" si="414"/>
        <v>0</v>
      </c>
      <c r="CG265" s="16">
        <f t="shared" si="414"/>
        <v>0</v>
      </c>
      <c r="CH265" s="16">
        <f t="shared" si="414"/>
        <v>0</v>
      </c>
      <c r="CI265" s="16">
        <f t="shared" si="414"/>
        <v>0</v>
      </c>
      <c r="CJ265" s="16">
        <f t="shared" ref="CJ265" si="415">SUM(CJ266:CJ278)</f>
        <v>0</v>
      </c>
      <c r="CK265" s="16">
        <f t="shared" si="414"/>
        <v>0</v>
      </c>
      <c r="CL265" s="16">
        <f t="shared" si="414"/>
        <v>0</v>
      </c>
      <c r="CM265" s="16">
        <f t="shared" si="414"/>
        <v>0</v>
      </c>
      <c r="CN265" s="16">
        <f t="shared" si="414"/>
        <v>0</v>
      </c>
      <c r="CO265" s="16">
        <f t="shared" si="414"/>
        <v>0</v>
      </c>
      <c r="CP265" s="16">
        <f t="shared" si="414"/>
        <v>0</v>
      </c>
      <c r="CQ265" s="16">
        <f t="shared" si="414"/>
        <v>0</v>
      </c>
      <c r="CR265" s="16">
        <f t="shared" si="414"/>
        <v>0</v>
      </c>
      <c r="CS265" s="16">
        <f t="shared" si="414"/>
        <v>75387411</v>
      </c>
      <c r="CT265" s="16">
        <f t="shared" si="414"/>
        <v>0</v>
      </c>
      <c r="CU265" s="16">
        <f t="shared" si="414"/>
        <v>0</v>
      </c>
      <c r="CV265" s="16">
        <f t="shared" si="414"/>
        <v>0</v>
      </c>
      <c r="CW265" s="17">
        <f t="shared" si="414"/>
        <v>0</v>
      </c>
      <c r="CX265" s="40"/>
    </row>
    <row r="266" spans="1:102" ht="31.5" hidden="1" x14ac:dyDescent="0.25">
      <c r="A266" s="13" t="s">
        <v>1</v>
      </c>
      <c r="B266" s="14" t="s">
        <v>1</v>
      </c>
      <c r="C266" s="14" t="s">
        <v>17</v>
      </c>
      <c r="D266" s="30" t="s">
        <v>531</v>
      </c>
      <c r="E266" s="15">
        <f t="shared" ref="E266:E278" si="416">SUM(F266+BY266+CT266)</f>
        <v>1346300</v>
      </c>
      <c r="F266" s="16">
        <f t="shared" ref="F266:F278" si="417">SUM(G266+BA266)</f>
        <v>1346300</v>
      </c>
      <c r="G266" s="16">
        <f t="shared" ref="G266:G278" si="418">SUM(H266+I266+J266+Q266+T266+U266+V266+AE266)</f>
        <v>1346300</v>
      </c>
      <c r="H266" s="16">
        <v>0</v>
      </c>
      <c r="I266" s="16">
        <v>0</v>
      </c>
      <c r="J266" s="16">
        <f>SUM(K266:P266)</f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f>SUM(R266:S266)</f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f t="shared" ref="V266:V278" si="419">SUM(W266:AD266)</f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f t="shared" ref="AE266:AE278" si="420">SUM(AF266:AZ266)</f>
        <v>1346300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0</v>
      </c>
      <c r="AT266" s="16">
        <v>0</v>
      </c>
      <c r="AU266" s="16">
        <v>0</v>
      </c>
      <c r="AV266" s="16">
        <v>0</v>
      </c>
      <c r="AW266" s="16">
        <v>0</v>
      </c>
      <c r="AX266" s="16">
        <v>0</v>
      </c>
      <c r="AY266" s="16">
        <v>0</v>
      </c>
      <c r="AZ266" s="16">
        <v>1346300</v>
      </c>
      <c r="BA266" s="16">
        <f t="shared" ref="BA266:BA278" si="421">SUM(BB266+BF266+BI266+BK266+BM266)</f>
        <v>0</v>
      </c>
      <c r="BB266" s="16">
        <f t="shared" ref="BB266:BB278" si="422">SUM(BC266:BE266)</f>
        <v>0</v>
      </c>
      <c r="BC266" s="16">
        <v>0</v>
      </c>
      <c r="BD266" s="16">
        <v>0</v>
      </c>
      <c r="BE266" s="16">
        <v>0</v>
      </c>
      <c r="BF266" s="16">
        <f>SUM(BG266:BH266)</f>
        <v>0</v>
      </c>
      <c r="BG266" s="16">
        <v>0</v>
      </c>
      <c r="BH266" s="16">
        <v>0</v>
      </c>
      <c r="BI266" s="16">
        <v>0</v>
      </c>
      <c r="BJ266" s="16">
        <v>0</v>
      </c>
      <c r="BK266" s="16">
        <f>SUM(BL266)</f>
        <v>0</v>
      </c>
      <c r="BL266" s="16">
        <v>0</v>
      </c>
      <c r="BM266" s="16">
        <f>SUM(BN266:BX266)</f>
        <v>0</v>
      </c>
      <c r="BN266" s="16">
        <v>0</v>
      </c>
      <c r="BO266" s="16">
        <v>0</v>
      </c>
      <c r="BP266" s="16">
        <v>0</v>
      </c>
      <c r="BQ266" s="16">
        <v>0</v>
      </c>
      <c r="BR266" s="16">
        <v>0</v>
      </c>
      <c r="BS266" s="16">
        <v>0</v>
      </c>
      <c r="BT266" s="16">
        <v>0</v>
      </c>
      <c r="BU266" s="16">
        <v>0</v>
      </c>
      <c r="BV266" s="16">
        <v>0</v>
      </c>
      <c r="BW266" s="16">
        <v>0</v>
      </c>
      <c r="BX266" s="16">
        <v>0</v>
      </c>
      <c r="BY266" s="16">
        <f t="shared" ref="BY266:BY278" si="423">SUM(BZ266+CS266)</f>
        <v>0</v>
      </c>
      <c r="BZ266" s="16">
        <f t="shared" ref="BZ266:BZ278" si="424">SUM(CA266+CD266+CK266)</f>
        <v>0</v>
      </c>
      <c r="CA266" s="16">
        <f>SUM(CB266:CC266)</f>
        <v>0</v>
      </c>
      <c r="CB266" s="16">
        <v>0</v>
      </c>
      <c r="CC266" s="16">
        <v>0</v>
      </c>
      <c r="CD266" s="16">
        <f>SUM(CE266:CI266)</f>
        <v>0</v>
      </c>
      <c r="CE266" s="16">
        <v>0</v>
      </c>
      <c r="CF266" s="16">
        <v>0</v>
      </c>
      <c r="CG266" s="16">
        <v>0</v>
      </c>
      <c r="CH266" s="16">
        <v>0</v>
      </c>
      <c r="CI266" s="16">
        <v>0</v>
      </c>
      <c r="CJ266" s="16">
        <v>0</v>
      </c>
      <c r="CK266" s="16">
        <f>SUM(CL266:CP266)</f>
        <v>0</v>
      </c>
      <c r="CL266" s="16">
        <v>0</v>
      </c>
      <c r="CM266" s="16">
        <v>0</v>
      </c>
      <c r="CN266" s="16">
        <v>0</v>
      </c>
      <c r="CO266" s="16">
        <v>0</v>
      </c>
      <c r="CP266" s="16">
        <v>0</v>
      </c>
      <c r="CQ266" s="16">
        <v>0</v>
      </c>
      <c r="CR266" s="16">
        <v>0</v>
      </c>
      <c r="CS266" s="16"/>
      <c r="CT266" s="16">
        <f>SUM(CU266)</f>
        <v>0</v>
      </c>
      <c r="CU266" s="16">
        <f>SUM(CV266:CW266)</f>
        <v>0</v>
      </c>
      <c r="CV266" s="16">
        <v>0</v>
      </c>
      <c r="CW266" s="17">
        <v>0</v>
      </c>
      <c r="CX266" s="40"/>
    </row>
    <row r="267" spans="1:102" ht="31.5" hidden="1" x14ac:dyDescent="0.25">
      <c r="A267" s="13" t="s">
        <v>1</v>
      </c>
      <c r="B267" s="14" t="s">
        <v>1</v>
      </c>
      <c r="C267" s="14" t="s">
        <v>17</v>
      </c>
      <c r="D267" s="30" t="s">
        <v>545</v>
      </c>
      <c r="E267" s="15">
        <f t="shared" si="416"/>
        <v>8027004</v>
      </c>
      <c r="F267" s="16">
        <f t="shared" si="417"/>
        <v>0</v>
      </c>
      <c r="G267" s="16">
        <f t="shared" si="418"/>
        <v>0</v>
      </c>
      <c r="H267" s="16">
        <v>0</v>
      </c>
      <c r="I267" s="16">
        <v>0</v>
      </c>
      <c r="J267" s="16">
        <f>SUM(K267:P267)</f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f>SUM(R267:S267)</f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f t="shared" si="419"/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f>SUM(AF267:AZ267)</f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  <c r="AT267" s="16">
        <v>0</v>
      </c>
      <c r="AU267" s="16">
        <v>0</v>
      </c>
      <c r="AV267" s="16">
        <v>0</v>
      </c>
      <c r="AW267" s="16">
        <v>0</v>
      </c>
      <c r="AX267" s="16">
        <v>0</v>
      </c>
      <c r="AY267" s="16">
        <v>0</v>
      </c>
      <c r="AZ267" s="16">
        <v>0</v>
      </c>
      <c r="BA267" s="16">
        <f t="shared" si="421"/>
        <v>0</v>
      </c>
      <c r="BB267" s="16">
        <f t="shared" si="422"/>
        <v>0</v>
      </c>
      <c r="BC267" s="16">
        <v>0</v>
      </c>
      <c r="BD267" s="16">
        <v>0</v>
      </c>
      <c r="BE267" s="16">
        <v>0</v>
      </c>
      <c r="BF267" s="16">
        <f>SUM(BG267:BH267)</f>
        <v>0</v>
      </c>
      <c r="BG267" s="16">
        <v>0</v>
      </c>
      <c r="BH267" s="16">
        <v>0</v>
      </c>
      <c r="BI267" s="16">
        <v>0</v>
      </c>
      <c r="BJ267" s="16">
        <v>0</v>
      </c>
      <c r="BK267" s="16">
        <f>SUM(BL267)</f>
        <v>0</v>
      </c>
      <c r="BL267" s="16">
        <v>0</v>
      </c>
      <c r="BM267" s="16">
        <f>SUM(BN267:BX267)</f>
        <v>0</v>
      </c>
      <c r="BN267" s="16">
        <v>0</v>
      </c>
      <c r="BO267" s="16">
        <v>0</v>
      </c>
      <c r="BP267" s="16">
        <v>0</v>
      </c>
      <c r="BQ267" s="16">
        <v>0</v>
      </c>
      <c r="BR267" s="16">
        <v>0</v>
      </c>
      <c r="BS267" s="16">
        <v>0</v>
      </c>
      <c r="BT267" s="16">
        <v>0</v>
      </c>
      <c r="BU267" s="16">
        <v>0</v>
      </c>
      <c r="BV267" s="16">
        <v>0</v>
      </c>
      <c r="BW267" s="16">
        <v>0</v>
      </c>
      <c r="BX267" s="16">
        <v>0</v>
      </c>
      <c r="BY267" s="16">
        <f t="shared" si="423"/>
        <v>8027004</v>
      </c>
      <c r="BZ267" s="16">
        <f t="shared" si="424"/>
        <v>0</v>
      </c>
      <c r="CA267" s="16">
        <f>SUM(CB267:CC267)</f>
        <v>0</v>
      </c>
      <c r="CB267" s="16">
        <v>0</v>
      </c>
      <c r="CC267" s="16">
        <v>0</v>
      </c>
      <c r="CD267" s="16">
        <f>SUM(CE267:CI267)</f>
        <v>0</v>
      </c>
      <c r="CE267" s="16">
        <v>0</v>
      </c>
      <c r="CF267" s="16">
        <v>0</v>
      </c>
      <c r="CG267" s="16">
        <v>0</v>
      </c>
      <c r="CH267" s="16">
        <v>0</v>
      </c>
      <c r="CI267" s="16">
        <v>0</v>
      </c>
      <c r="CJ267" s="16">
        <v>0</v>
      </c>
      <c r="CK267" s="16">
        <f>SUM(CL267:CP267)</f>
        <v>0</v>
      </c>
      <c r="CL267" s="16">
        <v>0</v>
      </c>
      <c r="CM267" s="16">
        <v>0</v>
      </c>
      <c r="CN267" s="16">
        <v>0</v>
      </c>
      <c r="CO267" s="16">
        <v>0</v>
      </c>
      <c r="CP267" s="16">
        <v>0</v>
      </c>
      <c r="CQ267" s="16">
        <v>0</v>
      </c>
      <c r="CR267" s="16">
        <v>0</v>
      </c>
      <c r="CS267" s="16">
        <v>8027004</v>
      </c>
      <c r="CT267" s="16">
        <f>SUM(CU267)</f>
        <v>0</v>
      </c>
      <c r="CU267" s="16">
        <f>SUM(CV267:CW267)</f>
        <v>0</v>
      </c>
      <c r="CV267" s="16">
        <v>0</v>
      </c>
      <c r="CW267" s="17">
        <v>0</v>
      </c>
      <c r="CX267" s="40"/>
    </row>
    <row r="268" spans="1:102" ht="15.75" hidden="1" x14ac:dyDescent="0.25">
      <c r="A268" s="13" t="s">
        <v>1</v>
      </c>
      <c r="B268" s="14" t="s">
        <v>1</v>
      </c>
      <c r="C268" s="14" t="s">
        <v>19</v>
      </c>
      <c r="D268" s="30" t="s">
        <v>511</v>
      </c>
      <c r="E268" s="15">
        <f t="shared" si="416"/>
        <v>8321340</v>
      </c>
      <c r="F268" s="16">
        <f t="shared" si="417"/>
        <v>0</v>
      </c>
      <c r="G268" s="16">
        <f t="shared" si="418"/>
        <v>0</v>
      </c>
      <c r="H268" s="16">
        <v>0</v>
      </c>
      <c r="I268" s="16">
        <v>0</v>
      </c>
      <c r="J268" s="16">
        <f t="shared" si="360"/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f t="shared" si="361"/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f t="shared" si="419"/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f t="shared" si="420"/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0</v>
      </c>
      <c r="AT268" s="16">
        <v>0</v>
      </c>
      <c r="AU268" s="16">
        <v>0</v>
      </c>
      <c r="AV268" s="16">
        <v>0</v>
      </c>
      <c r="AW268" s="16">
        <v>0</v>
      </c>
      <c r="AX268" s="16">
        <v>0</v>
      </c>
      <c r="AY268" s="16">
        <v>0</v>
      </c>
      <c r="AZ268" s="16">
        <v>0</v>
      </c>
      <c r="BA268" s="16">
        <f t="shared" si="421"/>
        <v>0</v>
      </c>
      <c r="BB268" s="16">
        <f t="shared" si="422"/>
        <v>0</v>
      </c>
      <c r="BC268" s="16">
        <v>0</v>
      </c>
      <c r="BD268" s="16">
        <v>0</v>
      </c>
      <c r="BE268" s="16">
        <v>0</v>
      </c>
      <c r="BF268" s="16">
        <f t="shared" si="362"/>
        <v>0</v>
      </c>
      <c r="BG268" s="16">
        <v>0</v>
      </c>
      <c r="BH268" s="16">
        <v>0</v>
      </c>
      <c r="BI268" s="16">
        <v>0</v>
      </c>
      <c r="BJ268" s="16">
        <v>0</v>
      </c>
      <c r="BK268" s="16">
        <f t="shared" si="363"/>
        <v>0</v>
      </c>
      <c r="BL268" s="16">
        <v>0</v>
      </c>
      <c r="BM268" s="16">
        <f t="shared" si="364"/>
        <v>0</v>
      </c>
      <c r="BN268" s="16">
        <v>0</v>
      </c>
      <c r="BO268" s="16">
        <v>0</v>
      </c>
      <c r="BP268" s="16">
        <v>0</v>
      </c>
      <c r="BQ268" s="16">
        <v>0</v>
      </c>
      <c r="BR268" s="16">
        <v>0</v>
      </c>
      <c r="BS268" s="16">
        <v>0</v>
      </c>
      <c r="BT268" s="16">
        <v>0</v>
      </c>
      <c r="BU268" s="16">
        <v>0</v>
      </c>
      <c r="BV268" s="16">
        <v>0</v>
      </c>
      <c r="BW268" s="16">
        <v>0</v>
      </c>
      <c r="BX268" s="16">
        <v>0</v>
      </c>
      <c r="BY268" s="16">
        <f t="shared" si="423"/>
        <v>8321340</v>
      </c>
      <c r="BZ268" s="16">
        <f t="shared" si="424"/>
        <v>0</v>
      </c>
      <c r="CA268" s="16">
        <f t="shared" si="365"/>
        <v>0</v>
      </c>
      <c r="CB268" s="16">
        <v>0</v>
      </c>
      <c r="CC268" s="16">
        <v>0</v>
      </c>
      <c r="CD268" s="16">
        <f t="shared" si="366"/>
        <v>0</v>
      </c>
      <c r="CE268" s="16">
        <v>0</v>
      </c>
      <c r="CF268" s="16">
        <v>0</v>
      </c>
      <c r="CG268" s="16">
        <v>0</v>
      </c>
      <c r="CH268" s="16">
        <v>0</v>
      </c>
      <c r="CI268" s="16">
        <v>0</v>
      </c>
      <c r="CJ268" s="16">
        <v>0</v>
      </c>
      <c r="CK268" s="16">
        <f t="shared" si="367"/>
        <v>0</v>
      </c>
      <c r="CL268" s="16">
        <v>0</v>
      </c>
      <c r="CM268" s="16">
        <v>0</v>
      </c>
      <c r="CN268" s="16">
        <v>0</v>
      </c>
      <c r="CO268" s="16">
        <v>0</v>
      </c>
      <c r="CP268" s="16">
        <v>0</v>
      </c>
      <c r="CQ268" s="16">
        <v>0</v>
      </c>
      <c r="CR268" s="16">
        <v>0</v>
      </c>
      <c r="CS268" s="16">
        <v>8321340</v>
      </c>
      <c r="CT268" s="16">
        <f t="shared" si="368"/>
        <v>0</v>
      </c>
      <c r="CU268" s="16">
        <f t="shared" si="369"/>
        <v>0</v>
      </c>
      <c r="CV268" s="16">
        <v>0</v>
      </c>
      <c r="CW268" s="17">
        <v>0</v>
      </c>
      <c r="CX268" s="40"/>
    </row>
    <row r="269" spans="1:102" ht="15.75" hidden="1" x14ac:dyDescent="0.25">
      <c r="A269" s="13" t="s">
        <v>1</v>
      </c>
      <c r="B269" s="14" t="s">
        <v>1</v>
      </c>
      <c r="C269" s="14" t="s">
        <v>21</v>
      </c>
      <c r="D269" s="30" t="s">
        <v>293</v>
      </c>
      <c r="E269" s="15">
        <f t="shared" si="416"/>
        <v>5636486</v>
      </c>
      <c r="F269" s="16">
        <f t="shared" si="417"/>
        <v>0</v>
      </c>
      <c r="G269" s="16">
        <f t="shared" si="418"/>
        <v>0</v>
      </c>
      <c r="H269" s="16">
        <v>0</v>
      </c>
      <c r="I269" s="16">
        <v>0</v>
      </c>
      <c r="J269" s="16">
        <f>SUM(K269:P269)</f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f>SUM(R269:S269)</f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f t="shared" si="419"/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f>SUM(AF269:AZ269)</f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16">
        <v>0</v>
      </c>
      <c r="AU269" s="16">
        <v>0</v>
      </c>
      <c r="AV269" s="16">
        <v>0</v>
      </c>
      <c r="AW269" s="16">
        <v>0</v>
      </c>
      <c r="AX269" s="16">
        <v>0</v>
      </c>
      <c r="AY269" s="16">
        <v>0</v>
      </c>
      <c r="AZ269" s="16">
        <v>0</v>
      </c>
      <c r="BA269" s="16">
        <f t="shared" si="421"/>
        <v>0</v>
      </c>
      <c r="BB269" s="16">
        <f t="shared" si="422"/>
        <v>0</v>
      </c>
      <c r="BC269" s="16">
        <v>0</v>
      </c>
      <c r="BD269" s="16">
        <v>0</v>
      </c>
      <c r="BE269" s="16">
        <v>0</v>
      </c>
      <c r="BF269" s="16">
        <f>SUM(BG269:BH269)</f>
        <v>0</v>
      </c>
      <c r="BG269" s="16">
        <v>0</v>
      </c>
      <c r="BH269" s="16">
        <v>0</v>
      </c>
      <c r="BI269" s="16">
        <v>0</v>
      </c>
      <c r="BJ269" s="16">
        <v>0</v>
      </c>
      <c r="BK269" s="16">
        <f>SUM(BL269)</f>
        <v>0</v>
      </c>
      <c r="BL269" s="16">
        <v>0</v>
      </c>
      <c r="BM269" s="16">
        <f>SUM(BN269:BX269)</f>
        <v>0</v>
      </c>
      <c r="BN269" s="16">
        <v>0</v>
      </c>
      <c r="BO269" s="16">
        <v>0</v>
      </c>
      <c r="BP269" s="16">
        <v>0</v>
      </c>
      <c r="BQ269" s="16">
        <v>0</v>
      </c>
      <c r="BR269" s="16">
        <v>0</v>
      </c>
      <c r="BS269" s="16">
        <v>0</v>
      </c>
      <c r="BT269" s="16">
        <v>0</v>
      </c>
      <c r="BU269" s="16">
        <v>0</v>
      </c>
      <c r="BV269" s="16">
        <v>0</v>
      </c>
      <c r="BW269" s="16">
        <v>0</v>
      </c>
      <c r="BX269" s="16">
        <v>0</v>
      </c>
      <c r="BY269" s="16">
        <f t="shared" si="423"/>
        <v>5636486</v>
      </c>
      <c r="BZ269" s="16">
        <f t="shared" si="424"/>
        <v>0</v>
      </c>
      <c r="CA269" s="16">
        <f>SUM(CB269:CC269)</f>
        <v>0</v>
      </c>
      <c r="CB269" s="16">
        <v>0</v>
      </c>
      <c r="CC269" s="16">
        <v>0</v>
      </c>
      <c r="CD269" s="16">
        <f>SUM(CE269:CI269)</f>
        <v>0</v>
      </c>
      <c r="CE269" s="16">
        <v>0</v>
      </c>
      <c r="CF269" s="16">
        <v>0</v>
      </c>
      <c r="CG269" s="16">
        <v>0</v>
      </c>
      <c r="CH269" s="16">
        <v>0</v>
      </c>
      <c r="CI269" s="16">
        <v>0</v>
      </c>
      <c r="CJ269" s="16">
        <v>0</v>
      </c>
      <c r="CK269" s="16">
        <f>SUM(CL269:CP269)</f>
        <v>0</v>
      </c>
      <c r="CL269" s="16">
        <v>0</v>
      </c>
      <c r="CM269" s="16">
        <v>0</v>
      </c>
      <c r="CN269" s="16">
        <v>0</v>
      </c>
      <c r="CO269" s="16">
        <v>0</v>
      </c>
      <c r="CP269" s="16">
        <v>0</v>
      </c>
      <c r="CQ269" s="16">
        <v>0</v>
      </c>
      <c r="CR269" s="16">
        <v>0</v>
      </c>
      <c r="CS269" s="16">
        <f>9289352-3652866</f>
        <v>5636486</v>
      </c>
      <c r="CT269" s="16">
        <f>SUM(CU269)</f>
        <v>0</v>
      </c>
      <c r="CU269" s="16">
        <f>SUM(CV269:CW269)</f>
        <v>0</v>
      </c>
      <c r="CV269" s="16">
        <v>0</v>
      </c>
      <c r="CW269" s="17">
        <v>0</v>
      </c>
      <c r="CX269" s="40"/>
    </row>
    <row r="270" spans="1:102" ht="15.75" hidden="1" x14ac:dyDescent="0.25">
      <c r="A270" s="13" t="s">
        <v>1</v>
      </c>
      <c r="B270" s="14" t="s">
        <v>1</v>
      </c>
      <c r="C270" s="14" t="s">
        <v>21</v>
      </c>
      <c r="D270" s="30" t="s">
        <v>292</v>
      </c>
      <c r="E270" s="15">
        <f t="shared" si="416"/>
        <v>14871466</v>
      </c>
      <c r="F270" s="16">
        <f t="shared" si="417"/>
        <v>0</v>
      </c>
      <c r="G270" s="16">
        <f t="shared" si="418"/>
        <v>0</v>
      </c>
      <c r="H270" s="16">
        <v>0</v>
      </c>
      <c r="I270" s="16">
        <v>0</v>
      </c>
      <c r="J270" s="16">
        <f>SUM(K270:P270)</f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f>SUM(R270:S270)</f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f t="shared" si="419"/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f>SUM(AF270:AZ270)</f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  <c r="AT270" s="16">
        <v>0</v>
      </c>
      <c r="AU270" s="16">
        <v>0</v>
      </c>
      <c r="AV270" s="16">
        <v>0</v>
      </c>
      <c r="AW270" s="16">
        <v>0</v>
      </c>
      <c r="AX270" s="16">
        <v>0</v>
      </c>
      <c r="AY270" s="16">
        <v>0</v>
      </c>
      <c r="AZ270" s="16">
        <v>0</v>
      </c>
      <c r="BA270" s="16">
        <f t="shared" si="421"/>
        <v>0</v>
      </c>
      <c r="BB270" s="16">
        <f t="shared" si="422"/>
        <v>0</v>
      </c>
      <c r="BC270" s="16">
        <v>0</v>
      </c>
      <c r="BD270" s="16">
        <v>0</v>
      </c>
      <c r="BE270" s="16">
        <v>0</v>
      </c>
      <c r="BF270" s="16">
        <f>SUM(BG270:BH270)</f>
        <v>0</v>
      </c>
      <c r="BG270" s="16">
        <v>0</v>
      </c>
      <c r="BH270" s="16">
        <v>0</v>
      </c>
      <c r="BI270" s="16">
        <v>0</v>
      </c>
      <c r="BJ270" s="16">
        <v>0</v>
      </c>
      <c r="BK270" s="16">
        <f>SUM(BL270)</f>
        <v>0</v>
      </c>
      <c r="BL270" s="16">
        <v>0</v>
      </c>
      <c r="BM270" s="16">
        <f>SUM(BN270:BX270)</f>
        <v>0</v>
      </c>
      <c r="BN270" s="16">
        <v>0</v>
      </c>
      <c r="BO270" s="16">
        <v>0</v>
      </c>
      <c r="BP270" s="16">
        <v>0</v>
      </c>
      <c r="BQ270" s="16">
        <v>0</v>
      </c>
      <c r="BR270" s="16">
        <v>0</v>
      </c>
      <c r="BS270" s="16">
        <v>0</v>
      </c>
      <c r="BT270" s="16">
        <v>0</v>
      </c>
      <c r="BU270" s="16">
        <v>0</v>
      </c>
      <c r="BV270" s="16">
        <v>0</v>
      </c>
      <c r="BW270" s="16">
        <v>0</v>
      </c>
      <c r="BX270" s="16">
        <v>0</v>
      </c>
      <c r="BY270" s="16">
        <f t="shared" si="423"/>
        <v>14871466</v>
      </c>
      <c r="BZ270" s="16">
        <f t="shared" si="424"/>
        <v>0</v>
      </c>
      <c r="CA270" s="16">
        <f>SUM(CB270:CC270)</f>
        <v>0</v>
      </c>
      <c r="CB270" s="16">
        <v>0</v>
      </c>
      <c r="CC270" s="16">
        <v>0</v>
      </c>
      <c r="CD270" s="16">
        <f>SUM(CE270:CI270)</f>
        <v>0</v>
      </c>
      <c r="CE270" s="16">
        <v>0</v>
      </c>
      <c r="CF270" s="16">
        <v>0</v>
      </c>
      <c r="CG270" s="16">
        <v>0</v>
      </c>
      <c r="CH270" s="16">
        <v>0</v>
      </c>
      <c r="CI270" s="16">
        <v>0</v>
      </c>
      <c r="CJ270" s="16">
        <v>0</v>
      </c>
      <c r="CK270" s="16">
        <f>SUM(CL270:CP270)</f>
        <v>0</v>
      </c>
      <c r="CL270" s="16">
        <v>0</v>
      </c>
      <c r="CM270" s="16">
        <v>0</v>
      </c>
      <c r="CN270" s="16">
        <v>0</v>
      </c>
      <c r="CO270" s="16">
        <v>0</v>
      </c>
      <c r="CP270" s="16">
        <v>0</v>
      </c>
      <c r="CQ270" s="16">
        <v>0</v>
      </c>
      <c r="CR270" s="16">
        <v>0</v>
      </c>
      <c r="CS270" s="16">
        <v>14871466</v>
      </c>
      <c r="CT270" s="16">
        <f>SUM(CU270)</f>
        <v>0</v>
      </c>
      <c r="CU270" s="16">
        <f>SUM(CV270:CW270)</f>
        <v>0</v>
      </c>
      <c r="CV270" s="16">
        <v>0</v>
      </c>
      <c r="CW270" s="17">
        <v>0</v>
      </c>
      <c r="CX270" s="40"/>
    </row>
    <row r="271" spans="1:102" ht="31.5" hidden="1" x14ac:dyDescent="0.25">
      <c r="A271" s="13" t="s">
        <v>1</v>
      </c>
      <c r="B271" s="14" t="s">
        <v>1</v>
      </c>
      <c r="C271" s="14" t="s">
        <v>21</v>
      </c>
      <c r="D271" s="30" t="s">
        <v>291</v>
      </c>
      <c r="E271" s="15">
        <f t="shared" si="416"/>
        <v>4968407</v>
      </c>
      <c r="F271" s="16">
        <f t="shared" si="417"/>
        <v>0</v>
      </c>
      <c r="G271" s="16">
        <f t="shared" si="418"/>
        <v>0</v>
      </c>
      <c r="H271" s="16">
        <v>0</v>
      </c>
      <c r="I271" s="16">
        <v>0</v>
      </c>
      <c r="J271" s="16">
        <f>SUM(K271:P271)</f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f>SUM(R271:S271)</f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f t="shared" si="419"/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f>SUM(AF271:AZ271)</f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0</v>
      </c>
      <c r="AT271" s="16">
        <v>0</v>
      </c>
      <c r="AU271" s="16">
        <v>0</v>
      </c>
      <c r="AV271" s="16">
        <v>0</v>
      </c>
      <c r="AW271" s="16">
        <v>0</v>
      </c>
      <c r="AX271" s="16">
        <v>0</v>
      </c>
      <c r="AY271" s="16">
        <v>0</v>
      </c>
      <c r="AZ271" s="16">
        <v>0</v>
      </c>
      <c r="BA271" s="16">
        <f t="shared" si="421"/>
        <v>0</v>
      </c>
      <c r="BB271" s="16">
        <f t="shared" si="422"/>
        <v>0</v>
      </c>
      <c r="BC271" s="16">
        <v>0</v>
      </c>
      <c r="BD271" s="16">
        <v>0</v>
      </c>
      <c r="BE271" s="16">
        <v>0</v>
      </c>
      <c r="BF271" s="16">
        <f>SUM(BG271:BH271)</f>
        <v>0</v>
      </c>
      <c r="BG271" s="16">
        <v>0</v>
      </c>
      <c r="BH271" s="16">
        <v>0</v>
      </c>
      <c r="BI271" s="16">
        <v>0</v>
      </c>
      <c r="BJ271" s="16">
        <v>0</v>
      </c>
      <c r="BK271" s="16">
        <f>SUM(BL271)</f>
        <v>0</v>
      </c>
      <c r="BL271" s="16">
        <v>0</v>
      </c>
      <c r="BM271" s="16">
        <f>SUM(BN271:BX271)</f>
        <v>0</v>
      </c>
      <c r="BN271" s="16">
        <v>0</v>
      </c>
      <c r="BO271" s="16">
        <v>0</v>
      </c>
      <c r="BP271" s="16">
        <v>0</v>
      </c>
      <c r="BQ271" s="16">
        <v>0</v>
      </c>
      <c r="BR271" s="16">
        <v>0</v>
      </c>
      <c r="BS271" s="16">
        <v>0</v>
      </c>
      <c r="BT271" s="16">
        <v>0</v>
      </c>
      <c r="BU271" s="16">
        <v>0</v>
      </c>
      <c r="BV271" s="16">
        <v>0</v>
      </c>
      <c r="BW271" s="16">
        <v>0</v>
      </c>
      <c r="BX271" s="16">
        <v>0</v>
      </c>
      <c r="BY271" s="16">
        <f t="shared" si="423"/>
        <v>4968407</v>
      </c>
      <c r="BZ271" s="16">
        <f t="shared" si="424"/>
        <v>0</v>
      </c>
      <c r="CA271" s="16">
        <f>SUM(CB271:CC271)</f>
        <v>0</v>
      </c>
      <c r="CB271" s="16">
        <v>0</v>
      </c>
      <c r="CC271" s="16">
        <v>0</v>
      </c>
      <c r="CD271" s="16">
        <f>SUM(CE271:CI271)</f>
        <v>0</v>
      </c>
      <c r="CE271" s="16">
        <v>0</v>
      </c>
      <c r="CF271" s="16">
        <v>0</v>
      </c>
      <c r="CG271" s="16">
        <v>0</v>
      </c>
      <c r="CH271" s="16">
        <v>0</v>
      </c>
      <c r="CI271" s="16">
        <v>0</v>
      </c>
      <c r="CJ271" s="16">
        <v>0</v>
      </c>
      <c r="CK271" s="16">
        <f>SUM(CL271:CP271)</f>
        <v>0</v>
      </c>
      <c r="CL271" s="16">
        <v>0</v>
      </c>
      <c r="CM271" s="16">
        <v>0</v>
      </c>
      <c r="CN271" s="16">
        <v>0</v>
      </c>
      <c r="CO271" s="16">
        <v>0</v>
      </c>
      <c r="CP271" s="16">
        <v>0</v>
      </c>
      <c r="CQ271" s="16">
        <v>0</v>
      </c>
      <c r="CR271" s="16">
        <v>0</v>
      </c>
      <c r="CS271" s="16">
        <v>4968407</v>
      </c>
      <c r="CT271" s="16">
        <f>SUM(CU271)</f>
        <v>0</v>
      </c>
      <c r="CU271" s="16">
        <f>SUM(CV271:CW271)</f>
        <v>0</v>
      </c>
      <c r="CV271" s="16">
        <v>0</v>
      </c>
      <c r="CW271" s="17">
        <v>0</v>
      </c>
      <c r="CX271" s="40"/>
    </row>
    <row r="272" spans="1:102" ht="15.75" hidden="1" x14ac:dyDescent="0.25">
      <c r="A272" s="13" t="s">
        <v>1</v>
      </c>
      <c r="B272" s="14" t="s">
        <v>1</v>
      </c>
      <c r="C272" s="14" t="s">
        <v>21</v>
      </c>
      <c r="D272" s="30" t="s">
        <v>290</v>
      </c>
      <c r="E272" s="15">
        <f t="shared" si="416"/>
        <v>8619813</v>
      </c>
      <c r="F272" s="16">
        <f t="shared" si="417"/>
        <v>0</v>
      </c>
      <c r="G272" s="16">
        <f t="shared" si="418"/>
        <v>0</v>
      </c>
      <c r="H272" s="16">
        <v>0</v>
      </c>
      <c r="I272" s="16">
        <v>0</v>
      </c>
      <c r="J272" s="16">
        <f t="shared" si="360"/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f t="shared" si="361"/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f t="shared" si="419"/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f t="shared" si="420"/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  <c r="AT272" s="16">
        <v>0</v>
      </c>
      <c r="AU272" s="16">
        <v>0</v>
      </c>
      <c r="AV272" s="16">
        <v>0</v>
      </c>
      <c r="AW272" s="16">
        <v>0</v>
      </c>
      <c r="AX272" s="16">
        <v>0</v>
      </c>
      <c r="AY272" s="16">
        <v>0</v>
      </c>
      <c r="AZ272" s="16">
        <v>0</v>
      </c>
      <c r="BA272" s="16">
        <f t="shared" si="421"/>
        <v>0</v>
      </c>
      <c r="BB272" s="16">
        <f t="shared" si="422"/>
        <v>0</v>
      </c>
      <c r="BC272" s="16">
        <v>0</v>
      </c>
      <c r="BD272" s="16">
        <v>0</v>
      </c>
      <c r="BE272" s="16">
        <v>0</v>
      </c>
      <c r="BF272" s="16">
        <f t="shared" si="362"/>
        <v>0</v>
      </c>
      <c r="BG272" s="16">
        <v>0</v>
      </c>
      <c r="BH272" s="16">
        <v>0</v>
      </c>
      <c r="BI272" s="16">
        <v>0</v>
      </c>
      <c r="BJ272" s="16">
        <v>0</v>
      </c>
      <c r="BK272" s="16">
        <f t="shared" si="363"/>
        <v>0</v>
      </c>
      <c r="BL272" s="16">
        <v>0</v>
      </c>
      <c r="BM272" s="16">
        <f t="shared" si="364"/>
        <v>0</v>
      </c>
      <c r="BN272" s="16">
        <v>0</v>
      </c>
      <c r="BO272" s="16">
        <v>0</v>
      </c>
      <c r="BP272" s="16">
        <v>0</v>
      </c>
      <c r="BQ272" s="16">
        <v>0</v>
      </c>
      <c r="BR272" s="16">
        <v>0</v>
      </c>
      <c r="BS272" s="16">
        <v>0</v>
      </c>
      <c r="BT272" s="16">
        <v>0</v>
      </c>
      <c r="BU272" s="16">
        <v>0</v>
      </c>
      <c r="BV272" s="16">
        <v>0</v>
      </c>
      <c r="BW272" s="16">
        <v>0</v>
      </c>
      <c r="BX272" s="16">
        <v>0</v>
      </c>
      <c r="BY272" s="16">
        <f t="shared" si="423"/>
        <v>8619813</v>
      </c>
      <c r="BZ272" s="16">
        <f t="shared" si="424"/>
        <v>0</v>
      </c>
      <c r="CA272" s="16">
        <f t="shared" si="365"/>
        <v>0</v>
      </c>
      <c r="CB272" s="16">
        <v>0</v>
      </c>
      <c r="CC272" s="16">
        <v>0</v>
      </c>
      <c r="CD272" s="16">
        <f t="shared" si="366"/>
        <v>0</v>
      </c>
      <c r="CE272" s="16">
        <v>0</v>
      </c>
      <c r="CF272" s="16">
        <v>0</v>
      </c>
      <c r="CG272" s="16">
        <v>0</v>
      </c>
      <c r="CH272" s="16">
        <v>0</v>
      </c>
      <c r="CI272" s="16">
        <v>0</v>
      </c>
      <c r="CJ272" s="16">
        <v>0</v>
      </c>
      <c r="CK272" s="16">
        <f t="shared" si="367"/>
        <v>0</v>
      </c>
      <c r="CL272" s="16">
        <v>0</v>
      </c>
      <c r="CM272" s="16">
        <v>0</v>
      </c>
      <c r="CN272" s="16">
        <v>0</v>
      </c>
      <c r="CO272" s="16">
        <v>0</v>
      </c>
      <c r="CP272" s="16">
        <v>0</v>
      </c>
      <c r="CQ272" s="16">
        <v>0</v>
      </c>
      <c r="CR272" s="16">
        <v>0</v>
      </c>
      <c r="CS272" s="16">
        <f>12619813-4000000</f>
        <v>8619813</v>
      </c>
      <c r="CT272" s="16">
        <f t="shared" si="368"/>
        <v>0</v>
      </c>
      <c r="CU272" s="16">
        <f t="shared" si="369"/>
        <v>0</v>
      </c>
      <c r="CV272" s="16">
        <v>0</v>
      </c>
      <c r="CW272" s="17">
        <v>0</v>
      </c>
      <c r="CX272" s="40"/>
    </row>
    <row r="273" spans="1:102" ht="15.75" hidden="1" x14ac:dyDescent="0.25">
      <c r="A273" s="13" t="s">
        <v>1</v>
      </c>
      <c r="B273" s="14" t="s">
        <v>1</v>
      </c>
      <c r="C273" s="14" t="s">
        <v>23</v>
      </c>
      <c r="D273" s="30" t="s">
        <v>294</v>
      </c>
      <c r="E273" s="15">
        <f t="shared" si="416"/>
        <v>344000</v>
      </c>
      <c r="F273" s="16">
        <f t="shared" si="417"/>
        <v>0</v>
      </c>
      <c r="G273" s="16">
        <f t="shared" si="418"/>
        <v>0</v>
      </c>
      <c r="H273" s="16">
        <v>0</v>
      </c>
      <c r="I273" s="16">
        <v>0</v>
      </c>
      <c r="J273" s="16">
        <f t="shared" si="360"/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f t="shared" si="361"/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f t="shared" si="419"/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f t="shared" si="420"/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16">
        <v>0</v>
      </c>
      <c r="AS273" s="16">
        <v>0</v>
      </c>
      <c r="AT273" s="16">
        <v>0</v>
      </c>
      <c r="AU273" s="16">
        <v>0</v>
      </c>
      <c r="AV273" s="16">
        <v>0</v>
      </c>
      <c r="AW273" s="16">
        <v>0</v>
      </c>
      <c r="AX273" s="16">
        <v>0</v>
      </c>
      <c r="AY273" s="16">
        <v>0</v>
      </c>
      <c r="AZ273" s="16">
        <v>0</v>
      </c>
      <c r="BA273" s="16">
        <f t="shared" si="421"/>
        <v>0</v>
      </c>
      <c r="BB273" s="16">
        <f t="shared" si="422"/>
        <v>0</v>
      </c>
      <c r="BC273" s="16">
        <v>0</v>
      </c>
      <c r="BD273" s="16">
        <v>0</v>
      </c>
      <c r="BE273" s="16">
        <v>0</v>
      </c>
      <c r="BF273" s="16">
        <f t="shared" si="362"/>
        <v>0</v>
      </c>
      <c r="BG273" s="16">
        <v>0</v>
      </c>
      <c r="BH273" s="16">
        <v>0</v>
      </c>
      <c r="BI273" s="16">
        <v>0</v>
      </c>
      <c r="BJ273" s="16">
        <v>0</v>
      </c>
      <c r="BK273" s="16">
        <f t="shared" si="363"/>
        <v>0</v>
      </c>
      <c r="BL273" s="16">
        <v>0</v>
      </c>
      <c r="BM273" s="16">
        <f t="shared" si="364"/>
        <v>0</v>
      </c>
      <c r="BN273" s="16">
        <v>0</v>
      </c>
      <c r="BO273" s="16">
        <v>0</v>
      </c>
      <c r="BP273" s="16">
        <v>0</v>
      </c>
      <c r="BQ273" s="16">
        <v>0</v>
      </c>
      <c r="BR273" s="16">
        <v>0</v>
      </c>
      <c r="BS273" s="16">
        <v>0</v>
      </c>
      <c r="BT273" s="16">
        <v>0</v>
      </c>
      <c r="BU273" s="16">
        <v>0</v>
      </c>
      <c r="BV273" s="16">
        <v>0</v>
      </c>
      <c r="BW273" s="16">
        <v>0</v>
      </c>
      <c r="BX273" s="16">
        <v>0</v>
      </c>
      <c r="BY273" s="16">
        <f t="shared" si="423"/>
        <v>344000</v>
      </c>
      <c r="BZ273" s="16">
        <f t="shared" si="424"/>
        <v>0</v>
      </c>
      <c r="CA273" s="16">
        <f t="shared" si="365"/>
        <v>0</v>
      </c>
      <c r="CB273" s="16">
        <v>0</v>
      </c>
      <c r="CC273" s="16">
        <v>0</v>
      </c>
      <c r="CD273" s="16">
        <f t="shared" si="366"/>
        <v>0</v>
      </c>
      <c r="CE273" s="16">
        <v>0</v>
      </c>
      <c r="CF273" s="16">
        <v>0</v>
      </c>
      <c r="CG273" s="16">
        <v>0</v>
      </c>
      <c r="CH273" s="16">
        <v>0</v>
      </c>
      <c r="CI273" s="16">
        <v>0</v>
      </c>
      <c r="CJ273" s="16">
        <v>0</v>
      </c>
      <c r="CK273" s="16">
        <f t="shared" si="367"/>
        <v>0</v>
      </c>
      <c r="CL273" s="16">
        <v>0</v>
      </c>
      <c r="CM273" s="16">
        <v>0</v>
      </c>
      <c r="CN273" s="16">
        <v>0</v>
      </c>
      <c r="CO273" s="16">
        <v>0</v>
      </c>
      <c r="CP273" s="16">
        <v>0</v>
      </c>
      <c r="CQ273" s="16">
        <v>0</v>
      </c>
      <c r="CR273" s="16">
        <v>0</v>
      </c>
      <c r="CS273" s="16">
        <f>594000-250000</f>
        <v>344000</v>
      </c>
      <c r="CT273" s="16">
        <f t="shared" si="368"/>
        <v>0</v>
      </c>
      <c r="CU273" s="16">
        <f t="shared" si="369"/>
        <v>0</v>
      </c>
      <c r="CV273" s="16">
        <v>0</v>
      </c>
      <c r="CW273" s="17">
        <v>0</v>
      </c>
      <c r="CX273" s="40"/>
    </row>
    <row r="274" spans="1:102" ht="15.75" hidden="1" x14ac:dyDescent="0.25">
      <c r="A274" s="13" t="s">
        <v>1</v>
      </c>
      <c r="B274" s="14" t="s">
        <v>1</v>
      </c>
      <c r="C274" s="14" t="s">
        <v>29</v>
      </c>
      <c r="D274" s="30" t="s">
        <v>295</v>
      </c>
      <c r="E274" s="15">
        <f t="shared" si="416"/>
        <v>17500000</v>
      </c>
      <c r="F274" s="16">
        <f t="shared" si="417"/>
        <v>0</v>
      </c>
      <c r="G274" s="16">
        <f t="shared" si="418"/>
        <v>0</v>
      </c>
      <c r="H274" s="16">
        <v>0</v>
      </c>
      <c r="I274" s="16">
        <v>0</v>
      </c>
      <c r="J274" s="16">
        <f>SUM(K274:P274)</f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f>SUM(R274:S274)</f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f t="shared" si="419"/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f>SUM(AF274:AZ274)</f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16">
        <v>0</v>
      </c>
      <c r="AU274" s="16">
        <v>0</v>
      </c>
      <c r="AV274" s="16">
        <v>0</v>
      </c>
      <c r="AW274" s="16">
        <v>0</v>
      </c>
      <c r="AX274" s="16">
        <v>0</v>
      </c>
      <c r="AY274" s="16">
        <v>0</v>
      </c>
      <c r="AZ274" s="16">
        <v>0</v>
      </c>
      <c r="BA274" s="16">
        <f t="shared" si="421"/>
        <v>0</v>
      </c>
      <c r="BB274" s="16">
        <f t="shared" si="422"/>
        <v>0</v>
      </c>
      <c r="BC274" s="16">
        <v>0</v>
      </c>
      <c r="BD274" s="16">
        <v>0</v>
      </c>
      <c r="BE274" s="16">
        <v>0</v>
      </c>
      <c r="BF274" s="16">
        <f>SUM(BG274:BH274)</f>
        <v>0</v>
      </c>
      <c r="BG274" s="16">
        <v>0</v>
      </c>
      <c r="BH274" s="16">
        <v>0</v>
      </c>
      <c r="BI274" s="16">
        <v>0</v>
      </c>
      <c r="BJ274" s="16">
        <v>0</v>
      </c>
      <c r="BK274" s="16">
        <f>SUM(BL274)</f>
        <v>0</v>
      </c>
      <c r="BL274" s="16">
        <v>0</v>
      </c>
      <c r="BM274" s="16">
        <f>SUM(BN274:BX274)</f>
        <v>0</v>
      </c>
      <c r="BN274" s="16">
        <v>0</v>
      </c>
      <c r="BO274" s="16">
        <v>0</v>
      </c>
      <c r="BP274" s="16">
        <v>0</v>
      </c>
      <c r="BQ274" s="16">
        <v>0</v>
      </c>
      <c r="BR274" s="16">
        <v>0</v>
      </c>
      <c r="BS274" s="16">
        <v>0</v>
      </c>
      <c r="BT274" s="16">
        <v>0</v>
      </c>
      <c r="BU274" s="16">
        <v>0</v>
      </c>
      <c r="BV274" s="16">
        <v>0</v>
      </c>
      <c r="BW274" s="16">
        <v>0</v>
      </c>
      <c r="BX274" s="16">
        <v>0</v>
      </c>
      <c r="BY274" s="16">
        <f t="shared" si="423"/>
        <v>17500000</v>
      </c>
      <c r="BZ274" s="16">
        <f t="shared" si="424"/>
        <v>0</v>
      </c>
      <c r="CA274" s="16">
        <f>SUM(CB274:CC274)</f>
        <v>0</v>
      </c>
      <c r="CB274" s="16">
        <v>0</v>
      </c>
      <c r="CC274" s="16">
        <v>0</v>
      </c>
      <c r="CD274" s="16">
        <f>SUM(CE274:CI274)</f>
        <v>0</v>
      </c>
      <c r="CE274" s="16">
        <v>0</v>
      </c>
      <c r="CF274" s="16">
        <v>0</v>
      </c>
      <c r="CG274" s="16">
        <v>0</v>
      </c>
      <c r="CH274" s="16">
        <v>0</v>
      </c>
      <c r="CI274" s="16">
        <v>0</v>
      </c>
      <c r="CJ274" s="16">
        <v>0</v>
      </c>
      <c r="CK274" s="16">
        <f>SUM(CL274:CP274)</f>
        <v>0</v>
      </c>
      <c r="CL274" s="16">
        <v>0</v>
      </c>
      <c r="CM274" s="16">
        <v>0</v>
      </c>
      <c r="CN274" s="16">
        <v>0</v>
      </c>
      <c r="CO274" s="16">
        <v>0</v>
      </c>
      <c r="CP274" s="16">
        <v>0</v>
      </c>
      <c r="CQ274" s="16">
        <v>0</v>
      </c>
      <c r="CR274" s="16">
        <v>0</v>
      </c>
      <c r="CS274" s="16">
        <f>1500000+16000000-16000000+16000000</f>
        <v>17500000</v>
      </c>
      <c r="CT274" s="16">
        <f>SUM(CU274)</f>
        <v>0</v>
      </c>
      <c r="CU274" s="16">
        <f>SUM(CV274:CW274)</f>
        <v>0</v>
      </c>
      <c r="CV274" s="16">
        <v>0</v>
      </c>
      <c r="CW274" s="17">
        <v>0</v>
      </c>
      <c r="CX274" s="40"/>
    </row>
    <row r="275" spans="1:102" ht="31.5" hidden="1" x14ac:dyDescent="0.25">
      <c r="A275" s="13" t="s">
        <v>1</v>
      </c>
      <c r="B275" s="14" t="s">
        <v>1</v>
      </c>
      <c r="C275" s="14" t="s">
        <v>29</v>
      </c>
      <c r="D275" s="30" t="s">
        <v>512</v>
      </c>
      <c r="E275" s="15">
        <f t="shared" si="416"/>
        <v>0</v>
      </c>
      <c r="F275" s="16">
        <f t="shared" si="417"/>
        <v>0</v>
      </c>
      <c r="G275" s="16">
        <f t="shared" si="418"/>
        <v>0</v>
      </c>
      <c r="H275" s="16">
        <v>0</v>
      </c>
      <c r="I275" s="16">
        <v>0</v>
      </c>
      <c r="J275" s="16">
        <f t="shared" si="360"/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f t="shared" si="361"/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f t="shared" si="419"/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f t="shared" si="420"/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  <c r="AT275" s="16">
        <v>0</v>
      </c>
      <c r="AU275" s="16">
        <v>0</v>
      </c>
      <c r="AV275" s="16">
        <v>0</v>
      </c>
      <c r="AW275" s="16">
        <v>0</v>
      </c>
      <c r="AX275" s="16">
        <v>0</v>
      </c>
      <c r="AY275" s="16">
        <v>0</v>
      </c>
      <c r="AZ275" s="16">
        <v>0</v>
      </c>
      <c r="BA275" s="16">
        <f t="shared" si="421"/>
        <v>0</v>
      </c>
      <c r="BB275" s="16">
        <f t="shared" si="422"/>
        <v>0</v>
      </c>
      <c r="BC275" s="16">
        <v>0</v>
      </c>
      <c r="BD275" s="16">
        <v>0</v>
      </c>
      <c r="BE275" s="16">
        <v>0</v>
      </c>
      <c r="BF275" s="16">
        <f t="shared" si="362"/>
        <v>0</v>
      </c>
      <c r="BG275" s="16">
        <v>0</v>
      </c>
      <c r="BH275" s="16">
        <v>0</v>
      </c>
      <c r="BI275" s="16">
        <v>0</v>
      </c>
      <c r="BJ275" s="16">
        <v>0</v>
      </c>
      <c r="BK275" s="16">
        <f t="shared" si="363"/>
        <v>0</v>
      </c>
      <c r="BL275" s="16">
        <v>0</v>
      </c>
      <c r="BM275" s="16">
        <f t="shared" si="364"/>
        <v>0</v>
      </c>
      <c r="BN275" s="16">
        <v>0</v>
      </c>
      <c r="BO275" s="16">
        <v>0</v>
      </c>
      <c r="BP275" s="16">
        <v>0</v>
      </c>
      <c r="BQ275" s="16">
        <v>0</v>
      </c>
      <c r="BR275" s="16">
        <v>0</v>
      </c>
      <c r="BS275" s="16">
        <v>0</v>
      </c>
      <c r="BT275" s="16">
        <v>0</v>
      </c>
      <c r="BU275" s="16">
        <v>0</v>
      </c>
      <c r="BV275" s="16">
        <v>0</v>
      </c>
      <c r="BW275" s="16">
        <v>0</v>
      </c>
      <c r="BX275" s="16">
        <v>0</v>
      </c>
      <c r="BY275" s="16">
        <f t="shared" si="423"/>
        <v>0</v>
      </c>
      <c r="BZ275" s="16">
        <f t="shared" si="424"/>
        <v>0</v>
      </c>
      <c r="CA275" s="16">
        <f t="shared" si="365"/>
        <v>0</v>
      </c>
      <c r="CB275" s="16">
        <v>0</v>
      </c>
      <c r="CC275" s="16">
        <v>0</v>
      </c>
      <c r="CD275" s="16">
        <f t="shared" si="366"/>
        <v>0</v>
      </c>
      <c r="CE275" s="16">
        <v>0</v>
      </c>
      <c r="CF275" s="16">
        <v>0</v>
      </c>
      <c r="CG275" s="16">
        <v>0</v>
      </c>
      <c r="CH275" s="16">
        <v>0</v>
      </c>
      <c r="CI275" s="16">
        <v>0</v>
      </c>
      <c r="CJ275" s="16">
        <v>0</v>
      </c>
      <c r="CK275" s="16">
        <f t="shared" si="367"/>
        <v>0</v>
      </c>
      <c r="CL275" s="16">
        <v>0</v>
      </c>
      <c r="CM275" s="16">
        <v>0</v>
      </c>
      <c r="CN275" s="16">
        <v>0</v>
      </c>
      <c r="CO275" s="16">
        <v>0</v>
      </c>
      <c r="CP275" s="16">
        <v>0</v>
      </c>
      <c r="CQ275" s="16">
        <v>0</v>
      </c>
      <c r="CR275" s="16">
        <v>0</v>
      </c>
      <c r="CS275" s="16">
        <f>2124363-2124363</f>
        <v>0</v>
      </c>
      <c r="CT275" s="16">
        <f t="shared" si="368"/>
        <v>0</v>
      </c>
      <c r="CU275" s="16">
        <f t="shared" si="369"/>
        <v>0</v>
      </c>
      <c r="CV275" s="16">
        <v>0</v>
      </c>
      <c r="CW275" s="17">
        <v>0</v>
      </c>
      <c r="CX275" s="40"/>
    </row>
    <row r="276" spans="1:102" ht="31.5" hidden="1" x14ac:dyDescent="0.25">
      <c r="A276" s="13" t="s">
        <v>1</v>
      </c>
      <c r="B276" s="14" t="s">
        <v>1</v>
      </c>
      <c r="C276" s="14" t="s">
        <v>122</v>
      </c>
      <c r="D276" s="30" t="s">
        <v>513</v>
      </c>
      <c r="E276" s="15">
        <f t="shared" si="416"/>
        <v>912435</v>
      </c>
      <c r="F276" s="16">
        <f t="shared" si="417"/>
        <v>0</v>
      </c>
      <c r="G276" s="16">
        <f t="shared" si="418"/>
        <v>0</v>
      </c>
      <c r="H276" s="16">
        <v>0</v>
      </c>
      <c r="I276" s="16">
        <v>0</v>
      </c>
      <c r="J276" s="16">
        <f t="shared" si="360"/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f t="shared" si="361"/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f t="shared" si="419"/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f t="shared" si="420"/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16">
        <v>0</v>
      </c>
      <c r="AS276" s="16">
        <v>0</v>
      </c>
      <c r="AT276" s="16">
        <v>0</v>
      </c>
      <c r="AU276" s="16">
        <v>0</v>
      </c>
      <c r="AV276" s="16">
        <v>0</v>
      </c>
      <c r="AW276" s="16">
        <v>0</v>
      </c>
      <c r="AX276" s="16">
        <v>0</v>
      </c>
      <c r="AY276" s="16">
        <v>0</v>
      </c>
      <c r="AZ276" s="16">
        <v>0</v>
      </c>
      <c r="BA276" s="16">
        <f t="shared" si="421"/>
        <v>0</v>
      </c>
      <c r="BB276" s="16">
        <f t="shared" si="422"/>
        <v>0</v>
      </c>
      <c r="BC276" s="16">
        <v>0</v>
      </c>
      <c r="BD276" s="16">
        <v>0</v>
      </c>
      <c r="BE276" s="16">
        <v>0</v>
      </c>
      <c r="BF276" s="16">
        <f t="shared" si="362"/>
        <v>0</v>
      </c>
      <c r="BG276" s="16">
        <v>0</v>
      </c>
      <c r="BH276" s="16">
        <v>0</v>
      </c>
      <c r="BI276" s="16">
        <v>0</v>
      </c>
      <c r="BJ276" s="16">
        <v>0</v>
      </c>
      <c r="BK276" s="16">
        <f t="shared" si="363"/>
        <v>0</v>
      </c>
      <c r="BL276" s="16">
        <v>0</v>
      </c>
      <c r="BM276" s="16">
        <f t="shared" si="364"/>
        <v>0</v>
      </c>
      <c r="BN276" s="16">
        <v>0</v>
      </c>
      <c r="BO276" s="16">
        <v>0</v>
      </c>
      <c r="BP276" s="16">
        <v>0</v>
      </c>
      <c r="BQ276" s="16">
        <v>0</v>
      </c>
      <c r="BR276" s="16">
        <v>0</v>
      </c>
      <c r="BS276" s="16">
        <v>0</v>
      </c>
      <c r="BT276" s="16">
        <v>0</v>
      </c>
      <c r="BU276" s="16">
        <v>0</v>
      </c>
      <c r="BV276" s="16">
        <v>0</v>
      </c>
      <c r="BW276" s="16">
        <v>0</v>
      </c>
      <c r="BX276" s="16">
        <v>0</v>
      </c>
      <c r="BY276" s="16">
        <f t="shared" si="423"/>
        <v>912435</v>
      </c>
      <c r="BZ276" s="16">
        <f t="shared" si="424"/>
        <v>0</v>
      </c>
      <c r="CA276" s="16">
        <f t="shared" si="365"/>
        <v>0</v>
      </c>
      <c r="CB276" s="16">
        <v>0</v>
      </c>
      <c r="CC276" s="16">
        <v>0</v>
      </c>
      <c r="CD276" s="16">
        <f t="shared" si="366"/>
        <v>0</v>
      </c>
      <c r="CE276" s="16">
        <v>0</v>
      </c>
      <c r="CF276" s="16">
        <v>0</v>
      </c>
      <c r="CG276" s="16">
        <v>0</v>
      </c>
      <c r="CH276" s="16">
        <v>0</v>
      </c>
      <c r="CI276" s="16">
        <v>0</v>
      </c>
      <c r="CJ276" s="16">
        <v>0</v>
      </c>
      <c r="CK276" s="16">
        <f t="shared" si="367"/>
        <v>0</v>
      </c>
      <c r="CL276" s="16">
        <v>0</v>
      </c>
      <c r="CM276" s="16">
        <v>0</v>
      </c>
      <c r="CN276" s="16">
        <v>0</v>
      </c>
      <c r="CO276" s="16">
        <v>0</v>
      </c>
      <c r="CP276" s="16">
        <v>0</v>
      </c>
      <c r="CQ276" s="16">
        <v>0</v>
      </c>
      <c r="CR276" s="16">
        <v>0</v>
      </c>
      <c r="CS276" s="16">
        <f>4662435-3750000</f>
        <v>912435</v>
      </c>
      <c r="CT276" s="16">
        <f t="shared" si="368"/>
        <v>0</v>
      </c>
      <c r="CU276" s="16">
        <f t="shared" si="369"/>
        <v>0</v>
      </c>
      <c r="CV276" s="16">
        <v>0</v>
      </c>
      <c r="CW276" s="17">
        <v>0</v>
      </c>
      <c r="CX276" s="40"/>
    </row>
    <row r="277" spans="1:102" ht="31.5" hidden="1" x14ac:dyDescent="0.25">
      <c r="A277" s="13" t="s">
        <v>1</v>
      </c>
      <c r="B277" s="14" t="s">
        <v>1</v>
      </c>
      <c r="C277" s="14" t="s">
        <v>287</v>
      </c>
      <c r="D277" s="30" t="s">
        <v>514</v>
      </c>
      <c r="E277" s="15">
        <f t="shared" si="416"/>
        <v>1309887</v>
      </c>
      <c r="F277" s="16">
        <f t="shared" si="417"/>
        <v>0</v>
      </c>
      <c r="G277" s="16">
        <f t="shared" si="418"/>
        <v>0</v>
      </c>
      <c r="H277" s="16">
        <v>0</v>
      </c>
      <c r="I277" s="16">
        <v>0</v>
      </c>
      <c r="J277" s="16">
        <f t="shared" si="360"/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f t="shared" si="361"/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f t="shared" si="419"/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f t="shared" si="420"/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  <c r="AT277" s="16">
        <v>0</v>
      </c>
      <c r="AU277" s="16">
        <v>0</v>
      </c>
      <c r="AV277" s="16">
        <v>0</v>
      </c>
      <c r="AW277" s="16">
        <v>0</v>
      </c>
      <c r="AX277" s="16">
        <v>0</v>
      </c>
      <c r="AY277" s="16">
        <v>0</v>
      </c>
      <c r="AZ277" s="16">
        <v>0</v>
      </c>
      <c r="BA277" s="16">
        <f t="shared" si="421"/>
        <v>0</v>
      </c>
      <c r="BB277" s="16">
        <f t="shared" si="422"/>
        <v>0</v>
      </c>
      <c r="BC277" s="16">
        <v>0</v>
      </c>
      <c r="BD277" s="16">
        <v>0</v>
      </c>
      <c r="BE277" s="16">
        <v>0</v>
      </c>
      <c r="BF277" s="16">
        <f t="shared" si="362"/>
        <v>0</v>
      </c>
      <c r="BG277" s="16">
        <v>0</v>
      </c>
      <c r="BH277" s="16">
        <v>0</v>
      </c>
      <c r="BI277" s="16">
        <v>0</v>
      </c>
      <c r="BJ277" s="16">
        <v>0</v>
      </c>
      <c r="BK277" s="16">
        <f t="shared" si="363"/>
        <v>0</v>
      </c>
      <c r="BL277" s="16">
        <v>0</v>
      </c>
      <c r="BM277" s="16">
        <f t="shared" si="364"/>
        <v>0</v>
      </c>
      <c r="BN277" s="16">
        <v>0</v>
      </c>
      <c r="BO277" s="16">
        <v>0</v>
      </c>
      <c r="BP277" s="16">
        <v>0</v>
      </c>
      <c r="BQ277" s="16">
        <v>0</v>
      </c>
      <c r="BR277" s="16">
        <v>0</v>
      </c>
      <c r="BS277" s="16">
        <v>0</v>
      </c>
      <c r="BT277" s="16">
        <v>0</v>
      </c>
      <c r="BU277" s="16">
        <v>0</v>
      </c>
      <c r="BV277" s="16">
        <v>0</v>
      </c>
      <c r="BW277" s="16">
        <v>0</v>
      </c>
      <c r="BX277" s="16">
        <v>0</v>
      </c>
      <c r="BY277" s="16">
        <f t="shared" si="423"/>
        <v>1309887</v>
      </c>
      <c r="BZ277" s="16">
        <f t="shared" si="424"/>
        <v>0</v>
      </c>
      <c r="CA277" s="16">
        <f t="shared" si="365"/>
        <v>0</v>
      </c>
      <c r="CB277" s="16">
        <v>0</v>
      </c>
      <c r="CC277" s="16">
        <v>0</v>
      </c>
      <c r="CD277" s="16">
        <f t="shared" si="366"/>
        <v>0</v>
      </c>
      <c r="CE277" s="16">
        <v>0</v>
      </c>
      <c r="CF277" s="16">
        <v>0</v>
      </c>
      <c r="CG277" s="16">
        <v>0</v>
      </c>
      <c r="CH277" s="16">
        <v>0</v>
      </c>
      <c r="CI277" s="16">
        <v>0</v>
      </c>
      <c r="CJ277" s="16">
        <v>0</v>
      </c>
      <c r="CK277" s="16">
        <f t="shared" si="367"/>
        <v>0</v>
      </c>
      <c r="CL277" s="16">
        <v>0</v>
      </c>
      <c r="CM277" s="16">
        <v>0</v>
      </c>
      <c r="CN277" s="16">
        <v>0</v>
      </c>
      <c r="CO277" s="16">
        <v>0</v>
      </c>
      <c r="CP277" s="16">
        <v>0</v>
      </c>
      <c r="CQ277" s="16">
        <v>0</v>
      </c>
      <c r="CR277" s="16">
        <v>0</v>
      </c>
      <c r="CS277" s="16">
        <v>1309887</v>
      </c>
      <c r="CT277" s="16">
        <f t="shared" si="368"/>
        <v>0</v>
      </c>
      <c r="CU277" s="16">
        <f t="shared" si="369"/>
        <v>0</v>
      </c>
      <c r="CV277" s="16">
        <v>0</v>
      </c>
      <c r="CW277" s="17">
        <v>0</v>
      </c>
      <c r="CX277" s="40"/>
    </row>
    <row r="278" spans="1:102" ht="31.5" hidden="1" x14ac:dyDescent="0.25">
      <c r="A278" s="13" t="s">
        <v>1</v>
      </c>
      <c r="B278" s="14" t="s">
        <v>1</v>
      </c>
      <c r="C278" s="14" t="s">
        <v>287</v>
      </c>
      <c r="D278" s="30" t="s">
        <v>515</v>
      </c>
      <c r="E278" s="15">
        <f t="shared" si="416"/>
        <v>4876573</v>
      </c>
      <c r="F278" s="16">
        <f t="shared" si="417"/>
        <v>0</v>
      </c>
      <c r="G278" s="16">
        <f t="shared" si="418"/>
        <v>0</v>
      </c>
      <c r="H278" s="16">
        <v>0</v>
      </c>
      <c r="I278" s="16">
        <v>0</v>
      </c>
      <c r="J278" s="16">
        <f t="shared" si="360"/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f t="shared" si="361"/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f t="shared" si="419"/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f t="shared" si="420"/>
        <v>0</v>
      </c>
      <c r="AF278" s="16">
        <v>0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0</v>
      </c>
      <c r="AS278" s="16">
        <v>0</v>
      </c>
      <c r="AT278" s="16">
        <v>0</v>
      </c>
      <c r="AU278" s="16">
        <v>0</v>
      </c>
      <c r="AV278" s="16">
        <v>0</v>
      </c>
      <c r="AW278" s="16">
        <v>0</v>
      </c>
      <c r="AX278" s="16">
        <v>0</v>
      </c>
      <c r="AY278" s="16">
        <v>0</v>
      </c>
      <c r="AZ278" s="16">
        <v>0</v>
      </c>
      <c r="BA278" s="16">
        <f t="shared" si="421"/>
        <v>0</v>
      </c>
      <c r="BB278" s="16">
        <f t="shared" si="422"/>
        <v>0</v>
      </c>
      <c r="BC278" s="16">
        <v>0</v>
      </c>
      <c r="BD278" s="16">
        <v>0</v>
      </c>
      <c r="BE278" s="16">
        <v>0</v>
      </c>
      <c r="BF278" s="16">
        <f t="shared" si="362"/>
        <v>0</v>
      </c>
      <c r="BG278" s="16">
        <v>0</v>
      </c>
      <c r="BH278" s="16">
        <v>0</v>
      </c>
      <c r="BI278" s="16">
        <v>0</v>
      </c>
      <c r="BJ278" s="16">
        <v>0</v>
      </c>
      <c r="BK278" s="16">
        <f t="shared" si="363"/>
        <v>0</v>
      </c>
      <c r="BL278" s="16">
        <v>0</v>
      </c>
      <c r="BM278" s="16">
        <f t="shared" si="364"/>
        <v>0</v>
      </c>
      <c r="BN278" s="16">
        <v>0</v>
      </c>
      <c r="BO278" s="16">
        <v>0</v>
      </c>
      <c r="BP278" s="16">
        <v>0</v>
      </c>
      <c r="BQ278" s="16">
        <v>0</v>
      </c>
      <c r="BR278" s="16">
        <v>0</v>
      </c>
      <c r="BS278" s="16">
        <v>0</v>
      </c>
      <c r="BT278" s="16">
        <v>0</v>
      </c>
      <c r="BU278" s="16">
        <v>0</v>
      </c>
      <c r="BV278" s="16">
        <v>0</v>
      </c>
      <c r="BW278" s="16">
        <v>0</v>
      </c>
      <c r="BX278" s="16">
        <v>0</v>
      </c>
      <c r="BY278" s="16">
        <f t="shared" si="423"/>
        <v>4876573</v>
      </c>
      <c r="BZ278" s="16">
        <f t="shared" si="424"/>
        <v>0</v>
      </c>
      <c r="CA278" s="16">
        <f t="shared" si="365"/>
        <v>0</v>
      </c>
      <c r="CB278" s="16">
        <v>0</v>
      </c>
      <c r="CC278" s="16">
        <v>0</v>
      </c>
      <c r="CD278" s="16">
        <f t="shared" si="366"/>
        <v>0</v>
      </c>
      <c r="CE278" s="16">
        <v>0</v>
      </c>
      <c r="CF278" s="16">
        <v>0</v>
      </c>
      <c r="CG278" s="16">
        <v>0</v>
      </c>
      <c r="CH278" s="16">
        <v>0</v>
      </c>
      <c r="CI278" s="16">
        <v>0</v>
      </c>
      <c r="CJ278" s="16">
        <v>0</v>
      </c>
      <c r="CK278" s="16">
        <f t="shared" si="367"/>
        <v>0</v>
      </c>
      <c r="CL278" s="16">
        <v>0</v>
      </c>
      <c r="CM278" s="16">
        <v>0</v>
      </c>
      <c r="CN278" s="16">
        <v>0</v>
      </c>
      <c r="CO278" s="16">
        <v>0</v>
      </c>
      <c r="CP278" s="16">
        <v>0</v>
      </c>
      <c r="CQ278" s="16">
        <v>0</v>
      </c>
      <c r="CR278" s="16">
        <v>0</v>
      </c>
      <c r="CS278" s="16">
        <f>2836200+1168153+872220</f>
        <v>4876573</v>
      </c>
      <c r="CT278" s="16">
        <f t="shared" si="368"/>
        <v>0</v>
      </c>
      <c r="CU278" s="16">
        <f t="shared" si="369"/>
        <v>0</v>
      </c>
      <c r="CV278" s="16">
        <v>0</v>
      </c>
      <c r="CW278" s="17">
        <v>0</v>
      </c>
      <c r="CX278" s="40"/>
    </row>
    <row r="279" spans="1:102" ht="15.75" hidden="1" x14ac:dyDescent="0.25">
      <c r="A279" s="13" t="s">
        <v>247</v>
      </c>
      <c r="B279" s="14" t="s">
        <v>107</v>
      </c>
      <c r="C279" s="14" t="s">
        <v>1</v>
      </c>
      <c r="D279" s="30" t="s">
        <v>296</v>
      </c>
      <c r="E279" s="15">
        <f t="shared" ref="E279:AJ279" si="425">SUM(E280)</f>
        <v>35401990</v>
      </c>
      <c r="F279" s="16">
        <f t="shared" si="425"/>
        <v>0</v>
      </c>
      <c r="G279" s="16">
        <f t="shared" si="425"/>
        <v>0</v>
      </c>
      <c r="H279" s="16">
        <f t="shared" si="425"/>
        <v>0</v>
      </c>
      <c r="I279" s="16">
        <f t="shared" si="425"/>
        <v>0</v>
      </c>
      <c r="J279" s="16">
        <f t="shared" si="425"/>
        <v>0</v>
      </c>
      <c r="K279" s="16">
        <f t="shared" si="425"/>
        <v>0</v>
      </c>
      <c r="L279" s="16">
        <f t="shared" si="425"/>
        <v>0</v>
      </c>
      <c r="M279" s="16">
        <f t="shared" si="425"/>
        <v>0</v>
      </c>
      <c r="N279" s="16">
        <f t="shared" si="425"/>
        <v>0</v>
      </c>
      <c r="O279" s="16">
        <f t="shared" si="425"/>
        <v>0</v>
      </c>
      <c r="P279" s="16">
        <f t="shared" si="425"/>
        <v>0</v>
      </c>
      <c r="Q279" s="16">
        <f t="shared" si="425"/>
        <v>0</v>
      </c>
      <c r="R279" s="16">
        <f t="shared" si="425"/>
        <v>0</v>
      </c>
      <c r="S279" s="16">
        <f t="shared" si="425"/>
        <v>0</v>
      </c>
      <c r="T279" s="16">
        <f t="shared" si="425"/>
        <v>0</v>
      </c>
      <c r="U279" s="16">
        <f t="shared" si="425"/>
        <v>0</v>
      </c>
      <c r="V279" s="16">
        <f t="shared" si="425"/>
        <v>0</v>
      </c>
      <c r="W279" s="16">
        <f t="shared" si="425"/>
        <v>0</v>
      </c>
      <c r="X279" s="16">
        <f t="shared" si="425"/>
        <v>0</v>
      </c>
      <c r="Y279" s="16">
        <f t="shared" si="425"/>
        <v>0</v>
      </c>
      <c r="Z279" s="16">
        <f t="shared" si="425"/>
        <v>0</v>
      </c>
      <c r="AA279" s="16">
        <f t="shared" si="425"/>
        <v>0</v>
      </c>
      <c r="AB279" s="16">
        <f t="shared" si="425"/>
        <v>0</v>
      </c>
      <c r="AC279" s="16">
        <f t="shared" si="425"/>
        <v>0</v>
      </c>
      <c r="AD279" s="16">
        <f t="shared" si="425"/>
        <v>0</v>
      </c>
      <c r="AE279" s="16">
        <f t="shared" si="425"/>
        <v>0</v>
      </c>
      <c r="AF279" s="16">
        <f t="shared" si="425"/>
        <v>0</v>
      </c>
      <c r="AG279" s="16">
        <f t="shared" si="425"/>
        <v>0</v>
      </c>
      <c r="AH279" s="16">
        <f t="shared" si="425"/>
        <v>0</v>
      </c>
      <c r="AI279" s="16">
        <f t="shared" si="425"/>
        <v>0</v>
      </c>
      <c r="AJ279" s="16">
        <f t="shared" si="425"/>
        <v>0</v>
      </c>
      <c r="AK279" s="16">
        <f t="shared" ref="AK279:BR279" si="426">SUM(AK280)</f>
        <v>0</v>
      </c>
      <c r="AL279" s="16">
        <f t="shared" si="426"/>
        <v>0</v>
      </c>
      <c r="AM279" s="16">
        <f t="shared" si="426"/>
        <v>0</v>
      </c>
      <c r="AN279" s="16">
        <f t="shared" si="426"/>
        <v>0</v>
      </c>
      <c r="AO279" s="16">
        <f t="shared" si="426"/>
        <v>0</v>
      </c>
      <c r="AP279" s="16">
        <f t="shared" si="426"/>
        <v>0</v>
      </c>
      <c r="AQ279" s="16">
        <f t="shared" si="426"/>
        <v>0</v>
      </c>
      <c r="AR279" s="16">
        <f t="shared" si="426"/>
        <v>0</v>
      </c>
      <c r="AS279" s="16">
        <f t="shared" si="426"/>
        <v>0</v>
      </c>
      <c r="AT279" s="16">
        <f t="shared" si="426"/>
        <v>0</v>
      </c>
      <c r="AU279" s="16">
        <f t="shared" si="426"/>
        <v>0</v>
      </c>
      <c r="AV279" s="16">
        <f t="shared" si="426"/>
        <v>0</v>
      </c>
      <c r="AW279" s="16">
        <f t="shared" si="426"/>
        <v>0</v>
      </c>
      <c r="AX279" s="16">
        <f t="shared" si="426"/>
        <v>0</v>
      </c>
      <c r="AY279" s="16">
        <f t="shared" si="426"/>
        <v>0</v>
      </c>
      <c r="AZ279" s="16">
        <f t="shared" si="426"/>
        <v>0</v>
      </c>
      <c r="BA279" s="16">
        <f t="shared" si="426"/>
        <v>0</v>
      </c>
      <c r="BB279" s="16">
        <f t="shared" si="426"/>
        <v>0</v>
      </c>
      <c r="BC279" s="16">
        <f t="shared" si="426"/>
        <v>0</v>
      </c>
      <c r="BD279" s="16">
        <f t="shared" si="426"/>
        <v>0</v>
      </c>
      <c r="BE279" s="16">
        <f t="shared" si="426"/>
        <v>0</v>
      </c>
      <c r="BF279" s="16">
        <f t="shared" si="426"/>
        <v>0</v>
      </c>
      <c r="BG279" s="16">
        <f t="shared" si="426"/>
        <v>0</v>
      </c>
      <c r="BH279" s="16">
        <f t="shared" si="426"/>
        <v>0</v>
      </c>
      <c r="BI279" s="16">
        <f t="shared" si="426"/>
        <v>0</v>
      </c>
      <c r="BJ279" s="16">
        <f t="shared" si="426"/>
        <v>0</v>
      </c>
      <c r="BK279" s="16">
        <f t="shared" si="426"/>
        <v>0</v>
      </c>
      <c r="BL279" s="16">
        <f t="shared" si="426"/>
        <v>0</v>
      </c>
      <c r="BM279" s="16">
        <f t="shared" si="426"/>
        <v>0</v>
      </c>
      <c r="BN279" s="16">
        <f t="shared" si="426"/>
        <v>0</v>
      </c>
      <c r="BO279" s="16">
        <f t="shared" si="426"/>
        <v>0</v>
      </c>
      <c r="BP279" s="16">
        <f t="shared" si="426"/>
        <v>0</v>
      </c>
      <c r="BQ279" s="16">
        <f t="shared" si="426"/>
        <v>0</v>
      </c>
      <c r="BR279" s="16">
        <f t="shared" si="426"/>
        <v>0</v>
      </c>
      <c r="BS279" s="16">
        <f t="shared" ref="BS279:CW279" si="427">SUM(BS280)</f>
        <v>0</v>
      </c>
      <c r="BT279" s="16">
        <f t="shared" si="427"/>
        <v>0</v>
      </c>
      <c r="BU279" s="16">
        <f t="shared" si="427"/>
        <v>0</v>
      </c>
      <c r="BV279" s="16">
        <f t="shared" si="427"/>
        <v>0</v>
      </c>
      <c r="BW279" s="16">
        <f t="shared" si="427"/>
        <v>0</v>
      </c>
      <c r="BX279" s="16">
        <f t="shared" si="427"/>
        <v>0</v>
      </c>
      <c r="BY279" s="16">
        <f t="shared" si="427"/>
        <v>35401990</v>
      </c>
      <c r="BZ279" s="16">
        <f t="shared" si="427"/>
        <v>0</v>
      </c>
      <c r="CA279" s="16">
        <f t="shared" si="427"/>
        <v>0</v>
      </c>
      <c r="CB279" s="16">
        <f t="shared" si="427"/>
        <v>0</v>
      </c>
      <c r="CC279" s="16">
        <f t="shared" si="427"/>
        <v>0</v>
      </c>
      <c r="CD279" s="16">
        <f t="shared" si="427"/>
        <v>0</v>
      </c>
      <c r="CE279" s="16">
        <f t="shared" si="427"/>
        <v>0</v>
      </c>
      <c r="CF279" s="16">
        <f t="shared" si="427"/>
        <v>0</v>
      </c>
      <c r="CG279" s="16">
        <f t="shared" si="427"/>
        <v>0</v>
      </c>
      <c r="CH279" s="16">
        <f t="shared" si="427"/>
        <v>0</v>
      </c>
      <c r="CI279" s="16">
        <f t="shared" si="427"/>
        <v>0</v>
      </c>
      <c r="CJ279" s="16">
        <f t="shared" si="427"/>
        <v>0</v>
      </c>
      <c r="CK279" s="16">
        <f t="shared" si="427"/>
        <v>0</v>
      </c>
      <c r="CL279" s="16">
        <f t="shared" si="427"/>
        <v>0</v>
      </c>
      <c r="CM279" s="16">
        <f t="shared" si="427"/>
        <v>0</v>
      </c>
      <c r="CN279" s="16">
        <f t="shared" si="427"/>
        <v>0</v>
      </c>
      <c r="CO279" s="16">
        <f t="shared" si="427"/>
        <v>0</v>
      </c>
      <c r="CP279" s="16">
        <f t="shared" si="427"/>
        <v>0</v>
      </c>
      <c r="CQ279" s="16">
        <f t="shared" si="427"/>
        <v>0</v>
      </c>
      <c r="CR279" s="16">
        <f t="shared" si="427"/>
        <v>0</v>
      </c>
      <c r="CS279" s="16">
        <f t="shared" si="427"/>
        <v>35401990</v>
      </c>
      <c r="CT279" s="16">
        <f t="shared" si="427"/>
        <v>0</v>
      </c>
      <c r="CU279" s="16">
        <f t="shared" si="427"/>
        <v>0</v>
      </c>
      <c r="CV279" s="16">
        <f t="shared" si="427"/>
        <v>0</v>
      </c>
      <c r="CW279" s="17">
        <f t="shared" si="427"/>
        <v>0</v>
      </c>
      <c r="CX279" s="40"/>
    </row>
    <row r="280" spans="1:102" ht="15.75" hidden="1" x14ac:dyDescent="0.25">
      <c r="A280" s="13" t="s">
        <v>1</v>
      </c>
      <c r="B280" s="14" t="s">
        <v>1</v>
      </c>
      <c r="C280" s="14" t="s">
        <v>297</v>
      </c>
      <c r="D280" s="30" t="s">
        <v>296</v>
      </c>
      <c r="E280" s="15">
        <f>SUM(F280+BY280+CT280)</f>
        <v>35401990</v>
      </c>
      <c r="F280" s="16">
        <f>SUM(G280+BA280)</f>
        <v>0</v>
      </c>
      <c r="G280" s="16">
        <f>SUM(H280+I280+J280+Q280+T280+U280+V280+AE280)</f>
        <v>0</v>
      </c>
      <c r="H280" s="16">
        <v>0</v>
      </c>
      <c r="I280" s="16">
        <v>0</v>
      </c>
      <c r="J280" s="16">
        <f t="shared" si="360"/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f t="shared" si="361"/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f>SUM(W280:AD280)</f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f>SUM(AF280:AZ280)</f>
        <v>0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16">
        <v>0</v>
      </c>
      <c r="AS280" s="16">
        <v>0</v>
      </c>
      <c r="AT280" s="16">
        <v>0</v>
      </c>
      <c r="AU280" s="16">
        <v>0</v>
      </c>
      <c r="AV280" s="16">
        <v>0</v>
      </c>
      <c r="AW280" s="16">
        <v>0</v>
      </c>
      <c r="AX280" s="16">
        <v>0</v>
      </c>
      <c r="AY280" s="16">
        <v>0</v>
      </c>
      <c r="AZ280" s="16">
        <v>0</v>
      </c>
      <c r="BA280" s="16">
        <f>SUM(BB280+BF280+BI280+BK280+BM280)</f>
        <v>0</v>
      </c>
      <c r="BB280" s="16">
        <f>SUM(BC280:BE280)</f>
        <v>0</v>
      </c>
      <c r="BC280" s="16">
        <v>0</v>
      </c>
      <c r="BD280" s="16">
        <v>0</v>
      </c>
      <c r="BE280" s="16">
        <v>0</v>
      </c>
      <c r="BF280" s="16">
        <f t="shared" si="362"/>
        <v>0</v>
      </c>
      <c r="BG280" s="16">
        <v>0</v>
      </c>
      <c r="BH280" s="16">
        <v>0</v>
      </c>
      <c r="BI280" s="16">
        <v>0</v>
      </c>
      <c r="BJ280" s="16">
        <v>0</v>
      </c>
      <c r="BK280" s="16">
        <f t="shared" si="363"/>
        <v>0</v>
      </c>
      <c r="BL280" s="16">
        <v>0</v>
      </c>
      <c r="BM280" s="16">
        <f t="shared" si="364"/>
        <v>0</v>
      </c>
      <c r="BN280" s="16">
        <v>0</v>
      </c>
      <c r="BO280" s="16">
        <v>0</v>
      </c>
      <c r="BP280" s="16">
        <v>0</v>
      </c>
      <c r="BQ280" s="16">
        <v>0</v>
      </c>
      <c r="BR280" s="16">
        <v>0</v>
      </c>
      <c r="BS280" s="16">
        <v>0</v>
      </c>
      <c r="BT280" s="16">
        <v>0</v>
      </c>
      <c r="BU280" s="16">
        <v>0</v>
      </c>
      <c r="BV280" s="16">
        <v>0</v>
      </c>
      <c r="BW280" s="16">
        <v>0</v>
      </c>
      <c r="BX280" s="16">
        <v>0</v>
      </c>
      <c r="BY280" s="16">
        <f>SUM(BZ280+CS280)</f>
        <v>35401990</v>
      </c>
      <c r="BZ280" s="16">
        <f>SUM(CA280+CD280+CK280)</f>
        <v>0</v>
      </c>
      <c r="CA280" s="16">
        <f t="shared" si="365"/>
        <v>0</v>
      </c>
      <c r="CB280" s="16">
        <v>0</v>
      </c>
      <c r="CC280" s="16">
        <v>0</v>
      </c>
      <c r="CD280" s="16">
        <f t="shared" si="366"/>
        <v>0</v>
      </c>
      <c r="CE280" s="16">
        <v>0</v>
      </c>
      <c r="CF280" s="16">
        <v>0</v>
      </c>
      <c r="CG280" s="16">
        <v>0</v>
      </c>
      <c r="CH280" s="16">
        <v>0</v>
      </c>
      <c r="CI280" s="16">
        <v>0</v>
      </c>
      <c r="CJ280" s="16">
        <v>0</v>
      </c>
      <c r="CK280" s="16">
        <f t="shared" si="367"/>
        <v>0</v>
      </c>
      <c r="CL280" s="16">
        <v>0</v>
      </c>
      <c r="CM280" s="16">
        <v>0</v>
      </c>
      <c r="CN280" s="16">
        <v>0</v>
      </c>
      <c r="CO280" s="16">
        <v>0</v>
      </c>
      <c r="CP280" s="16">
        <v>0</v>
      </c>
      <c r="CQ280" s="16">
        <v>0</v>
      </c>
      <c r="CR280" s="16">
        <v>0</v>
      </c>
      <c r="CS280" s="16">
        <f>6000000-5000+15419800+13585200+401990</f>
        <v>35401990</v>
      </c>
      <c r="CT280" s="16">
        <f t="shared" si="368"/>
        <v>0</v>
      </c>
      <c r="CU280" s="16">
        <f t="shared" si="369"/>
        <v>0</v>
      </c>
      <c r="CV280" s="16">
        <v>0</v>
      </c>
      <c r="CW280" s="17">
        <v>0</v>
      </c>
      <c r="CX280" s="40"/>
    </row>
    <row r="281" spans="1:102" ht="31.5" hidden="1" x14ac:dyDescent="0.25">
      <c r="A281" s="18" t="s">
        <v>298</v>
      </c>
      <c r="B281" s="19" t="s">
        <v>1</v>
      </c>
      <c r="C281" s="19" t="s">
        <v>1</v>
      </c>
      <c r="D281" s="31" t="s">
        <v>299</v>
      </c>
      <c r="E281" s="20">
        <f>SUM(E282)</f>
        <v>100452017</v>
      </c>
      <c r="F281" s="21">
        <f t="shared" ref="F281:BS282" si="428">SUM(F282)</f>
        <v>0</v>
      </c>
      <c r="G281" s="21">
        <f t="shared" si="428"/>
        <v>0</v>
      </c>
      <c r="H281" s="21">
        <f t="shared" si="428"/>
        <v>0</v>
      </c>
      <c r="I281" s="21">
        <f t="shared" si="428"/>
        <v>0</v>
      </c>
      <c r="J281" s="21">
        <f t="shared" si="428"/>
        <v>0</v>
      </c>
      <c r="K281" s="21">
        <f t="shared" si="428"/>
        <v>0</v>
      </c>
      <c r="L281" s="21">
        <f t="shared" si="428"/>
        <v>0</v>
      </c>
      <c r="M281" s="21">
        <f t="shared" si="428"/>
        <v>0</v>
      </c>
      <c r="N281" s="21">
        <f t="shared" si="428"/>
        <v>0</v>
      </c>
      <c r="O281" s="21">
        <f t="shared" si="428"/>
        <v>0</v>
      </c>
      <c r="P281" s="21">
        <f t="shared" si="428"/>
        <v>0</v>
      </c>
      <c r="Q281" s="21">
        <f t="shared" si="428"/>
        <v>0</v>
      </c>
      <c r="R281" s="21">
        <f t="shared" si="428"/>
        <v>0</v>
      </c>
      <c r="S281" s="21">
        <f t="shared" si="428"/>
        <v>0</v>
      </c>
      <c r="T281" s="21">
        <f t="shared" si="428"/>
        <v>0</v>
      </c>
      <c r="U281" s="21">
        <f t="shared" si="428"/>
        <v>0</v>
      </c>
      <c r="V281" s="21">
        <f t="shared" si="428"/>
        <v>0</v>
      </c>
      <c r="W281" s="21">
        <f t="shared" si="428"/>
        <v>0</v>
      </c>
      <c r="X281" s="21">
        <f t="shared" si="428"/>
        <v>0</v>
      </c>
      <c r="Y281" s="21">
        <f t="shared" si="428"/>
        <v>0</v>
      </c>
      <c r="Z281" s="21">
        <f t="shared" si="428"/>
        <v>0</v>
      </c>
      <c r="AA281" s="21">
        <f t="shared" si="428"/>
        <v>0</v>
      </c>
      <c r="AB281" s="21">
        <f t="shared" si="428"/>
        <v>0</v>
      </c>
      <c r="AC281" s="21">
        <f t="shared" si="428"/>
        <v>0</v>
      </c>
      <c r="AD281" s="21">
        <f t="shared" si="428"/>
        <v>0</v>
      </c>
      <c r="AE281" s="21">
        <f t="shared" si="428"/>
        <v>0</v>
      </c>
      <c r="AF281" s="21">
        <f t="shared" si="428"/>
        <v>0</v>
      </c>
      <c r="AG281" s="21">
        <f t="shared" si="428"/>
        <v>0</v>
      </c>
      <c r="AH281" s="21">
        <f t="shared" si="428"/>
        <v>0</v>
      </c>
      <c r="AI281" s="21">
        <f t="shared" si="428"/>
        <v>0</v>
      </c>
      <c r="AJ281" s="21">
        <f t="shared" si="428"/>
        <v>0</v>
      </c>
      <c r="AK281" s="21">
        <f t="shared" si="428"/>
        <v>0</v>
      </c>
      <c r="AL281" s="21">
        <f t="shared" si="428"/>
        <v>0</v>
      </c>
      <c r="AM281" s="21">
        <f t="shared" si="428"/>
        <v>0</v>
      </c>
      <c r="AN281" s="21">
        <f t="shared" si="428"/>
        <v>0</v>
      </c>
      <c r="AO281" s="21">
        <f t="shared" si="428"/>
        <v>0</v>
      </c>
      <c r="AP281" s="21">
        <f t="shared" si="428"/>
        <v>0</v>
      </c>
      <c r="AQ281" s="21">
        <f t="shared" si="428"/>
        <v>0</v>
      </c>
      <c r="AR281" s="21">
        <f t="shared" si="428"/>
        <v>0</v>
      </c>
      <c r="AS281" s="21">
        <f t="shared" si="428"/>
        <v>0</v>
      </c>
      <c r="AT281" s="21">
        <f t="shared" si="428"/>
        <v>0</v>
      </c>
      <c r="AU281" s="21">
        <f t="shared" si="428"/>
        <v>0</v>
      </c>
      <c r="AV281" s="21">
        <f t="shared" si="428"/>
        <v>0</v>
      </c>
      <c r="AW281" s="21">
        <f t="shared" si="428"/>
        <v>0</v>
      </c>
      <c r="AX281" s="21">
        <f t="shared" si="428"/>
        <v>0</v>
      </c>
      <c r="AY281" s="21">
        <f t="shared" si="428"/>
        <v>0</v>
      </c>
      <c r="AZ281" s="21">
        <f t="shared" si="428"/>
        <v>0</v>
      </c>
      <c r="BA281" s="21">
        <f t="shared" si="428"/>
        <v>0</v>
      </c>
      <c r="BB281" s="21">
        <f t="shared" si="428"/>
        <v>0</v>
      </c>
      <c r="BC281" s="21">
        <f t="shared" si="428"/>
        <v>0</v>
      </c>
      <c r="BD281" s="21">
        <f t="shared" si="428"/>
        <v>0</v>
      </c>
      <c r="BE281" s="21">
        <f t="shared" si="428"/>
        <v>0</v>
      </c>
      <c r="BF281" s="21">
        <f t="shared" si="428"/>
        <v>0</v>
      </c>
      <c r="BG281" s="21">
        <f t="shared" si="428"/>
        <v>0</v>
      </c>
      <c r="BH281" s="21">
        <f t="shared" si="428"/>
        <v>0</v>
      </c>
      <c r="BI281" s="21">
        <f t="shared" si="428"/>
        <v>0</v>
      </c>
      <c r="BJ281" s="21">
        <f t="shared" si="428"/>
        <v>0</v>
      </c>
      <c r="BK281" s="21">
        <f t="shared" si="428"/>
        <v>0</v>
      </c>
      <c r="BL281" s="21">
        <f t="shared" si="428"/>
        <v>0</v>
      </c>
      <c r="BM281" s="21">
        <f t="shared" si="428"/>
        <v>0</v>
      </c>
      <c r="BN281" s="21">
        <f t="shared" si="428"/>
        <v>0</v>
      </c>
      <c r="BO281" s="21">
        <f t="shared" si="428"/>
        <v>0</v>
      </c>
      <c r="BP281" s="21">
        <f t="shared" si="428"/>
        <v>0</v>
      </c>
      <c r="BQ281" s="21">
        <f t="shared" si="428"/>
        <v>0</v>
      </c>
      <c r="BR281" s="21">
        <f t="shared" si="428"/>
        <v>0</v>
      </c>
      <c r="BS281" s="21">
        <f t="shared" si="428"/>
        <v>0</v>
      </c>
      <c r="BT281" s="21">
        <f t="shared" ref="BT281:CW282" si="429">SUM(BT282)</f>
        <v>0</v>
      </c>
      <c r="BU281" s="21">
        <f t="shared" si="429"/>
        <v>0</v>
      </c>
      <c r="BV281" s="21">
        <f t="shared" si="429"/>
        <v>0</v>
      </c>
      <c r="BW281" s="21">
        <f t="shared" si="429"/>
        <v>0</v>
      </c>
      <c r="BX281" s="21">
        <f t="shared" si="429"/>
        <v>0</v>
      </c>
      <c r="BY281" s="21">
        <f t="shared" si="429"/>
        <v>0</v>
      </c>
      <c r="BZ281" s="21">
        <f t="shared" si="429"/>
        <v>0</v>
      </c>
      <c r="CA281" s="21">
        <f t="shared" si="429"/>
        <v>0</v>
      </c>
      <c r="CB281" s="21">
        <f t="shared" si="429"/>
        <v>0</v>
      </c>
      <c r="CC281" s="21">
        <f t="shared" si="429"/>
        <v>0</v>
      </c>
      <c r="CD281" s="21">
        <f t="shared" si="429"/>
        <v>0</v>
      </c>
      <c r="CE281" s="21">
        <f t="shared" si="429"/>
        <v>0</v>
      </c>
      <c r="CF281" s="21">
        <f t="shared" si="429"/>
        <v>0</v>
      </c>
      <c r="CG281" s="21">
        <f t="shared" si="429"/>
        <v>0</v>
      </c>
      <c r="CH281" s="21">
        <f t="shared" si="429"/>
        <v>0</v>
      </c>
      <c r="CI281" s="21">
        <f t="shared" si="429"/>
        <v>0</v>
      </c>
      <c r="CJ281" s="21">
        <f t="shared" si="429"/>
        <v>0</v>
      </c>
      <c r="CK281" s="21">
        <f t="shared" si="429"/>
        <v>0</v>
      </c>
      <c r="CL281" s="21">
        <f t="shared" si="429"/>
        <v>0</v>
      </c>
      <c r="CM281" s="21">
        <f t="shared" si="429"/>
        <v>0</v>
      </c>
      <c r="CN281" s="21">
        <f t="shared" si="429"/>
        <v>0</v>
      </c>
      <c r="CO281" s="21">
        <f t="shared" si="429"/>
        <v>0</v>
      </c>
      <c r="CP281" s="21">
        <f t="shared" si="429"/>
        <v>0</v>
      </c>
      <c r="CQ281" s="21">
        <f t="shared" si="429"/>
        <v>0</v>
      </c>
      <c r="CR281" s="21">
        <f t="shared" si="429"/>
        <v>0</v>
      </c>
      <c r="CS281" s="21">
        <f t="shared" si="429"/>
        <v>0</v>
      </c>
      <c r="CT281" s="21">
        <f t="shared" si="429"/>
        <v>100452017</v>
      </c>
      <c r="CU281" s="21">
        <f t="shared" si="429"/>
        <v>100452017</v>
      </c>
      <c r="CV281" s="21">
        <f t="shared" si="429"/>
        <v>0</v>
      </c>
      <c r="CW281" s="22">
        <f t="shared" si="429"/>
        <v>100452017</v>
      </c>
      <c r="CX281" s="40"/>
    </row>
    <row r="282" spans="1:102" ht="15.75" hidden="1" x14ac:dyDescent="0.25">
      <c r="A282" s="13" t="s">
        <v>300</v>
      </c>
      <c r="B282" s="14" t="s">
        <v>3</v>
      </c>
      <c r="C282" s="14" t="s">
        <v>1</v>
      </c>
      <c r="D282" s="30" t="s">
        <v>301</v>
      </c>
      <c r="E282" s="15">
        <f>SUM(E283)</f>
        <v>100452017</v>
      </c>
      <c r="F282" s="16">
        <f t="shared" si="428"/>
        <v>0</v>
      </c>
      <c r="G282" s="16">
        <f t="shared" si="428"/>
        <v>0</v>
      </c>
      <c r="H282" s="16">
        <f t="shared" si="428"/>
        <v>0</v>
      </c>
      <c r="I282" s="16">
        <f t="shared" si="428"/>
        <v>0</v>
      </c>
      <c r="J282" s="16">
        <f t="shared" si="428"/>
        <v>0</v>
      </c>
      <c r="K282" s="16">
        <f t="shared" si="428"/>
        <v>0</v>
      </c>
      <c r="L282" s="16">
        <f t="shared" si="428"/>
        <v>0</v>
      </c>
      <c r="M282" s="16">
        <f t="shared" si="428"/>
        <v>0</v>
      </c>
      <c r="N282" s="16">
        <f t="shared" si="428"/>
        <v>0</v>
      </c>
      <c r="O282" s="16">
        <f t="shared" si="428"/>
        <v>0</v>
      </c>
      <c r="P282" s="16">
        <f t="shared" si="428"/>
        <v>0</v>
      </c>
      <c r="Q282" s="16">
        <f t="shared" si="428"/>
        <v>0</v>
      </c>
      <c r="R282" s="16">
        <f t="shared" si="428"/>
        <v>0</v>
      </c>
      <c r="S282" s="16">
        <f t="shared" si="428"/>
        <v>0</v>
      </c>
      <c r="T282" s="16">
        <f t="shared" si="428"/>
        <v>0</v>
      </c>
      <c r="U282" s="16">
        <f t="shared" si="428"/>
        <v>0</v>
      </c>
      <c r="V282" s="16">
        <f t="shared" si="428"/>
        <v>0</v>
      </c>
      <c r="W282" s="16">
        <f t="shared" si="428"/>
        <v>0</v>
      </c>
      <c r="X282" s="16">
        <f t="shared" si="428"/>
        <v>0</v>
      </c>
      <c r="Y282" s="16">
        <f t="shared" si="428"/>
        <v>0</v>
      </c>
      <c r="Z282" s="16">
        <f t="shared" si="428"/>
        <v>0</v>
      </c>
      <c r="AA282" s="16">
        <f t="shared" si="428"/>
        <v>0</v>
      </c>
      <c r="AB282" s="16">
        <f t="shared" si="428"/>
        <v>0</v>
      </c>
      <c r="AC282" s="16">
        <f t="shared" si="428"/>
        <v>0</v>
      </c>
      <c r="AD282" s="16">
        <f t="shared" si="428"/>
        <v>0</v>
      </c>
      <c r="AE282" s="16">
        <f t="shared" si="428"/>
        <v>0</v>
      </c>
      <c r="AF282" s="16">
        <f t="shared" si="428"/>
        <v>0</v>
      </c>
      <c r="AG282" s="16">
        <f t="shared" si="428"/>
        <v>0</v>
      </c>
      <c r="AH282" s="16">
        <f t="shared" si="428"/>
        <v>0</v>
      </c>
      <c r="AI282" s="16">
        <f t="shared" si="428"/>
        <v>0</v>
      </c>
      <c r="AJ282" s="16">
        <f t="shared" si="428"/>
        <v>0</v>
      </c>
      <c r="AK282" s="16">
        <f t="shared" si="428"/>
        <v>0</v>
      </c>
      <c r="AL282" s="16">
        <f t="shared" si="428"/>
        <v>0</v>
      </c>
      <c r="AM282" s="16">
        <f t="shared" si="428"/>
        <v>0</v>
      </c>
      <c r="AN282" s="16">
        <f t="shared" si="428"/>
        <v>0</v>
      </c>
      <c r="AO282" s="16">
        <f t="shared" si="428"/>
        <v>0</v>
      </c>
      <c r="AP282" s="16">
        <f t="shared" si="428"/>
        <v>0</v>
      </c>
      <c r="AQ282" s="16">
        <f t="shared" si="428"/>
        <v>0</v>
      </c>
      <c r="AR282" s="16">
        <f t="shared" si="428"/>
        <v>0</v>
      </c>
      <c r="AS282" s="16">
        <f t="shared" si="428"/>
        <v>0</v>
      </c>
      <c r="AT282" s="16">
        <f t="shared" si="428"/>
        <v>0</v>
      </c>
      <c r="AU282" s="16">
        <f t="shared" si="428"/>
        <v>0</v>
      </c>
      <c r="AV282" s="16">
        <f t="shared" si="428"/>
        <v>0</v>
      </c>
      <c r="AW282" s="16">
        <f t="shared" si="428"/>
        <v>0</v>
      </c>
      <c r="AX282" s="16">
        <f t="shared" si="428"/>
        <v>0</v>
      </c>
      <c r="AY282" s="16">
        <f t="shared" si="428"/>
        <v>0</v>
      </c>
      <c r="AZ282" s="16">
        <f t="shared" si="428"/>
        <v>0</v>
      </c>
      <c r="BA282" s="16">
        <f t="shared" si="428"/>
        <v>0</v>
      </c>
      <c r="BB282" s="16">
        <f t="shared" si="428"/>
        <v>0</v>
      </c>
      <c r="BC282" s="16">
        <f t="shared" si="428"/>
        <v>0</v>
      </c>
      <c r="BD282" s="16">
        <f t="shared" si="428"/>
        <v>0</v>
      </c>
      <c r="BE282" s="16">
        <f t="shared" si="428"/>
        <v>0</v>
      </c>
      <c r="BF282" s="16">
        <f t="shared" si="428"/>
        <v>0</v>
      </c>
      <c r="BG282" s="16">
        <f t="shared" si="428"/>
        <v>0</v>
      </c>
      <c r="BH282" s="16">
        <f t="shared" si="428"/>
        <v>0</v>
      </c>
      <c r="BI282" s="16">
        <f t="shared" si="428"/>
        <v>0</v>
      </c>
      <c r="BJ282" s="16">
        <f t="shared" si="428"/>
        <v>0</v>
      </c>
      <c r="BK282" s="16">
        <f t="shared" si="428"/>
        <v>0</v>
      </c>
      <c r="BL282" s="16">
        <f t="shared" si="428"/>
        <v>0</v>
      </c>
      <c r="BM282" s="16">
        <f t="shared" si="428"/>
        <v>0</v>
      </c>
      <c r="BN282" s="16">
        <f t="shared" si="428"/>
        <v>0</v>
      </c>
      <c r="BO282" s="16">
        <f t="shared" si="428"/>
        <v>0</v>
      </c>
      <c r="BP282" s="16">
        <f t="shared" si="428"/>
        <v>0</v>
      </c>
      <c r="BQ282" s="16">
        <f t="shared" si="428"/>
        <v>0</v>
      </c>
      <c r="BR282" s="16">
        <f t="shared" si="428"/>
        <v>0</v>
      </c>
      <c r="BS282" s="16">
        <f t="shared" si="428"/>
        <v>0</v>
      </c>
      <c r="BT282" s="16">
        <f t="shared" si="429"/>
        <v>0</v>
      </c>
      <c r="BU282" s="16">
        <f t="shared" si="429"/>
        <v>0</v>
      </c>
      <c r="BV282" s="16">
        <f t="shared" si="429"/>
        <v>0</v>
      </c>
      <c r="BW282" s="16">
        <f t="shared" si="429"/>
        <v>0</v>
      </c>
      <c r="BX282" s="16">
        <f t="shared" si="429"/>
        <v>0</v>
      </c>
      <c r="BY282" s="16">
        <f t="shared" si="429"/>
        <v>0</v>
      </c>
      <c r="BZ282" s="16">
        <f t="shared" si="429"/>
        <v>0</v>
      </c>
      <c r="CA282" s="16">
        <f t="shared" si="429"/>
        <v>0</v>
      </c>
      <c r="CB282" s="16">
        <f t="shared" si="429"/>
        <v>0</v>
      </c>
      <c r="CC282" s="16">
        <f t="shared" si="429"/>
        <v>0</v>
      </c>
      <c r="CD282" s="16">
        <f t="shared" si="429"/>
        <v>0</v>
      </c>
      <c r="CE282" s="16">
        <f t="shared" si="429"/>
        <v>0</v>
      </c>
      <c r="CF282" s="16">
        <f t="shared" si="429"/>
        <v>0</v>
      </c>
      <c r="CG282" s="16">
        <f t="shared" si="429"/>
        <v>0</v>
      </c>
      <c r="CH282" s="16">
        <f t="shared" si="429"/>
        <v>0</v>
      </c>
      <c r="CI282" s="16">
        <f t="shared" si="429"/>
        <v>0</v>
      </c>
      <c r="CJ282" s="16">
        <f t="shared" si="429"/>
        <v>0</v>
      </c>
      <c r="CK282" s="16">
        <f t="shared" si="429"/>
        <v>0</v>
      </c>
      <c r="CL282" s="16">
        <f t="shared" si="429"/>
        <v>0</v>
      </c>
      <c r="CM282" s="16">
        <f t="shared" si="429"/>
        <v>0</v>
      </c>
      <c r="CN282" s="16">
        <f t="shared" si="429"/>
        <v>0</v>
      </c>
      <c r="CO282" s="16">
        <f t="shared" si="429"/>
        <v>0</v>
      </c>
      <c r="CP282" s="16">
        <f t="shared" si="429"/>
        <v>0</v>
      </c>
      <c r="CQ282" s="16">
        <f t="shared" si="429"/>
        <v>0</v>
      </c>
      <c r="CR282" s="16">
        <f t="shared" si="429"/>
        <v>0</v>
      </c>
      <c r="CS282" s="16">
        <f t="shared" si="429"/>
        <v>0</v>
      </c>
      <c r="CT282" s="16">
        <f t="shared" si="429"/>
        <v>100452017</v>
      </c>
      <c r="CU282" s="16">
        <f t="shared" si="429"/>
        <v>100452017</v>
      </c>
      <c r="CV282" s="16">
        <f t="shared" si="429"/>
        <v>0</v>
      </c>
      <c r="CW282" s="17">
        <f t="shared" si="429"/>
        <v>100452017</v>
      </c>
      <c r="CX282" s="40"/>
    </row>
    <row r="283" spans="1:102" ht="15.75" hidden="1" x14ac:dyDescent="0.25">
      <c r="A283" s="13" t="s">
        <v>1</v>
      </c>
      <c r="B283" s="14" t="s">
        <v>1</v>
      </c>
      <c r="C283" s="14" t="s">
        <v>43</v>
      </c>
      <c r="D283" s="30" t="s">
        <v>302</v>
      </c>
      <c r="E283" s="15">
        <f>SUM(F283+BY283+CT283)</f>
        <v>100452017</v>
      </c>
      <c r="F283" s="16">
        <f>SUM(G283+BA283)</f>
        <v>0</v>
      </c>
      <c r="G283" s="16">
        <f>SUM(H283+I283+J283+Q283+T283+U283+V283+AE283)</f>
        <v>0</v>
      </c>
      <c r="H283" s="16">
        <v>0</v>
      </c>
      <c r="I283" s="16">
        <v>0</v>
      </c>
      <c r="J283" s="16">
        <f t="shared" si="360"/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f t="shared" si="361"/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f>SUM(W283:AD283)</f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f>SUM(AF283:AZ283)</f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0</v>
      </c>
      <c r="AS283" s="16">
        <v>0</v>
      </c>
      <c r="AT283" s="16">
        <v>0</v>
      </c>
      <c r="AU283" s="16">
        <v>0</v>
      </c>
      <c r="AV283" s="16">
        <v>0</v>
      </c>
      <c r="AW283" s="16">
        <v>0</v>
      </c>
      <c r="AX283" s="16">
        <v>0</v>
      </c>
      <c r="AY283" s="16">
        <v>0</v>
      </c>
      <c r="AZ283" s="16">
        <v>0</v>
      </c>
      <c r="BA283" s="16">
        <f>SUM(BB283+BF283+BI283+BK283+BM283)</f>
        <v>0</v>
      </c>
      <c r="BB283" s="16">
        <f>SUM(BC283:BE283)</f>
        <v>0</v>
      </c>
      <c r="BC283" s="16">
        <v>0</v>
      </c>
      <c r="BD283" s="16">
        <v>0</v>
      </c>
      <c r="BE283" s="16">
        <v>0</v>
      </c>
      <c r="BF283" s="16">
        <f t="shared" si="362"/>
        <v>0</v>
      </c>
      <c r="BG283" s="16">
        <v>0</v>
      </c>
      <c r="BH283" s="16">
        <v>0</v>
      </c>
      <c r="BI283" s="16">
        <v>0</v>
      </c>
      <c r="BJ283" s="16">
        <v>0</v>
      </c>
      <c r="BK283" s="16">
        <f t="shared" si="363"/>
        <v>0</v>
      </c>
      <c r="BL283" s="16">
        <v>0</v>
      </c>
      <c r="BM283" s="16">
        <f t="shared" si="364"/>
        <v>0</v>
      </c>
      <c r="BN283" s="16">
        <v>0</v>
      </c>
      <c r="BO283" s="16">
        <v>0</v>
      </c>
      <c r="BP283" s="16">
        <v>0</v>
      </c>
      <c r="BQ283" s="16">
        <v>0</v>
      </c>
      <c r="BR283" s="16">
        <v>0</v>
      </c>
      <c r="BS283" s="16">
        <v>0</v>
      </c>
      <c r="BT283" s="16">
        <v>0</v>
      </c>
      <c r="BU283" s="16">
        <v>0</v>
      </c>
      <c r="BV283" s="16">
        <v>0</v>
      </c>
      <c r="BW283" s="16">
        <v>0</v>
      </c>
      <c r="BX283" s="16">
        <v>0</v>
      </c>
      <c r="BY283" s="16">
        <f>SUM(BZ283+CS283)</f>
        <v>0</v>
      </c>
      <c r="BZ283" s="16">
        <f>SUM(CA283+CD283+CK283)</f>
        <v>0</v>
      </c>
      <c r="CA283" s="16">
        <f t="shared" si="365"/>
        <v>0</v>
      </c>
      <c r="CB283" s="16">
        <v>0</v>
      </c>
      <c r="CC283" s="16">
        <v>0</v>
      </c>
      <c r="CD283" s="16">
        <f t="shared" si="366"/>
        <v>0</v>
      </c>
      <c r="CE283" s="16">
        <v>0</v>
      </c>
      <c r="CF283" s="16">
        <v>0</v>
      </c>
      <c r="CG283" s="16">
        <v>0</v>
      </c>
      <c r="CH283" s="16">
        <v>0</v>
      </c>
      <c r="CI283" s="16">
        <v>0</v>
      </c>
      <c r="CJ283" s="16">
        <v>0</v>
      </c>
      <c r="CK283" s="16">
        <f t="shared" si="367"/>
        <v>0</v>
      </c>
      <c r="CL283" s="16">
        <v>0</v>
      </c>
      <c r="CM283" s="16">
        <v>0</v>
      </c>
      <c r="CN283" s="16">
        <v>0</v>
      </c>
      <c r="CO283" s="16">
        <v>0</v>
      </c>
      <c r="CP283" s="16">
        <v>0</v>
      </c>
      <c r="CQ283" s="16">
        <v>0</v>
      </c>
      <c r="CR283" s="16">
        <v>0</v>
      </c>
      <c r="CS283" s="16">
        <v>0</v>
      </c>
      <c r="CT283" s="16">
        <f t="shared" si="368"/>
        <v>100452017</v>
      </c>
      <c r="CU283" s="16">
        <f t="shared" si="369"/>
        <v>100452017</v>
      </c>
      <c r="CV283" s="16">
        <v>0</v>
      </c>
      <c r="CW283" s="17">
        <f>100000000+452017</f>
        <v>100452017</v>
      </c>
      <c r="CX283" s="40"/>
    </row>
    <row r="284" spans="1:102" ht="15.75" hidden="1" x14ac:dyDescent="0.25">
      <c r="A284" s="18" t="s">
        <v>303</v>
      </c>
      <c r="B284" s="19" t="s">
        <v>1</v>
      </c>
      <c r="C284" s="19" t="s">
        <v>1</v>
      </c>
      <c r="D284" s="31" t="s">
        <v>304</v>
      </c>
      <c r="E284" s="20">
        <f>SUM(E285+E287+E289+E291+E293+E295+E297)</f>
        <v>447007284</v>
      </c>
      <c r="F284" s="21">
        <f t="shared" ref="F284:BS284" si="430">SUM(F285+F287+F289+F291+F293+F295+F297)</f>
        <v>157208403</v>
      </c>
      <c r="G284" s="21">
        <f t="shared" si="430"/>
        <v>101204730</v>
      </c>
      <c r="H284" s="21">
        <f t="shared" si="430"/>
        <v>30446811</v>
      </c>
      <c r="I284" s="21">
        <f t="shared" si="430"/>
        <v>754957</v>
      </c>
      <c r="J284" s="21">
        <f t="shared" si="430"/>
        <v>16782055</v>
      </c>
      <c r="K284" s="21">
        <f t="shared" si="430"/>
        <v>137984</v>
      </c>
      <c r="L284" s="21">
        <f t="shared" si="430"/>
        <v>1170870</v>
      </c>
      <c r="M284" s="21">
        <f t="shared" si="430"/>
        <v>0</v>
      </c>
      <c r="N284" s="21">
        <f t="shared" si="430"/>
        <v>16000</v>
      </c>
      <c r="O284" s="21">
        <f t="shared" si="430"/>
        <v>13214539</v>
      </c>
      <c r="P284" s="21">
        <f t="shared" si="430"/>
        <v>2242662</v>
      </c>
      <c r="Q284" s="21">
        <f t="shared" si="430"/>
        <v>70827</v>
      </c>
      <c r="R284" s="21">
        <f t="shared" si="430"/>
        <v>14057</v>
      </c>
      <c r="S284" s="21">
        <f t="shared" si="430"/>
        <v>56770</v>
      </c>
      <c r="T284" s="21">
        <f t="shared" si="430"/>
        <v>8000</v>
      </c>
      <c r="U284" s="21">
        <f t="shared" si="430"/>
        <v>389546</v>
      </c>
      <c r="V284" s="21">
        <f t="shared" si="430"/>
        <v>1129867</v>
      </c>
      <c r="W284" s="21">
        <f t="shared" si="430"/>
        <v>65088</v>
      </c>
      <c r="X284" s="21">
        <f t="shared" si="430"/>
        <v>3921</v>
      </c>
      <c r="Y284" s="21">
        <f t="shared" si="430"/>
        <v>883977</v>
      </c>
      <c r="Z284" s="21">
        <f t="shared" si="430"/>
        <v>58735</v>
      </c>
      <c r="AA284" s="21">
        <f t="shared" si="430"/>
        <v>62560</v>
      </c>
      <c r="AB284" s="21">
        <f t="shared" si="430"/>
        <v>0</v>
      </c>
      <c r="AC284" s="21">
        <f t="shared" si="430"/>
        <v>0</v>
      </c>
      <c r="AD284" s="21">
        <f t="shared" ref="AD284" si="431">SUM(AD285+AD287+AD289+AD291+AD293+AD295+AD297)</f>
        <v>55586</v>
      </c>
      <c r="AE284" s="21">
        <f t="shared" si="430"/>
        <v>51622667</v>
      </c>
      <c r="AF284" s="21">
        <f t="shared" si="430"/>
        <v>0</v>
      </c>
      <c r="AG284" s="21">
        <f t="shared" si="430"/>
        <v>138947</v>
      </c>
      <c r="AH284" s="21">
        <f t="shared" si="430"/>
        <v>136162</v>
      </c>
      <c r="AI284" s="21">
        <f t="shared" si="430"/>
        <v>0</v>
      </c>
      <c r="AJ284" s="21">
        <f t="shared" si="430"/>
        <v>6320</v>
      </c>
      <c r="AK284" s="21">
        <f t="shared" si="430"/>
        <v>29485</v>
      </c>
      <c r="AL284" s="21">
        <f t="shared" si="430"/>
        <v>1173</v>
      </c>
      <c r="AM284" s="21">
        <f t="shared" si="430"/>
        <v>27627</v>
      </c>
      <c r="AN284" s="21">
        <f t="shared" si="430"/>
        <v>14550</v>
      </c>
      <c r="AO284" s="21">
        <f t="shared" si="430"/>
        <v>0</v>
      </c>
      <c r="AP284" s="21">
        <f>SUM(AP285+AP287+AP289+AP291+AP293+AP295+AP297)</f>
        <v>0</v>
      </c>
      <c r="AQ284" s="21">
        <f t="shared" si="430"/>
        <v>0</v>
      </c>
      <c r="AR284" s="21">
        <f t="shared" si="430"/>
        <v>0</v>
      </c>
      <c r="AS284" s="21">
        <f t="shared" si="430"/>
        <v>0</v>
      </c>
      <c r="AT284" s="21">
        <f t="shared" si="430"/>
        <v>0</v>
      </c>
      <c r="AU284" s="21">
        <f t="shared" si="430"/>
        <v>0</v>
      </c>
      <c r="AV284" s="21">
        <f t="shared" si="430"/>
        <v>13031549</v>
      </c>
      <c r="AW284" s="21">
        <f t="shared" si="430"/>
        <v>9231087</v>
      </c>
      <c r="AX284" s="21">
        <f t="shared" si="430"/>
        <v>0</v>
      </c>
      <c r="AY284" s="21">
        <f t="shared" si="430"/>
        <v>268851</v>
      </c>
      <c r="AZ284" s="21">
        <f t="shared" si="430"/>
        <v>28736916</v>
      </c>
      <c r="BA284" s="21">
        <f t="shared" si="430"/>
        <v>56003673</v>
      </c>
      <c r="BB284" s="21">
        <f t="shared" si="430"/>
        <v>0</v>
      </c>
      <c r="BC284" s="21">
        <f t="shared" si="430"/>
        <v>0</v>
      </c>
      <c r="BD284" s="21">
        <f t="shared" si="430"/>
        <v>0</v>
      </c>
      <c r="BE284" s="21">
        <f t="shared" si="430"/>
        <v>0</v>
      </c>
      <c r="BF284" s="21">
        <f t="shared" si="430"/>
        <v>4776987</v>
      </c>
      <c r="BG284" s="21">
        <f t="shared" si="430"/>
        <v>0</v>
      </c>
      <c r="BH284" s="21">
        <f t="shared" si="430"/>
        <v>4776987</v>
      </c>
      <c r="BI284" s="21">
        <f t="shared" si="430"/>
        <v>8336675</v>
      </c>
      <c r="BJ284" s="21">
        <f t="shared" si="430"/>
        <v>0</v>
      </c>
      <c r="BK284" s="21">
        <f t="shared" si="430"/>
        <v>0</v>
      </c>
      <c r="BL284" s="21">
        <f t="shared" si="430"/>
        <v>0</v>
      </c>
      <c r="BM284" s="21">
        <f t="shared" si="430"/>
        <v>42890011</v>
      </c>
      <c r="BN284" s="21">
        <f t="shared" si="430"/>
        <v>0</v>
      </c>
      <c r="BO284" s="21">
        <f t="shared" si="430"/>
        <v>0</v>
      </c>
      <c r="BP284" s="21">
        <f t="shared" si="430"/>
        <v>0</v>
      </c>
      <c r="BQ284" s="21">
        <f t="shared" si="430"/>
        <v>0</v>
      </c>
      <c r="BR284" s="21">
        <f t="shared" si="430"/>
        <v>0</v>
      </c>
      <c r="BS284" s="21">
        <f t="shared" si="430"/>
        <v>0</v>
      </c>
      <c r="BT284" s="21">
        <f t="shared" ref="BT284:CW284" si="432">SUM(BT285+BT287+BT289+BT291+BT293+BT295+BT297)</f>
        <v>0</v>
      </c>
      <c r="BU284" s="21">
        <f t="shared" si="432"/>
        <v>1401135</v>
      </c>
      <c r="BV284" s="21">
        <f t="shared" si="432"/>
        <v>0</v>
      </c>
      <c r="BW284" s="21">
        <f t="shared" si="432"/>
        <v>915294</v>
      </c>
      <c r="BX284" s="21">
        <f t="shared" si="432"/>
        <v>40573582</v>
      </c>
      <c r="BY284" s="21">
        <f t="shared" si="432"/>
        <v>289798881</v>
      </c>
      <c r="BZ284" s="21">
        <f t="shared" si="432"/>
        <v>277698881</v>
      </c>
      <c r="CA284" s="21">
        <f t="shared" si="432"/>
        <v>42251875</v>
      </c>
      <c r="CB284" s="21">
        <f t="shared" si="432"/>
        <v>299196</v>
      </c>
      <c r="CC284" s="21">
        <f t="shared" si="432"/>
        <v>41952679</v>
      </c>
      <c r="CD284" s="21">
        <f t="shared" si="432"/>
        <v>140327479</v>
      </c>
      <c r="CE284" s="21">
        <f t="shared" si="432"/>
        <v>0</v>
      </c>
      <c r="CF284" s="21">
        <f>SUM(CF285+CF287+CF289+CF291+CF293+CF295+CF297)</f>
        <v>0</v>
      </c>
      <c r="CG284" s="21">
        <f t="shared" si="432"/>
        <v>122186255</v>
      </c>
      <c r="CH284" s="21">
        <f t="shared" si="432"/>
        <v>10703103</v>
      </c>
      <c r="CI284" s="21">
        <f t="shared" si="432"/>
        <v>7197854</v>
      </c>
      <c r="CJ284" s="21">
        <f t="shared" ref="CJ284" si="433">SUM(CJ285+CJ287+CJ289+CJ291+CJ293+CJ295+CJ297)</f>
        <v>240267</v>
      </c>
      <c r="CK284" s="21">
        <f t="shared" si="432"/>
        <v>95119527</v>
      </c>
      <c r="CL284" s="21">
        <f t="shared" si="432"/>
        <v>2114966</v>
      </c>
      <c r="CM284" s="21">
        <f>SUM(CM285+CM287+CM289+CM291+CM293+CM295+CM297)</f>
        <v>0</v>
      </c>
      <c r="CN284" s="21">
        <f t="shared" si="432"/>
        <v>77686125</v>
      </c>
      <c r="CO284" s="21">
        <f t="shared" si="432"/>
        <v>5318436</v>
      </c>
      <c r="CP284" s="21">
        <f t="shared" si="432"/>
        <v>10000000</v>
      </c>
      <c r="CQ284" s="21">
        <f t="shared" si="432"/>
        <v>0</v>
      </c>
      <c r="CR284" s="21">
        <f t="shared" si="432"/>
        <v>0</v>
      </c>
      <c r="CS284" s="21">
        <f t="shared" si="432"/>
        <v>12100000</v>
      </c>
      <c r="CT284" s="21">
        <f t="shared" si="432"/>
        <v>0</v>
      </c>
      <c r="CU284" s="21">
        <f t="shared" si="432"/>
        <v>0</v>
      </c>
      <c r="CV284" s="21">
        <f t="shared" si="432"/>
        <v>0</v>
      </c>
      <c r="CW284" s="22">
        <f t="shared" si="432"/>
        <v>0</v>
      </c>
      <c r="CX284" s="40"/>
    </row>
    <row r="285" spans="1:102" ht="15.75" hidden="1" x14ac:dyDescent="0.25">
      <c r="A285" s="13" t="s">
        <v>305</v>
      </c>
      <c r="B285" s="14" t="s">
        <v>7</v>
      </c>
      <c r="C285" s="14" t="s">
        <v>1</v>
      </c>
      <c r="D285" s="30" t="s">
        <v>306</v>
      </c>
      <c r="E285" s="15">
        <f t="shared" ref="E285:AJ285" si="434">SUM(E286)</f>
        <v>4776987</v>
      </c>
      <c r="F285" s="16">
        <f t="shared" si="434"/>
        <v>4776987</v>
      </c>
      <c r="G285" s="16">
        <f t="shared" si="434"/>
        <v>0</v>
      </c>
      <c r="H285" s="16">
        <f t="shared" si="434"/>
        <v>0</v>
      </c>
      <c r="I285" s="16">
        <f t="shared" si="434"/>
        <v>0</v>
      </c>
      <c r="J285" s="16">
        <f t="shared" si="434"/>
        <v>0</v>
      </c>
      <c r="K285" s="16">
        <f t="shared" si="434"/>
        <v>0</v>
      </c>
      <c r="L285" s="16">
        <f t="shared" si="434"/>
        <v>0</v>
      </c>
      <c r="M285" s="16">
        <f t="shared" si="434"/>
        <v>0</v>
      </c>
      <c r="N285" s="16">
        <f t="shared" si="434"/>
        <v>0</v>
      </c>
      <c r="O285" s="16">
        <f t="shared" si="434"/>
        <v>0</v>
      </c>
      <c r="P285" s="16">
        <f t="shared" si="434"/>
        <v>0</v>
      </c>
      <c r="Q285" s="16">
        <f t="shared" si="434"/>
        <v>0</v>
      </c>
      <c r="R285" s="16">
        <f t="shared" si="434"/>
        <v>0</v>
      </c>
      <c r="S285" s="16">
        <f t="shared" si="434"/>
        <v>0</v>
      </c>
      <c r="T285" s="16">
        <f t="shared" si="434"/>
        <v>0</v>
      </c>
      <c r="U285" s="16">
        <f t="shared" si="434"/>
        <v>0</v>
      </c>
      <c r="V285" s="16">
        <f t="shared" si="434"/>
        <v>0</v>
      </c>
      <c r="W285" s="16">
        <f t="shared" si="434"/>
        <v>0</v>
      </c>
      <c r="X285" s="16">
        <f t="shared" si="434"/>
        <v>0</v>
      </c>
      <c r="Y285" s="16">
        <f t="shared" si="434"/>
        <v>0</v>
      </c>
      <c r="Z285" s="16">
        <f t="shared" si="434"/>
        <v>0</v>
      </c>
      <c r="AA285" s="16">
        <f t="shared" si="434"/>
        <v>0</v>
      </c>
      <c r="AB285" s="16">
        <f t="shared" si="434"/>
        <v>0</v>
      </c>
      <c r="AC285" s="16">
        <f t="shared" si="434"/>
        <v>0</v>
      </c>
      <c r="AD285" s="16">
        <f t="shared" si="434"/>
        <v>0</v>
      </c>
      <c r="AE285" s="16">
        <f t="shared" si="434"/>
        <v>0</v>
      </c>
      <c r="AF285" s="16">
        <f t="shared" si="434"/>
        <v>0</v>
      </c>
      <c r="AG285" s="16">
        <f t="shared" si="434"/>
        <v>0</v>
      </c>
      <c r="AH285" s="16">
        <f t="shared" si="434"/>
        <v>0</v>
      </c>
      <c r="AI285" s="16">
        <f t="shared" si="434"/>
        <v>0</v>
      </c>
      <c r="AJ285" s="16">
        <f t="shared" si="434"/>
        <v>0</v>
      </c>
      <c r="AK285" s="16">
        <f t="shared" ref="AK285:BR285" si="435">SUM(AK286)</f>
        <v>0</v>
      </c>
      <c r="AL285" s="16">
        <f t="shared" si="435"/>
        <v>0</v>
      </c>
      <c r="AM285" s="16">
        <f t="shared" si="435"/>
        <v>0</v>
      </c>
      <c r="AN285" s="16">
        <f t="shared" si="435"/>
        <v>0</v>
      </c>
      <c r="AO285" s="16">
        <f t="shared" si="435"/>
        <v>0</v>
      </c>
      <c r="AP285" s="16">
        <f t="shared" si="435"/>
        <v>0</v>
      </c>
      <c r="AQ285" s="16">
        <f t="shared" si="435"/>
        <v>0</v>
      </c>
      <c r="AR285" s="16">
        <f t="shared" si="435"/>
        <v>0</v>
      </c>
      <c r="AS285" s="16">
        <f t="shared" si="435"/>
        <v>0</v>
      </c>
      <c r="AT285" s="16">
        <f t="shared" si="435"/>
        <v>0</v>
      </c>
      <c r="AU285" s="16">
        <f t="shared" si="435"/>
        <v>0</v>
      </c>
      <c r="AV285" s="16">
        <f t="shared" si="435"/>
        <v>0</v>
      </c>
      <c r="AW285" s="16">
        <f t="shared" si="435"/>
        <v>0</v>
      </c>
      <c r="AX285" s="16">
        <f t="shared" si="435"/>
        <v>0</v>
      </c>
      <c r="AY285" s="16">
        <f t="shared" si="435"/>
        <v>0</v>
      </c>
      <c r="AZ285" s="16">
        <f t="shared" si="435"/>
        <v>0</v>
      </c>
      <c r="BA285" s="16">
        <f t="shared" si="435"/>
        <v>4776987</v>
      </c>
      <c r="BB285" s="16">
        <f t="shared" si="435"/>
        <v>0</v>
      </c>
      <c r="BC285" s="16">
        <f t="shared" si="435"/>
        <v>0</v>
      </c>
      <c r="BD285" s="16">
        <f t="shared" si="435"/>
        <v>0</v>
      </c>
      <c r="BE285" s="16">
        <f t="shared" si="435"/>
        <v>0</v>
      </c>
      <c r="BF285" s="16">
        <f t="shared" si="435"/>
        <v>4776987</v>
      </c>
      <c r="BG285" s="16">
        <f t="shared" si="435"/>
        <v>0</v>
      </c>
      <c r="BH285" s="16">
        <f t="shared" si="435"/>
        <v>4776987</v>
      </c>
      <c r="BI285" s="16">
        <f t="shared" si="435"/>
        <v>0</v>
      </c>
      <c r="BJ285" s="16">
        <f t="shared" si="435"/>
        <v>0</v>
      </c>
      <c r="BK285" s="16">
        <f t="shared" si="435"/>
        <v>0</v>
      </c>
      <c r="BL285" s="16">
        <f t="shared" si="435"/>
        <v>0</v>
      </c>
      <c r="BM285" s="16">
        <f t="shared" si="435"/>
        <v>0</v>
      </c>
      <c r="BN285" s="16">
        <f t="shared" si="435"/>
        <v>0</v>
      </c>
      <c r="BO285" s="16">
        <f t="shared" si="435"/>
        <v>0</v>
      </c>
      <c r="BP285" s="16">
        <f t="shared" si="435"/>
        <v>0</v>
      </c>
      <c r="BQ285" s="16">
        <f t="shared" si="435"/>
        <v>0</v>
      </c>
      <c r="BR285" s="16">
        <f t="shared" si="435"/>
        <v>0</v>
      </c>
      <c r="BS285" s="16">
        <f t="shared" ref="BS285:CW285" si="436">SUM(BS286)</f>
        <v>0</v>
      </c>
      <c r="BT285" s="16">
        <f t="shared" si="436"/>
        <v>0</v>
      </c>
      <c r="BU285" s="16">
        <f t="shared" si="436"/>
        <v>0</v>
      </c>
      <c r="BV285" s="16">
        <f t="shared" si="436"/>
        <v>0</v>
      </c>
      <c r="BW285" s="16">
        <f t="shared" si="436"/>
        <v>0</v>
      </c>
      <c r="BX285" s="16">
        <f t="shared" si="436"/>
        <v>0</v>
      </c>
      <c r="BY285" s="16">
        <f t="shared" si="436"/>
        <v>0</v>
      </c>
      <c r="BZ285" s="16">
        <f t="shared" si="436"/>
        <v>0</v>
      </c>
      <c r="CA285" s="16">
        <f t="shared" si="436"/>
        <v>0</v>
      </c>
      <c r="CB285" s="16">
        <f t="shared" si="436"/>
        <v>0</v>
      </c>
      <c r="CC285" s="16">
        <f t="shared" si="436"/>
        <v>0</v>
      </c>
      <c r="CD285" s="16">
        <f t="shared" si="436"/>
        <v>0</v>
      </c>
      <c r="CE285" s="16">
        <f t="shared" si="436"/>
        <v>0</v>
      </c>
      <c r="CF285" s="16">
        <f t="shared" si="436"/>
        <v>0</v>
      </c>
      <c r="CG285" s="16">
        <f t="shared" si="436"/>
        <v>0</v>
      </c>
      <c r="CH285" s="16">
        <f t="shared" si="436"/>
        <v>0</v>
      </c>
      <c r="CI285" s="16">
        <f t="shared" si="436"/>
        <v>0</v>
      </c>
      <c r="CJ285" s="16">
        <f t="shared" si="436"/>
        <v>0</v>
      </c>
      <c r="CK285" s="16">
        <f t="shared" si="436"/>
        <v>0</v>
      </c>
      <c r="CL285" s="16">
        <f t="shared" si="436"/>
        <v>0</v>
      </c>
      <c r="CM285" s="16">
        <f t="shared" si="436"/>
        <v>0</v>
      </c>
      <c r="CN285" s="16">
        <f t="shared" si="436"/>
        <v>0</v>
      </c>
      <c r="CO285" s="16">
        <f t="shared" si="436"/>
        <v>0</v>
      </c>
      <c r="CP285" s="16">
        <f t="shared" si="436"/>
        <v>0</v>
      </c>
      <c r="CQ285" s="16">
        <f t="shared" si="436"/>
        <v>0</v>
      </c>
      <c r="CR285" s="16">
        <f t="shared" si="436"/>
        <v>0</v>
      </c>
      <c r="CS285" s="16">
        <f t="shared" si="436"/>
        <v>0</v>
      </c>
      <c r="CT285" s="16">
        <f t="shared" si="436"/>
        <v>0</v>
      </c>
      <c r="CU285" s="16">
        <f t="shared" si="436"/>
        <v>0</v>
      </c>
      <c r="CV285" s="16">
        <f t="shared" si="436"/>
        <v>0</v>
      </c>
      <c r="CW285" s="17">
        <f t="shared" si="436"/>
        <v>0</v>
      </c>
      <c r="CX285" s="40"/>
    </row>
    <row r="286" spans="1:102" ht="15.75" hidden="1" x14ac:dyDescent="0.25">
      <c r="A286" s="13" t="s">
        <v>1</v>
      </c>
      <c r="B286" s="14" t="s">
        <v>1</v>
      </c>
      <c r="C286" s="14" t="s">
        <v>307</v>
      </c>
      <c r="D286" s="30" t="s">
        <v>306</v>
      </c>
      <c r="E286" s="15">
        <f>SUM(F286+BY286+CT286)</f>
        <v>4776987</v>
      </c>
      <c r="F286" s="16">
        <f>SUM(G286+BA286)</f>
        <v>4776987</v>
      </c>
      <c r="G286" s="16">
        <f>SUM(H286+I286+J286+Q286+T286+U286+V286+AE286)</f>
        <v>0</v>
      </c>
      <c r="H286" s="16">
        <v>0</v>
      </c>
      <c r="I286" s="16">
        <v>0</v>
      </c>
      <c r="J286" s="16">
        <f t="shared" ref="J286:J298" si="437">SUM(K286:P286)</f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f t="shared" ref="Q286:Q298" si="438">SUM(R286:S286)</f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f>SUM(W286:AD286)</f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f>SUM(AF286:AZ286)</f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16">
        <v>0</v>
      </c>
      <c r="AR286" s="16">
        <v>0</v>
      </c>
      <c r="AS286" s="16">
        <v>0</v>
      </c>
      <c r="AT286" s="16">
        <v>0</v>
      </c>
      <c r="AU286" s="16">
        <v>0</v>
      </c>
      <c r="AV286" s="16">
        <v>0</v>
      </c>
      <c r="AW286" s="16">
        <v>0</v>
      </c>
      <c r="AX286" s="16">
        <v>0</v>
      </c>
      <c r="AY286" s="16">
        <v>0</v>
      </c>
      <c r="AZ286" s="16">
        <v>0</v>
      </c>
      <c r="BA286" s="16">
        <f>SUM(BB286+BF286+BI286+BK286+BM286)</f>
        <v>4776987</v>
      </c>
      <c r="BB286" s="16">
        <f>SUM(BC286:BE286)</f>
        <v>0</v>
      </c>
      <c r="BC286" s="16">
        <v>0</v>
      </c>
      <c r="BD286" s="16">
        <v>0</v>
      </c>
      <c r="BE286" s="16">
        <v>0</v>
      </c>
      <c r="BF286" s="16">
        <f t="shared" ref="BF286:BF298" si="439">SUM(BG286:BH286)</f>
        <v>4776987</v>
      </c>
      <c r="BG286" s="16">
        <v>0</v>
      </c>
      <c r="BH286" s="16">
        <f>6578160+549620-2350793</f>
        <v>4776987</v>
      </c>
      <c r="BI286" s="16">
        <v>0</v>
      </c>
      <c r="BJ286" s="16">
        <v>0</v>
      </c>
      <c r="BK286" s="16">
        <f t="shared" ref="BK286:BK298" si="440">SUM(BL286)</f>
        <v>0</v>
      </c>
      <c r="BL286" s="16">
        <v>0</v>
      </c>
      <c r="BM286" s="16">
        <f t="shared" ref="BM286:BM298" si="441">SUM(BN286:BX286)</f>
        <v>0</v>
      </c>
      <c r="BN286" s="16">
        <v>0</v>
      </c>
      <c r="BO286" s="16">
        <v>0</v>
      </c>
      <c r="BP286" s="16">
        <v>0</v>
      </c>
      <c r="BQ286" s="16">
        <v>0</v>
      </c>
      <c r="BR286" s="16">
        <v>0</v>
      </c>
      <c r="BS286" s="16">
        <v>0</v>
      </c>
      <c r="BT286" s="16">
        <v>0</v>
      </c>
      <c r="BU286" s="16">
        <v>0</v>
      </c>
      <c r="BV286" s="16">
        <v>0</v>
      </c>
      <c r="BW286" s="16">
        <v>0</v>
      </c>
      <c r="BX286" s="16">
        <v>0</v>
      </c>
      <c r="BY286" s="16">
        <f>SUM(BZ286+CS286)</f>
        <v>0</v>
      </c>
      <c r="BZ286" s="16">
        <f>SUM(CA286+CD286+CK286)</f>
        <v>0</v>
      </c>
      <c r="CA286" s="16">
        <f t="shared" ref="CA286:CA298" si="442">SUM(CB286:CC286)</f>
        <v>0</v>
      </c>
      <c r="CB286" s="16">
        <v>0</v>
      </c>
      <c r="CC286" s="16">
        <v>0</v>
      </c>
      <c r="CD286" s="16">
        <f t="shared" ref="CD286:CD298" si="443">SUM(CE286:CI286)</f>
        <v>0</v>
      </c>
      <c r="CE286" s="16">
        <v>0</v>
      </c>
      <c r="CF286" s="16">
        <v>0</v>
      </c>
      <c r="CG286" s="16">
        <v>0</v>
      </c>
      <c r="CH286" s="16">
        <v>0</v>
      </c>
      <c r="CI286" s="16">
        <v>0</v>
      </c>
      <c r="CJ286" s="16">
        <v>0</v>
      </c>
      <c r="CK286" s="16">
        <f t="shared" ref="CK286:CK298" si="444">SUM(CL286:CP286)</f>
        <v>0</v>
      </c>
      <c r="CL286" s="16">
        <v>0</v>
      </c>
      <c r="CM286" s="16">
        <v>0</v>
      </c>
      <c r="CN286" s="16">
        <v>0</v>
      </c>
      <c r="CO286" s="16">
        <v>0</v>
      </c>
      <c r="CP286" s="16">
        <v>0</v>
      </c>
      <c r="CQ286" s="16">
        <v>0</v>
      </c>
      <c r="CR286" s="16">
        <v>0</v>
      </c>
      <c r="CS286" s="16">
        <v>0</v>
      </c>
      <c r="CT286" s="16">
        <f t="shared" ref="CT286:CT298" si="445">SUM(CU286)</f>
        <v>0</v>
      </c>
      <c r="CU286" s="16">
        <f t="shared" ref="CU286:CU298" si="446">SUM(CV286:CW286)</f>
        <v>0</v>
      </c>
      <c r="CV286" s="16">
        <v>0</v>
      </c>
      <c r="CW286" s="17">
        <v>0</v>
      </c>
      <c r="CX286" s="40"/>
    </row>
    <row r="287" spans="1:102" ht="31.5" hidden="1" x14ac:dyDescent="0.25">
      <c r="A287" s="13" t="s">
        <v>305</v>
      </c>
      <c r="B287" s="14" t="s">
        <v>47</v>
      </c>
      <c r="C287" s="14" t="s">
        <v>1</v>
      </c>
      <c r="D287" s="30" t="s">
        <v>308</v>
      </c>
      <c r="E287" s="15">
        <f t="shared" ref="E287:AJ287" si="447">SUM(E288)</f>
        <v>64927109</v>
      </c>
      <c r="F287" s="16">
        <f t="shared" si="447"/>
        <v>61523020</v>
      </c>
      <c r="G287" s="16">
        <f t="shared" si="447"/>
        <v>51709739</v>
      </c>
      <c r="H287" s="16">
        <f t="shared" si="447"/>
        <v>30446811</v>
      </c>
      <c r="I287" s="16">
        <f t="shared" si="447"/>
        <v>754957</v>
      </c>
      <c r="J287" s="16">
        <f t="shared" si="447"/>
        <v>3871109</v>
      </c>
      <c r="K287" s="16">
        <f t="shared" si="447"/>
        <v>137984</v>
      </c>
      <c r="L287" s="16">
        <f t="shared" si="447"/>
        <v>1083970</v>
      </c>
      <c r="M287" s="16">
        <f t="shared" si="447"/>
        <v>0</v>
      </c>
      <c r="N287" s="16">
        <f t="shared" si="447"/>
        <v>16000</v>
      </c>
      <c r="O287" s="16">
        <f t="shared" si="447"/>
        <v>1760695</v>
      </c>
      <c r="P287" s="16">
        <f t="shared" si="447"/>
        <v>872460</v>
      </c>
      <c r="Q287" s="16">
        <f t="shared" si="447"/>
        <v>70827</v>
      </c>
      <c r="R287" s="16">
        <f t="shared" si="447"/>
        <v>14057</v>
      </c>
      <c r="S287" s="16">
        <f t="shared" si="447"/>
        <v>56770</v>
      </c>
      <c r="T287" s="16">
        <f t="shared" si="447"/>
        <v>8000</v>
      </c>
      <c r="U287" s="16">
        <f t="shared" si="447"/>
        <v>389546</v>
      </c>
      <c r="V287" s="16">
        <f t="shared" si="447"/>
        <v>1129867</v>
      </c>
      <c r="W287" s="16">
        <f t="shared" si="447"/>
        <v>65088</v>
      </c>
      <c r="X287" s="16">
        <f t="shared" si="447"/>
        <v>3921</v>
      </c>
      <c r="Y287" s="16">
        <f t="shared" si="447"/>
        <v>883977</v>
      </c>
      <c r="Z287" s="16">
        <f t="shared" si="447"/>
        <v>58735</v>
      </c>
      <c r="AA287" s="16">
        <f t="shared" si="447"/>
        <v>62560</v>
      </c>
      <c r="AB287" s="16">
        <f t="shared" si="447"/>
        <v>0</v>
      </c>
      <c r="AC287" s="16">
        <f t="shared" si="447"/>
        <v>0</v>
      </c>
      <c r="AD287" s="16">
        <f t="shared" si="447"/>
        <v>55586</v>
      </c>
      <c r="AE287" s="16">
        <f t="shared" si="447"/>
        <v>15038622</v>
      </c>
      <c r="AF287" s="16">
        <f t="shared" si="447"/>
        <v>0</v>
      </c>
      <c r="AG287" s="16">
        <f t="shared" si="447"/>
        <v>138947</v>
      </c>
      <c r="AH287" s="16">
        <f t="shared" si="447"/>
        <v>136162</v>
      </c>
      <c r="AI287" s="16">
        <f t="shared" si="447"/>
        <v>0</v>
      </c>
      <c r="AJ287" s="16">
        <f t="shared" si="447"/>
        <v>6320</v>
      </c>
      <c r="AK287" s="16">
        <f t="shared" ref="AK287:BR287" si="448">SUM(AK288)</f>
        <v>29485</v>
      </c>
      <c r="AL287" s="16">
        <f t="shared" si="448"/>
        <v>1173</v>
      </c>
      <c r="AM287" s="16">
        <f t="shared" si="448"/>
        <v>27627</v>
      </c>
      <c r="AN287" s="16">
        <f t="shared" si="448"/>
        <v>14550</v>
      </c>
      <c r="AO287" s="16">
        <f t="shared" si="448"/>
        <v>0</v>
      </c>
      <c r="AP287" s="16">
        <f t="shared" si="448"/>
        <v>0</v>
      </c>
      <c r="AQ287" s="16">
        <f t="shared" si="448"/>
        <v>0</v>
      </c>
      <c r="AR287" s="16">
        <f t="shared" si="448"/>
        <v>0</v>
      </c>
      <c r="AS287" s="16">
        <f t="shared" si="448"/>
        <v>0</v>
      </c>
      <c r="AT287" s="16">
        <f t="shared" si="448"/>
        <v>0</v>
      </c>
      <c r="AU287" s="16">
        <f t="shared" si="448"/>
        <v>0</v>
      </c>
      <c r="AV287" s="16">
        <f t="shared" si="448"/>
        <v>0</v>
      </c>
      <c r="AW287" s="16">
        <f t="shared" si="448"/>
        <v>9231087</v>
      </c>
      <c r="AX287" s="16">
        <f t="shared" si="448"/>
        <v>0</v>
      </c>
      <c r="AY287" s="16">
        <f t="shared" si="448"/>
        <v>268851</v>
      </c>
      <c r="AZ287" s="16">
        <f t="shared" si="448"/>
        <v>5184420</v>
      </c>
      <c r="BA287" s="16">
        <f t="shared" si="448"/>
        <v>9813281</v>
      </c>
      <c r="BB287" s="16">
        <f t="shared" si="448"/>
        <v>0</v>
      </c>
      <c r="BC287" s="16">
        <f t="shared" si="448"/>
        <v>0</v>
      </c>
      <c r="BD287" s="16">
        <f t="shared" si="448"/>
        <v>0</v>
      </c>
      <c r="BE287" s="16">
        <f t="shared" si="448"/>
        <v>0</v>
      </c>
      <c r="BF287" s="16">
        <f t="shared" si="448"/>
        <v>0</v>
      </c>
      <c r="BG287" s="16">
        <f t="shared" si="448"/>
        <v>0</v>
      </c>
      <c r="BH287" s="16">
        <f t="shared" si="448"/>
        <v>0</v>
      </c>
      <c r="BI287" s="16">
        <f t="shared" si="448"/>
        <v>0</v>
      </c>
      <c r="BJ287" s="16">
        <f t="shared" si="448"/>
        <v>0</v>
      </c>
      <c r="BK287" s="16">
        <f t="shared" si="448"/>
        <v>0</v>
      </c>
      <c r="BL287" s="16">
        <f t="shared" si="448"/>
        <v>0</v>
      </c>
      <c r="BM287" s="16">
        <f t="shared" si="448"/>
        <v>9813281</v>
      </c>
      <c r="BN287" s="16">
        <f t="shared" si="448"/>
        <v>0</v>
      </c>
      <c r="BO287" s="16">
        <f t="shared" si="448"/>
        <v>0</v>
      </c>
      <c r="BP287" s="16">
        <f t="shared" si="448"/>
        <v>0</v>
      </c>
      <c r="BQ287" s="16">
        <f t="shared" si="448"/>
        <v>0</v>
      </c>
      <c r="BR287" s="16">
        <f t="shared" si="448"/>
        <v>0</v>
      </c>
      <c r="BS287" s="16">
        <f t="shared" ref="BS287:CW287" si="449">SUM(BS288)</f>
        <v>0</v>
      </c>
      <c r="BT287" s="16">
        <f t="shared" si="449"/>
        <v>0</v>
      </c>
      <c r="BU287" s="16">
        <f t="shared" si="449"/>
        <v>0</v>
      </c>
      <c r="BV287" s="16">
        <f t="shared" si="449"/>
        <v>0</v>
      </c>
      <c r="BW287" s="16">
        <f t="shared" si="449"/>
        <v>915294</v>
      </c>
      <c r="BX287" s="16">
        <f t="shared" si="449"/>
        <v>8897987</v>
      </c>
      <c r="BY287" s="16">
        <f t="shared" si="449"/>
        <v>3404089</v>
      </c>
      <c r="BZ287" s="16">
        <f t="shared" si="449"/>
        <v>3404089</v>
      </c>
      <c r="CA287" s="16">
        <f t="shared" si="449"/>
        <v>2354041</v>
      </c>
      <c r="CB287" s="16">
        <f t="shared" si="449"/>
        <v>0</v>
      </c>
      <c r="CC287" s="16">
        <f t="shared" si="449"/>
        <v>2354041</v>
      </c>
      <c r="CD287" s="16">
        <f t="shared" si="449"/>
        <v>569664</v>
      </c>
      <c r="CE287" s="16">
        <f t="shared" si="449"/>
        <v>0</v>
      </c>
      <c r="CF287" s="16">
        <f t="shared" si="449"/>
        <v>0</v>
      </c>
      <c r="CG287" s="16">
        <f t="shared" si="449"/>
        <v>0</v>
      </c>
      <c r="CH287" s="16">
        <f t="shared" si="449"/>
        <v>329397</v>
      </c>
      <c r="CI287" s="16">
        <f t="shared" si="449"/>
        <v>0</v>
      </c>
      <c r="CJ287" s="16">
        <f t="shared" si="449"/>
        <v>240267</v>
      </c>
      <c r="CK287" s="16">
        <f t="shared" si="449"/>
        <v>480384</v>
      </c>
      <c r="CL287" s="16">
        <f t="shared" si="449"/>
        <v>0</v>
      </c>
      <c r="CM287" s="16">
        <f t="shared" si="449"/>
        <v>0</v>
      </c>
      <c r="CN287" s="16">
        <f t="shared" si="449"/>
        <v>250000</v>
      </c>
      <c r="CO287" s="16">
        <f t="shared" si="449"/>
        <v>230384</v>
      </c>
      <c r="CP287" s="16">
        <f t="shared" si="449"/>
        <v>0</v>
      </c>
      <c r="CQ287" s="16">
        <f t="shared" si="449"/>
        <v>0</v>
      </c>
      <c r="CR287" s="16">
        <f t="shared" si="449"/>
        <v>0</v>
      </c>
      <c r="CS287" s="16">
        <f t="shared" si="449"/>
        <v>0</v>
      </c>
      <c r="CT287" s="16">
        <f t="shared" si="449"/>
        <v>0</v>
      </c>
      <c r="CU287" s="16">
        <f t="shared" si="449"/>
        <v>0</v>
      </c>
      <c r="CV287" s="16">
        <f t="shared" si="449"/>
        <v>0</v>
      </c>
      <c r="CW287" s="17">
        <f t="shared" si="449"/>
        <v>0</v>
      </c>
      <c r="CX287" s="40"/>
    </row>
    <row r="288" spans="1:102" ht="31.5" hidden="1" x14ac:dyDescent="0.25">
      <c r="A288" s="13" t="s">
        <v>1</v>
      </c>
      <c r="B288" s="14" t="s">
        <v>1</v>
      </c>
      <c r="C288" s="14" t="s">
        <v>211</v>
      </c>
      <c r="D288" s="30" t="s">
        <v>308</v>
      </c>
      <c r="E288" s="15">
        <f>SUM(F288+BY288+CT288)</f>
        <v>64927109</v>
      </c>
      <c r="F288" s="16">
        <f>SUM(G288+BA288)</f>
        <v>61523020</v>
      </c>
      <c r="G288" s="16">
        <f>SUM(H288+I288+J288+Q288+T288+U288+V288+AE288)</f>
        <v>51709739</v>
      </c>
      <c r="H288" s="16">
        <f>32048779-1601968</f>
        <v>30446811</v>
      </c>
      <c r="I288" s="16">
        <f>1218144-463187</f>
        <v>754957</v>
      </c>
      <c r="J288" s="16">
        <f t="shared" si="437"/>
        <v>3871109</v>
      </c>
      <c r="K288" s="16">
        <f>77600+60384</f>
        <v>137984</v>
      </c>
      <c r="L288" s="16">
        <f>1720316-636346</f>
        <v>1083970</v>
      </c>
      <c r="M288" s="16">
        <v>0</v>
      </c>
      <c r="N288" s="16">
        <f>38102-22102</f>
        <v>16000</v>
      </c>
      <c r="O288" s="16">
        <f>2357171-596476</f>
        <v>1760695</v>
      </c>
      <c r="P288" s="16">
        <f>1189729-317269</f>
        <v>872460</v>
      </c>
      <c r="Q288" s="16">
        <f t="shared" si="438"/>
        <v>70827</v>
      </c>
      <c r="R288" s="16">
        <f>5073+8984</f>
        <v>14057</v>
      </c>
      <c r="S288" s="16">
        <f>248321-191551</f>
        <v>56770</v>
      </c>
      <c r="T288" s="16">
        <f>12820-4820</f>
        <v>8000</v>
      </c>
      <c r="U288" s="16">
        <f>475143-85597</f>
        <v>389546</v>
      </c>
      <c r="V288" s="16">
        <f>SUM(W288:AD288)</f>
        <v>1129867</v>
      </c>
      <c r="W288" s="16">
        <f>94170-29082</f>
        <v>65088</v>
      </c>
      <c r="X288" s="16">
        <f>3876+45</f>
        <v>3921</v>
      </c>
      <c r="Y288" s="16">
        <f>834175+49802</f>
        <v>883977</v>
      </c>
      <c r="Z288" s="16">
        <f>50032+8703</f>
        <v>58735</v>
      </c>
      <c r="AA288" s="16">
        <f>86169-23609</f>
        <v>62560</v>
      </c>
      <c r="AB288" s="16">
        <v>0</v>
      </c>
      <c r="AC288" s="16">
        <v>0</v>
      </c>
      <c r="AD288" s="16">
        <f>53085+2501</f>
        <v>55586</v>
      </c>
      <c r="AE288" s="16">
        <f>SUM(AF288:AZ288)</f>
        <v>15038622</v>
      </c>
      <c r="AF288" s="16">
        <v>0</v>
      </c>
      <c r="AG288" s="16">
        <f>181187-61051+18811</f>
        <v>138947</v>
      </c>
      <c r="AH288" s="16">
        <f>414761-278599</f>
        <v>136162</v>
      </c>
      <c r="AI288" s="16">
        <v>0</v>
      </c>
      <c r="AJ288" s="16">
        <f>22086-15766</f>
        <v>6320</v>
      </c>
      <c r="AK288" s="16">
        <f>107095-77610</f>
        <v>29485</v>
      </c>
      <c r="AL288" s="16">
        <f>320488-319315</f>
        <v>1173</v>
      </c>
      <c r="AM288" s="16">
        <f>28450+4-827</f>
        <v>27627</v>
      </c>
      <c r="AN288" s="16">
        <v>14550</v>
      </c>
      <c r="AO288" s="16">
        <v>0</v>
      </c>
      <c r="AP288" s="16">
        <v>0</v>
      </c>
      <c r="AQ288" s="16">
        <v>0</v>
      </c>
      <c r="AR288" s="16">
        <v>0</v>
      </c>
      <c r="AS288" s="16">
        <v>0</v>
      </c>
      <c r="AT288" s="16">
        <v>0</v>
      </c>
      <c r="AU288" s="16">
        <v>0</v>
      </c>
      <c r="AV288" s="16">
        <v>0</v>
      </c>
      <c r="AW288" s="16">
        <f>0+9231087</f>
        <v>9231087</v>
      </c>
      <c r="AX288" s="16">
        <v>0</v>
      </c>
      <c r="AY288" s="16">
        <f>0+268851</f>
        <v>268851</v>
      </c>
      <c r="AZ288" s="16">
        <f>6693110-4-1508686</f>
        <v>5184420</v>
      </c>
      <c r="BA288" s="16">
        <f>SUM(BB288+BF288+BI288+BK288+BM288)</f>
        <v>9813281</v>
      </c>
      <c r="BB288" s="16">
        <f>SUM(BC288:BE288)</f>
        <v>0</v>
      </c>
      <c r="BC288" s="16">
        <v>0</v>
      </c>
      <c r="BD288" s="16">
        <v>0</v>
      </c>
      <c r="BE288" s="16">
        <v>0</v>
      </c>
      <c r="BF288" s="16">
        <f t="shared" si="439"/>
        <v>0</v>
      </c>
      <c r="BG288" s="16">
        <v>0</v>
      </c>
      <c r="BH288" s="16">
        <v>0</v>
      </c>
      <c r="BI288" s="16">
        <v>0</v>
      </c>
      <c r="BJ288" s="16">
        <v>0</v>
      </c>
      <c r="BK288" s="16">
        <f t="shared" si="440"/>
        <v>0</v>
      </c>
      <c r="BL288" s="16">
        <v>0</v>
      </c>
      <c r="BM288" s="16">
        <f t="shared" si="441"/>
        <v>9813281</v>
      </c>
      <c r="BN288" s="16">
        <v>0</v>
      </c>
      <c r="BO288" s="16">
        <v>0</v>
      </c>
      <c r="BP288" s="16">
        <v>0</v>
      </c>
      <c r="BQ288" s="16">
        <v>0</v>
      </c>
      <c r="BR288" s="16">
        <v>0</v>
      </c>
      <c r="BS288" s="16">
        <v>0</v>
      </c>
      <c r="BT288" s="16">
        <v>0</v>
      </c>
      <c r="BU288" s="16">
        <v>0</v>
      </c>
      <c r="BV288" s="16">
        <v>0</v>
      </c>
      <c r="BW288" s="16">
        <f>1060010-144716</f>
        <v>915294</v>
      </c>
      <c r="BX288" s="16">
        <f>18579386-9681399</f>
        <v>8897987</v>
      </c>
      <c r="BY288" s="16">
        <f>SUM(BZ288+CS288)</f>
        <v>3404089</v>
      </c>
      <c r="BZ288" s="16">
        <f>SUM(CA288+CD288+CK288)</f>
        <v>3404089</v>
      </c>
      <c r="CA288" s="16">
        <f t="shared" si="442"/>
        <v>2354041</v>
      </c>
      <c r="CB288" s="16">
        <v>0</v>
      </c>
      <c r="CC288" s="16">
        <f>3106000-751959</f>
        <v>2354041</v>
      </c>
      <c r="CD288" s="16">
        <f>SUM(CE288:CJ288)</f>
        <v>569664</v>
      </c>
      <c r="CE288" s="16">
        <v>0</v>
      </c>
      <c r="CF288" s="16">
        <v>0</v>
      </c>
      <c r="CG288" s="16">
        <v>0</v>
      </c>
      <c r="CH288" s="16">
        <f>656654-327257</f>
        <v>329397</v>
      </c>
      <c r="CI288" s="16">
        <v>0</v>
      </c>
      <c r="CJ288" s="16">
        <f>0+240267</f>
        <v>240267</v>
      </c>
      <c r="CK288" s="16">
        <f t="shared" si="444"/>
        <v>480384</v>
      </c>
      <c r="CL288" s="16">
        <v>0</v>
      </c>
      <c r="CM288" s="16">
        <v>0</v>
      </c>
      <c r="CN288" s="16">
        <f>0+250000</f>
        <v>250000</v>
      </c>
      <c r="CO288" s="16">
        <f>0+230384</f>
        <v>230384</v>
      </c>
      <c r="CP288" s="16">
        <v>0</v>
      </c>
      <c r="CQ288" s="16">
        <v>0</v>
      </c>
      <c r="CR288" s="16">
        <v>0</v>
      </c>
      <c r="CS288" s="16">
        <v>0</v>
      </c>
      <c r="CT288" s="16">
        <f t="shared" si="445"/>
        <v>0</v>
      </c>
      <c r="CU288" s="16">
        <f t="shared" si="446"/>
        <v>0</v>
      </c>
      <c r="CV288" s="16">
        <v>0</v>
      </c>
      <c r="CW288" s="17">
        <v>0</v>
      </c>
      <c r="CX288" s="40"/>
    </row>
    <row r="289" spans="1:102" ht="31.5" hidden="1" x14ac:dyDescent="0.25">
      <c r="A289" s="13" t="s">
        <v>305</v>
      </c>
      <c r="B289" s="14" t="s">
        <v>117</v>
      </c>
      <c r="C289" s="14" t="s">
        <v>1</v>
      </c>
      <c r="D289" s="30" t="s">
        <v>309</v>
      </c>
      <c r="E289" s="15">
        <f t="shared" ref="E289:AJ289" si="450">SUM(E290)</f>
        <v>31675595</v>
      </c>
      <c r="F289" s="16">
        <f t="shared" si="450"/>
        <v>31675595</v>
      </c>
      <c r="G289" s="16">
        <f t="shared" si="450"/>
        <v>0</v>
      </c>
      <c r="H289" s="16">
        <f t="shared" si="450"/>
        <v>0</v>
      </c>
      <c r="I289" s="16">
        <f t="shared" si="450"/>
        <v>0</v>
      </c>
      <c r="J289" s="16">
        <f t="shared" si="450"/>
        <v>0</v>
      </c>
      <c r="K289" s="16">
        <f t="shared" si="450"/>
        <v>0</v>
      </c>
      <c r="L289" s="16">
        <f t="shared" si="450"/>
        <v>0</v>
      </c>
      <c r="M289" s="16">
        <f t="shared" si="450"/>
        <v>0</v>
      </c>
      <c r="N289" s="16">
        <f t="shared" si="450"/>
        <v>0</v>
      </c>
      <c r="O289" s="16">
        <f t="shared" si="450"/>
        <v>0</v>
      </c>
      <c r="P289" s="16">
        <f t="shared" si="450"/>
        <v>0</v>
      </c>
      <c r="Q289" s="16">
        <f t="shared" si="450"/>
        <v>0</v>
      </c>
      <c r="R289" s="16">
        <f t="shared" si="450"/>
        <v>0</v>
      </c>
      <c r="S289" s="16">
        <f t="shared" si="450"/>
        <v>0</v>
      </c>
      <c r="T289" s="16">
        <f t="shared" si="450"/>
        <v>0</v>
      </c>
      <c r="U289" s="16">
        <f t="shared" si="450"/>
        <v>0</v>
      </c>
      <c r="V289" s="16">
        <f t="shared" si="450"/>
        <v>0</v>
      </c>
      <c r="W289" s="16">
        <f t="shared" si="450"/>
        <v>0</v>
      </c>
      <c r="X289" s="16">
        <f t="shared" si="450"/>
        <v>0</v>
      </c>
      <c r="Y289" s="16">
        <f t="shared" si="450"/>
        <v>0</v>
      </c>
      <c r="Z289" s="16">
        <f t="shared" si="450"/>
        <v>0</v>
      </c>
      <c r="AA289" s="16">
        <f t="shared" si="450"/>
        <v>0</v>
      </c>
      <c r="AB289" s="16">
        <f t="shared" si="450"/>
        <v>0</v>
      </c>
      <c r="AC289" s="16">
        <f t="shared" si="450"/>
        <v>0</v>
      </c>
      <c r="AD289" s="16">
        <f t="shared" si="450"/>
        <v>0</v>
      </c>
      <c r="AE289" s="16">
        <f t="shared" si="450"/>
        <v>0</v>
      </c>
      <c r="AF289" s="16">
        <f t="shared" si="450"/>
        <v>0</v>
      </c>
      <c r="AG289" s="16">
        <f t="shared" si="450"/>
        <v>0</v>
      </c>
      <c r="AH289" s="16">
        <f t="shared" si="450"/>
        <v>0</v>
      </c>
      <c r="AI289" s="16">
        <f t="shared" si="450"/>
        <v>0</v>
      </c>
      <c r="AJ289" s="16">
        <f t="shared" si="450"/>
        <v>0</v>
      </c>
      <c r="AK289" s="16">
        <f t="shared" ref="AK289:BR289" si="451">SUM(AK290)</f>
        <v>0</v>
      </c>
      <c r="AL289" s="16">
        <f t="shared" si="451"/>
        <v>0</v>
      </c>
      <c r="AM289" s="16">
        <f t="shared" si="451"/>
        <v>0</v>
      </c>
      <c r="AN289" s="16">
        <f t="shared" si="451"/>
        <v>0</v>
      </c>
      <c r="AO289" s="16">
        <f t="shared" si="451"/>
        <v>0</v>
      </c>
      <c r="AP289" s="16">
        <f t="shared" si="451"/>
        <v>0</v>
      </c>
      <c r="AQ289" s="16">
        <f t="shared" si="451"/>
        <v>0</v>
      </c>
      <c r="AR289" s="16">
        <f t="shared" si="451"/>
        <v>0</v>
      </c>
      <c r="AS289" s="16">
        <f t="shared" si="451"/>
        <v>0</v>
      </c>
      <c r="AT289" s="16">
        <f t="shared" si="451"/>
        <v>0</v>
      </c>
      <c r="AU289" s="16">
        <f t="shared" si="451"/>
        <v>0</v>
      </c>
      <c r="AV289" s="16">
        <f t="shared" si="451"/>
        <v>0</v>
      </c>
      <c r="AW289" s="16">
        <f t="shared" si="451"/>
        <v>0</v>
      </c>
      <c r="AX289" s="16">
        <f t="shared" si="451"/>
        <v>0</v>
      </c>
      <c r="AY289" s="16">
        <f t="shared" si="451"/>
        <v>0</v>
      </c>
      <c r="AZ289" s="16">
        <f t="shared" si="451"/>
        <v>0</v>
      </c>
      <c r="BA289" s="16">
        <f t="shared" si="451"/>
        <v>31675595</v>
      </c>
      <c r="BB289" s="16">
        <f t="shared" si="451"/>
        <v>0</v>
      </c>
      <c r="BC289" s="16">
        <f t="shared" si="451"/>
        <v>0</v>
      </c>
      <c r="BD289" s="16">
        <f t="shared" si="451"/>
        <v>0</v>
      </c>
      <c r="BE289" s="16">
        <f t="shared" si="451"/>
        <v>0</v>
      </c>
      <c r="BF289" s="16">
        <f t="shared" si="451"/>
        <v>0</v>
      </c>
      <c r="BG289" s="16">
        <f t="shared" si="451"/>
        <v>0</v>
      </c>
      <c r="BH289" s="16">
        <f t="shared" si="451"/>
        <v>0</v>
      </c>
      <c r="BI289" s="16">
        <f t="shared" si="451"/>
        <v>0</v>
      </c>
      <c r="BJ289" s="16">
        <f t="shared" si="451"/>
        <v>0</v>
      </c>
      <c r="BK289" s="16">
        <f t="shared" si="451"/>
        <v>0</v>
      </c>
      <c r="BL289" s="16">
        <f t="shared" si="451"/>
        <v>0</v>
      </c>
      <c r="BM289" s="16">
        <f t="shared" si="451"/>
        <v>31675595</v>
      </c>
      <c r="BN289" s="16">
        <f t="shared" si="451"/>
        <v>0</v>
      </c>
      <c r="BO289" s="16">
        <f t="shared" si="451"/>
        <v>0</v>
      </c>
      <c r="BP289" s="16">
        <f t="shared" si="451"/>
        <v>0</v>
      </c>
      <c r="BQ289" s="16">
        <f t="shared" si="451"/>
        <v>0</v>
      </c>
      <c r="BR289" s="16">
        <f t="shared" si="451"/>
        <v>0</v>
      </c>
      <c r="BS289" s="16">
        <f t="shared" ref="BS289:CW289" si="452">SUM(BS290)</f>
        <v>0</v>
      </c>
      <c r="BT289" s="16">
        <f t="shared" si="452"/>
        <v>0</v>
      </c>
      <c r="BU289" s="16">
        <f t="shared" si="452"/>
        <v>0</v>
      </c>
      <c r="BV289" s="16">
        <f t="shared" si="452"/>
        <v>0</v>
      </c>
      <c r="BW289" s="16">
        <f t="shared" si="452"/>
        <v>0</v>
      </c>
      <c r="BX289" s="16">
        <f t="shared" si="452"/>
        <v>31675595</v>
      </c>
      <c r="BY289" s="16">
        <f t="shared" si="452"/>
        <v>0</v>
      </c>
      <c r="BZ289" s="16">
        <f t="shared" si="452"/>
        <v>0</v>
      </c>
      <c r="CA289" s="16">
        <f t="shared" si="452"/>
        <v>0</v>
      </c>
      <c r="CB289" s="16">
        <f t="shared" si="452"/>
        <v>0</v>
      </c>
      <c r="CC289" s="16">
        <f t="shared" si="452"/>
        <v>0</v>
      </c>
      <c r="CD289" s="16">
        <f t="shared" si="452"/>
        <v>0</v>
      </c>
      <c r="CE289" s="16">
        <f t="shared" si="452"/>
        <v>0</v>
      </c>
      <c r="CF289" s="16">
        <f t="shared" si="452"/>
        <v>0</v>
      </c>
      <c r="CG289" s="16">
        <f t="shared" si="452"/>
        <v>0</v>
      </c>
      <c r="CH289" s="16">
        <f t="shared" si="452"/>
        <v>0</v>
      </c>
      <c r="CI289" s="16">
        <f t="shared" si="452"/>
        <v>0</v>
      </c>
      <c r="CJ289" s="16">
        <f t="shared" si="452"/>
        <v>0</v>
      </c>
      <c r="CK289" s="16">
        <f t="shared" si="452"/>
        <v>0</v>
      </c>
      <c r="CL289" s="16">
        <f t="shared" si="452"/>
        <v>0</v>
      </c>
      <c r="CM289" s="16">
        <f t="shared" si="452"/>
        <v>0</v>
      </c>
      <c r="CN289" s="16">
        <f t="shared" si="452"/>
        <v>0</v>
      </c>
      <c r="CO289" s="16">
        <f t="shared" si="452"/>
        <v>0</v>
      </c>
      <c r="CP289" s="16">
        <f t="shared" si="452"/>
        <v>0</v>
      </c>
      <c r="CQ289" s="16">
        <f t="shared" si="452"/>
        <v>0</v>
      </c>
      <c r="CR289" s="16">
        <f t="shared" si="452"/>
        <v>0</v>
      </c>
      <c r="CS289" s="16">
        <f t="shared" si="452"/>
        <v>0</v>
      </c>
      <c r="CT289" s="16">
        <f t="shared" si="452"/>
        <v>0</v>
      </c>
      <c r="CU289" s="16">
        <f t="shared" si="452"/>
        <v>0</v>
      </c>
      <c r="CV289" s="16">
        <f t="shared" si="452"/>
        <v>0</v>
      </c>
      <c r="CW289" s="17">
        <f t="shared" si="452"/>
        <v>0</v>
      </c>
      <c r="CX289" s="40"/>
    </row>
    <row r="290" spans="1:102" ht="31.5" hidden="1" x14ac:dyDescent="0.25">
      <c r="A290" s="13" t="s">
        <v>1</v>
      </c>
      <c r="B290" s="14" t="s">
        <v>1</v>
      </c>
      <c r="C290" s="14" t="s">
        <v>29</v>
      </c>
      <c r="D290" s="30" t="s">
        <v>310</v>
      </c>
      <c r="E290" s="15">
        <f>SUM(F290+BY290+CT290)</f>
        <v>31675595</v>
      </c>
      <c r="F290" s="16">
        <f>SUM(G290+BA290)</f>
        <v>31675595</v>
      </c>
      <c r="G290" s="16">
        <f>SUM(H290+I290+J290+Q290+T290+U290+V290+AE290)</f>
        <v>0</v>
      </c>
      <c r="H290" s="16">
        <v>0</v>
      </c>
      <c r="I290" s="16">
        <v>0</v>
      </c>
      <c r="J290" s="16">
        <f t="shared" si="437"/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f t="shared" si="438"/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f>SUM(W290:AD290)</f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f>SUM(AF290:AZ290)</f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16">
        <v>0</v>
      </c>
      <c r="AS290" s="16">
        <v>0</v>
      </c>
      <c r="AT290" s="16">
        <v>0</v>
      </c>
      <c r="AU290" s="16">
        <v>0</v>
      </c>
      <c r="AV290" s="16">
        <v>0</v>
      </c>
      <c r="AW290" s="16">
        <v>0</v>
      </c>
      <c r="AX290" s="16">
        <v>0</v>
      </c>
      <c r="AY290" s="16">
        <v>0</v>
      </c>
      <c r="AZ290" s="16">
        <v>0</v>
      </c>
      <c r="BA290" s="16">
        <f>SUM(BB290+BF290+BI290+BK290+BM290)</f>
        <v>31675595</v>
      </c>
      <c r="BB290" s="16">
        <f>SUM(BC290:BE290)</f>
        <v>0</v>
      </c>
      <c r="BC290" s="16">
        <v>0</v>
      </c>
      <c r="BD290" s="16">
        <v>0</v>
      </c>
      <c r="BE290" s="16">
        <v>0</v>
      </c>
      <c r="BF290" s="16">
        <f t="shared" si="439"/>
        <v>0</v>
      </c>
      <c r="BG290" s="16">
        <v>0</v>
      </c>
      <c r="BH290" s="16">
        <v>0</v>
      </c>
      <c r="BI290" s="16">
        <v>0</v>
      </c>
      <c r="BJ290" s="16">
        <v>0</v>
      </c>
      <c r="BK290" s="16">
        <f t="shared" si="440"/>
        <v>0</v>
      </c>
      <c r="BL290" s="16">
        <v>0</v>
      </c>
      <c r="BM290" s="16">
        <f t="shared" si="441"/>
        <v>31675595</v>
      </c>
      <c r="BN290" s="16">
        <v>0</v>
      </c>
      <c r="BO290" s="16">
        <v>0</v>
      </c>
      <c r="BP290" s="16">
        <v>0</v>
      </c>
      <c r="BQ290" s="16">
        <v>0</v>
      </c>
      <c r="BR290" s="16">
        <v>0</v>
      </c>
      <c r="BS290" s="16">
        <v>0</v>
      </c>
      <c r="BT290" s="16">
        <v>0</v>
      </c>
      <c r="BU290" s="16">
        <v>0</v>
      </c>
      <c r="BV290" s="16">
        <v>0</v>
      </c>
      <c r="BW290" s="16">
        <v>0</v>
      </c>
      <c r="BX290" s="16">
        <f>45653982-13978387</f>
        <v>31675595</v>
      </c>
      <c r="BY290" s="16">
        <f>SUM(BZ290+CS290)</f>
        <v>0</v>
      </c>
      <c r="BZ290" s="16">
        <f>SUM(CA290+CD290+CK290)</f>
        <v>0</v>
      </c>
      <c r="CA290" s="16">
        <f t="shared" si="442"/>
        <v>0</v>
      </c>
      <c r="CB290" s="16">
        <v>0</v>
      </c>
      <c r="CC290" s="16">
        <v>0</v>
      </c>
      <c r="CD290" s="16">
        <f t="shared" si="443"/>
        <v>0</v>
      </c>
      <c r="CE290" s="16">
        <v>0</v>
      </c>
      <c r="CF290" s="16">
        <v>0</v>
      </c>
      <c r="CG290" s="16">
        <v>0</v>
      </c>
      <c r="CH290" s="16">
        <v>0</v>
      </c>
      <c r="CI290" s="16">
        <v>0</v>
      </c>
      <c r="CJ290" s="16">
        <v>0</v>
      </c>
      <c r="CK290" s="16">
        <f t="shared" si="444"/>
        <v>0</v>
      </c>
      <c r="CL290" s="16">
        <v>0</v>
      </c>
      <c r="CM290" s="16">
        <v>0</v>
      </c>
      <c r="CN290" s="16">
        <v>0</v>
      </c>
      <c r="CO290" s="16">
        <v>0</v>
      </c>
      <c r="CP290" s="16">
        <v>0</v>
      </c>
      <c r="CQ290" s="16">
        <v>0</v>
      </c>
      <c r="CR290" s="16">
        <v>0</v>
      </c>
      <c r="CS290" s="16">
        <v>0</v>
      </c>
      <c r="CT290" s="16">
        <f t="shared" si="445"/>
        <v>0</v>
      </c>
      <c r="CU290" s="16">
        <f t="shared" si="446"/>
        <v>0</v>
      </c>
      <c r="CV290" s="16">
        <v>0</v>
      </c>
      <c r="CW290" s="17">
        <v>0</v>
      </c>
      <c r="CX290" s="40"/>
    </row>
    <row r="291" spans="1:102" ht="15.75" hidden="1" x14ac:dyDescent="0.25">
      <c r="A291" s="13" t="s">
        <v>305</v>
      </c>
      <c r="B291" s="14" t="s">
        <v>100</v>
      </c>
      <c r="C291" s="14" t="s">
        <v>1</v>
      </c>
      <c r="D291" s="30" t="s">
        <v>311</v>
      </c>
      <c r="E291" s="15">
        <f t="shared" ref="E291:AJ291" si="453">SUM(E292)</f>
        <v>313738422</v>
      </c>
      <c r="F291" s="16">
        <f t="shared" si="453"/>
        <v>27343630</v>
      </c>
      <c r="G291" s="16">
        <f t="shared" si="453"/>
        <v>25942495</v>
      </c>
      <c r="H291" s="16">
        <f t="shared" si="453"/>
        <v>0</v>
      </c>
      <c r="I291" s="16">
        <f t="shared" si="453"/>
        <v>0</v>
      </c>
      <c r="J291" s="16">
        <f t="shared" si="453"/>
        <v>12910946</v>
      </c>
      <c r="K291" s="16">
        <f t="shared" si="453"/>
        <v>0</v>
      </c>
      <c r="L291" s="16">
        <f t="shared" si="453"/>
        <v>86900</v>
      </c>
      <c r="M291" s="16">
        <f t="shared" si="453"/>
        <v>0</v>
      </c>
      <c r="N291" s="16">
        <f t="shared" si="453"/>
        <v>0</v>
      </c>
      <c r="O291" s="16">
        <f t="shared" si="453"/>
        <v>11453844</v>
      </c>
      <c r="P291" s="16">
        <f t="shared" si="453"/>
        <v>1370202</v>
      </c>
      <c r="Q291" s="16">
        <f t="shared" si="453"/>
        <v>0</v>
      </c>
      <c r="R291" s="16">
        <f t="shared" si="453"/>
        <v>0</v>
      </c>
      <c r="S291" s="16">
        <f t="shared" si="453"/>
        <v>0</v>
      </c>
      <c r="T291" s="16">
        <f t="shared" si="453"/>
        <v>0</v>
      </c>
      <c r="U291" s="16">
        <f t="shared" si="453"/>
        <v>0</v>
      </c>
      <c r="V291" s="16">
        <f t="shared" si="453"/>
        <v>0</v>
      </c>
      <c r="W291" s="16">
        <f t="shared" si="453"/>
        <v>0</v>
      </c>
      <c r="X291" s="16">
        <f t="shared" si="453"/>
        <v>0</v>
      </c>
      <c r="Y291" s="16">
        <f t="shared" si="453"/>
        <v>0</v>
      </c>
      <c r="Z291" s="16">
        <f t="shared" si="453"/>
        <v>0</v>
      </c>
      <c r="AA291" s="16">
        <f t="shared" si="453"/>
        <v>0</v>
      </c>
      <c r="AB291" s="16">
        <f t="shared" si="453"/>
        <v>0</v>
      </c>
      <c r="AC291" s="16">
        <f t="shared" si="453"/>
        <v>0</v>
      </c>
      <c r="AD291" s="16">
        <f t="shared" si="453"/>
        <v>0</v>
      </c>
      <c r="AE291" s="16">
        <f t="shared" si="453"/>
        <v>13031549</v>
      </c>
      <c r="AF291" s="16">
        <f t="shared" si="453"/>
        <v>0</v>
      </c>
      <c r="AG291" s="16">
        <f t="shared" si="453"/>
        <v>0</v>
      </c>
      <c r="AH291" s="16">
        <f t="shared" si="453"/>
        <v>0</v>
      </c>
      <c r="AI291" s="16">
        <f t="shared" si="453"/>
        <v>0</v>
      </c>
      <c r="AJ291" s="16">
        <f t="shared" si="453"/>
        <v>0</v>
      </c>
      <c r="AK291" s="16">
        <f t="shared" ref="AK291:BR291" si="454">SUM(AK292)</f>
        <v>0</v>
      </c>
      <c r="AL291" s="16">
        <f t="shared" si="454"/>
        <v>0</v>
      </c>
      <c r="AM291" s="16">
        <f t="shared" si="454"/>
        <v>0</v>
      </c>
      <c r="AN291" s="16">
        <f t="shared" si="454"/>
        <v>0</v>
      </c>
      <c r="AO291" s="16">
        <f t="shared" si="454"/>
        <v>0</v>
      </c>
      <c r="AP291" s="16">
        <f t="shared" si="454"/>
        <v>0</v>
      </c>
      <c r="AQ291" s="16">
        <f t="shared" si="454"/>
        <v>0</v>
      </c>
      <c r="AR291" s="16">
        <f t="shared" si="454"/>
        <v>0</v>
      </c>
      <c r="AS291" s="16">
        <f t="shared" si="454"/>
        <v>0</v>
      </c>
      <c r="AT291" s="16">
        <f t="shared" si="454"/>
        <v>0</v>
      </c>
      <c r="AU291" s="16">
        <f t="shared" si="454"/>
        <v>0</v>
      </c>
      <c r="AV291" s="16">
        <f t="shared" si="454"/>
        <v>13031549</v>
      </c>
      <c r="AW291" s="16">
        <f t="shared" si="454"/>
        <v>0</v>
      </c>
      <c r="AX291" s="16">
        <f t="shared" si="454"/>
        <v>0</v>
      </c>
      <c r="AY291" s="16">
        <f t="shared" si="454"/>
        <v>0</v>
      </c>
      <c r="AZ291" s="16">
        <f t="shared" si="454"/>
        <v>0</v>
      </c>
      <c r="BA291" s="16">
        <f t="shared" si="454"/>
        <v>1401135</v>
      </c>
      <c r="BB291" s="16">
        <f t="shared" si="454"/>
        <v>0</v>
      </c>
      <c r="BC291" s="16">
        <f t="shared" si="454"/>
        <v>0</v>
      </c>
      <c r="BD291" s="16">
        <f t="shared" si="454"/>
        <v>0</v>
      </c>
      <c r="BE291" s="16">
        <f t="shared" si="454"/>
        <v>0</v>
      </c>
      <c r="BF291" s="16">
        <f t="shared" si="454"/>
        <v>0</v>
      </c>
      <c r="BG291" s="16">
        <f t="shared" si="454"/>
        <v>0</v>
      </c>
      <c r="BH291" s="16">
        <f t="shared" si="454"/>
        <v>0</v>
      </c>
      <c r="BI291" s="16">
        <f t="shared" si="454"/>
        <v>0</v>
      </c>
      <c r="BJ291" s="16">
        <f t="shared" si="454"/>
        <v>0</v>
      </c>
      <c r="BK291" s="16">
        <f t="shared" si="454"/>
        <v>0</v>
      </c>
      <c r="BL291" s="16">
        <f t="shared" si="454"/>
        <v>0</v>
      </c>
      <c r="BM291" s="16">
        <f t="shared" si="454"/>
        <v>1401135</v>
      </c>
      <c r="BN291" s="16">
        <f t="shared" si="454"/>
        <v>0</v>
      </c>
      <c r="BO291" s="16">
        <f t="shared" si="454"/>
        <v>0</v>
      </c>
      <c r="BP291" s="16">
        <f t="shared" si="454"/>
        <v>0</v>
      </c>
      <c r="BQ291" s="16">
        <f t="shared" si="454"/>
        <v>0</v>
      </c>
      <c r="BR291" s="16">
        <f t="shared" si="454"/>
        <v>0</v>
      </c>
      <c r="BS291" s="16">
        <f t="shared" ref="BS291:CW291" si="455">SUM(BS292)</f>
        <v>0</v>
      </c>
      <c r="BT291" s="16">
        <f t="shared" si="455"/>
        <v>0</v>
      </c>
      <c r="BU291" s="16">
        <f t="shared" si="455"/>
        <v>1401135</v>
      </c>
      <c r="BV291" s="16">
        <f t="shared" si="455"/>
        <v>0</v>
      </c>
      <c r="BW291" s="16">
        <f t="shared" si="455"/>
        <v>0</v>
      </c>
      <c r="BX291" s="16">
        <f t="shared" si="455"/>
        <v>0</v>
      </c>
      <c r="BY291" s="16">
        <f t="shared" si="455"/>
        <v>286394792</v>
      </c>
      <c r="BZ291" s="16">
        <f t="shared" si="455"/>
        <v>274294792</v>
      </c>
      <c r="CA291" s="16">
        <f t="shared" si="455"/>
        <v>39897834</v>
      </c>
      <c r="CB291" s="16">
        <f t="shared" si="455"/>
        <v>299196</v>
      </c>
      <c r="CC291" s="16">
        <f t="shared" si="455"/>
        <v>39598638</v>
      </c>
      <c r="CD291" s="16">
        <f t="shared" si="455"/>
        <v>139757815</v>
      </c>
      <c r="CE291" s="16">
        <f t="shared" si="455"/>
        <v>0</v>
      </c>
      <c r="CF291" s="16">
        <f t="shared" si="455"/>
        <v>0</v>
      </c>
      <c r="CG291" s="16">
        <f t="shared" si="455"/>
        <v>122186255</v>
      </c>
      <c r="CH291" s="16">
        <f t="shared" si="455"/>
        <v>10373706</v>
      </c>
      <c r="CI291" s="16">
        <f t="shared" si="455"/>
        <v>7197854</v>
      </c>
      <c r="CJ291" s="16">
        <f t="shared" si="455"/>
        <v>0</v>
      </c>
      <c r="CK291" s="16">
        <f t="shared" si="455"/>
        <v>94639143</v>
      </c>
      <c r="CL291" s="16">
        <f t="shared" si="455"/>
        <v>2114966</v>
      </c>
      <c r="CM291" s="16">
        <f t="shared" si="455"/>
        <v>0</v>
      </c>
      <c r="CN291" s="16">
        <f t="shared" si="455"/>
        <v>77436125</v>
      </c>
      <c r="CO291" s="16">
        <f t="shared" si="455"/>
        <v>5088052</v>
      </c>
      <c r="CP291" s="16">
        <f t="shared" si="455"/>
        <v>10000000</v>
      </c>
      <c r="CQ291" s="16">
        <f t="shared" si="455"/>
        <v>0</v>
      </c>
      <c r="CR291" s="16">
        <f t="shared" si="455"/>
        <v>0</v>
      </c>
      <c r="CS291" s="16">
        <f t="shared" si="455"/>
        <v>12100000</v>
      </c>
      <c r="CT291" s="16">
        <f t="shared" si="455"/>
        <v>0</v>
      </c>
      <c r="CU291" s="16">
        <f t="shared" si="455"/>
        <v>0</v>
      </c>
      <c r="CV291" s="16">
        <f t="shared" si="455"/>
        <v>0</v>
      </c>
      <c r="CW291" s="17">
        <f t="shared" si="455"/>
        <v>0</v>
      </c>
      <c r="CX291" s="40"/>
    </row>
    <row r="292" spans="1:102" ht="15.75" hidden="1" x14ac:dyDescent="0.25">
      <c r="A292" s="13" t="s">
        <v>1</v>
      </c>
      <c r="B292" s="14" t="s">
        <v>1</v>
      </c>
      <c r="C292" s="14" t="s">
        <v>312</v>
      </c>
      <c r="D292" s="30" t="s">
        <v>311</v>
      </c>
      <c r="E292" s="15">
        <f>SUM(F292+BY292+CT292)</f>
        <v>313738422</v>
      </c>
      <c r="F292" s="16">
        <f>SUM(G292+BA292)</f>
        <v>27343630</v>
      </c>
      <c r="G292" s="16">
        <f>SUM(H292+I292+J292+Q292+T292+U292+V292+AE292)</f>
        <v>25942495</v>
      </c>
      <c r="H292" s="16">
        <v>0</v>
      </c>
      <c r="I292" s="16">
        <v>0</v>
      </c>
      <c r="J292" s="16">
        <f t="shared" si="437"/>
        <v>12910946</v>
      </c>
      <c r="K292" s="16">
        <f>3111047-3111047</f>
        <v>0</v>
      </c>
      <c r="L292" s="16">
        <v>86900</v>
      </c>
      <c r="M292" s="16">
        <v>0</v>
      </c>
      <c r="N292" s="16">
        <v>0</v>
      </c>
      <c r="O292" s="16">
        <f>11331550+122294</f>
        <v>11453844</v>
      </c>
      <c r="P292" s="16">
        <f>2122009+57686-836439+26946</f>
        <v>1370202</v>
      </c>
      <c r="Q292" s="16">
        <f t="shared" si="438"/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f>SUM(W292:AD292)</f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f>SUM(AF292:AZ292)</f>
        <v>13031549</v>
      </c>
      <c r="AF292" s="16">
        <v>0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16">
        <v>0</v>
      </c>
      <c r="AS292" s="16">
        <v>0</v>
      </c>
      <c r="AT292" s="16">
        <v>0</v>
      </c>
      <c r="AU292" s="16">
        <v>0</v>
      </c>
      <c r="AV292" s="16">
        <f>11974851+1056698</f>
        <v>13031549</v>
      </c>
      <c r="AW292" s="16">
        <v>0</v>
      </c>
      <c r="AX292" s="16">
        <v>0</v>
      </c>
      <c r="AY292" s="16">
        <v>0</v>
      </c>
      <c r="AZ292" s="16">
        <v>0</v>
      </c>
      <c r="BA292" s="16">
        <f>SUM(BB292+BF292+BI292+BK292+BM292)</f>
        <v>1401135</v>
      </c>
      <c r="BB292" s="16">
        <f>SUM(BC292:BE292)</f>
        <v>0</v>
      </c>
      <c r="BC292" s="16">
        <v>0</v>
      </c>
      <c r="BD292" s="16">
        <v>0</v>
      </c>
      <c r="BE292" s="16">
        <v>0</v>
      </c>
      <c r="BF292" s="16">
        <f t="shared" si="439"/>
        <v>0</v>
      </c>
      <c r="BG292" s="16">
        <v>0</v>
      </c>
      <c r="BH292" s="16">
        <v>0</v>
      </c>
      <c r="BI292" s="16">
        <v>0</v>
      </c>
      <c r="BJ292" s="16">
        <v>0</v>
      </c>
      <c r="BK292" s="16">
        <f t="shared" si="440"/>
        <v>0</v>
      </c>
      <c r="BL292" s="16">
        <v>0</v>
      </c>
      <c r="BM292" s="16">
        <f t="shared" si="441"/>
        <v>1401135</v>
      </c>
      <c r="BN292" s="16">
        <v>0</v>
      </c>
      <c r="BO292" s="16">
        <v>0</v>
      </c>
      <c r="BP292" s="16">
        <v>0</v>
      </c>
      <c r="BQ292" s="16">
        <v>0</v>
      </c>
      <c r="BR292" s="16">
        <v>0</v>
      </c>
      <c r="BS292" s="16">
        <v>0</v>
      </c>
      <c r="BT292" s="16">
        <v>0</v>
      </c>
      <c r="BU292" s="16">
        <v>1401135</v>
      </c>
      <c r="BV292" s="16">
        <v>0</v>
      </c>
      <c r="BW292" s="16">
        <v>0</v>
      </c>
      <c r="BX292" s="16">
        <v>0</v>
      </c>
      <c r="BY292" s="16">
        <f>SUM(BZ292+CS292)</f>
        <v>286394792</v>
      </c>
      <c r="BZ292" s="16">
        <f>SUM(CA292+CD292+CK292)</f>
        <v>274294792</v>
      </c>
      <c r="CA292" s="16">
        <f t="shared" si="442"/>
        <v>39897834</v>
      </c>
      <c r="CB292" s="16">
        <f>9200000-1253218-7647586</f>
        <v>299196</v>
      </c>
      <c r="CC292" s="41">
        <f>42553434+3781831+14279769-30683748+8000000+1667352</f>
        <v>39598638</v>
      </c>
      <c r="CD292" s="16">
        <f t="shared" si="443"/>
        <v>139757815</v>
      </c>
      <c r="CE292" s="16">
        <v>0</v>
      </c>
      <c r="CF292" s="16">
        <f>535000-535000</f>
        <v>0</v>
      </c>
      <c r="CG292" s="16">
        <f>56721870+43684815-47253+21000000+826823</f>
        <v>122186255</v>
      </c>
      <c r="CH292" s="16">
        <f>11878757+775280-2280331</f>
        <v>10373706</v>
      </c>
      <c r="CI292" s="16">
        <f>19356246+223729-12932121+550000</f>
        <v>7197854</v>
      </c>
      <c r="CJ292" s="16"/>
      <c r="CK292" s="16">
        <f t="shared" si="444"/>
        <v>94639143</v>
      </c>
      <c r="CL292" s="16">
        <f>1594966+520000</f>
        <v>2114966</v>
      </c>
      <c r="CM292" s="16">
        <f>998000-998000</f>
        <v>0</v>
      </c>
      <c r="CN292" s="16">
        <f>92081157+2588545-16967125+1427846-1694298</f>
        <v>77436125</v>
      </c>
      <c r="CO292" s="16">
        <f>12007156+309913-7229017</f>
        <v>5088052</v>
      </c>
      <c r="CP292" s="16">
        <f>2000000+7000000+1000000</f>
        <v>10000000</v>
      </c>
      <c r="CQ292" s="16">
        <v>0</v>
      </c>
      <c r="CR292" s="16">
        <v>0</v>
      </c>
      <c r="CS292" s="16">
        <f>15100000-3000000</f>
        <v>12100000</v>
      </c>
      <c r="CT292" s="16">
        <f t="shared" si="445"/>
        <v>0</v>
      </c>
      <c r="CU292" s="16">
        <f t="shared" si="446"/>
        <v>0</v>
      </c>
      <c r="CV292" s="16">
        <v>0</v>
      </c>
      <c r="CW292" s="17">
        <v>0</v>
      </c>
      <c r="CX292" s="40"/>
    </row>
    <row r="293" spans="1:102" ht="15.75" hidden="1" x14ac:dyDescent="0.25">
      <c r="A293" s="13" t="s">
        <v>305</v>
      </c>
      <c r="B293" s="14" t="s">
        <v>54</v>
      </c>
      <c r="C293" s="14" t="s">
        <v>1</v>
      </c>
      <c r="D293" s="30" t="s">
        <v>313</v>
      </c>
      <c r="E293" s="15">
        <f t="shared" ref="E293:AJ293" si="456">SUM(E294)</f>
        <v>23552496</v>
      </c>
      <c r="F293" s="16">
        <f t="shared" si="456"/>
        <v>23552496</v>
      </c>
      <c r="G293" s="16">
        <f t="shared" si="456"/>
        <v>23552496</v>
      </c>
      <c r="H293" s="16">
        <f t="shared" si="456"/>
        <v>0</v>
      </c>
      <c r="I293" s="16">
        <f t="shared" si="456"/>
        <v>0</v>
      </c>
      <c r="J293" s="16">
        <f t="shared" si="456"/>
        <v>0</v>
      </c>
      <c r="K293" s="16">
        <f t="shared" si="456"/>
        <v>0</v>
      </c>
      <c r="L293" s="16">
        <f t="shared" si="456"/>
        <v>0</v>
      </c>
      <c r="M293" s="16">
        <f t="shared" si="456"/>
        <v>0</v>
      </c>
      <c r="N293" s="16">
        <f t="shared" si="456"/>
        <v>0</v>
      </c>
      <c r="O293" s="16">
        <f t="shared" si="456"/>
        <v>0</v>
      </c>
      <c r="P293" s="16">
        <f t="shared" si="456"/>
        <v>0</v>
      </c>
      <c r="Q293" s="16">
        <f t="shared" si="456"/>
        <v>0</v>
      </c>
      <c r="R293" s="16">
        <f t="shared" si="456"/>
        <v>0</v>
      </c>
      <c r="S293" s="16">
        <f t="shared" si="456"/>
        <v>0</v>
      </c>
      <c r="T293" s="16">
        <f t="shared" si="456"/>
        <v>0</v>
      </c>
      <c r="U293" s="16">
        <f t="shared" si="456"/>
        <v>0</v>
      </c>
      <c r="V293" s="16">
        <f t="shared" si="456"/>
        <v>0</v>
      </c>
      <c r="W293" s="16">
        <f t="shared" si="456"/>
        <v>0</v>
      </c>
      <c r="X293" s="16">
        <f t="shared" si="456"/>
        <v>0</v>
      </c>
      <c r="Y293" s="16">
        <f t="shared" si="456"/>
        <v>0</v>
      </c>
      <c r="Z293" s="16">
        <f t="shared" si="456"/>
        <v>0</v>
      </c>
      <c r="AA293" s="16">
        <f t="shared" si="456"/>
        <v>0</v>
      </c>
      <c r="AB293" s="16">
        <f t="shared" si="456"/>
        <v>0</v>
      </c>
      <c r="AC293" s="16">
        <f t="shared" si="456"/>
        <v>0</v>
      </c>
      <c r="AD293" s="16">
        <f t="shared" si="456"/>
        <v>0</v>
      </c>
      <c r="AE293" s="16">
        <f t="shared" si="456"/>
        <v>23552496</v>
      </c>
      <c r="AF293" s="16">
        <f t="shared" si="456"/>
        <v>0</v>
      </c>
      <c r="AG293" s="16">
        <f t="shared" si="456"/>
        <v>0</v>
      </c>
      <c r="AH293" s="16">
        <f t="shared" si="456"/>
        <v>0</v>
      </c>
      <c r="AI293" s="16">
        <f t="shared" si="456"/>
        <v>0</v>
      </c>
      <c r="AJ293" s="16">
        <f t="shared" si="456"/>
        <v>0</v>
      </c>
      <c r="AK293" s="16">
        <f t="shared" ref="AK293:BR293" si="457">SUM(AK294)</f>
        <v>0</v>
      </c>
      <c r="AL293" s="16">
        <f t="shared" si="457"/>
        <v>0</v>
      </c>
      <c r="AM293" s="16">
        <f t="shared" si="457"/>
        <v>0</v>
      </c>
      <c r="AN293" s="16">
        <f t="shared" si="457"/>
        <v>0</v>
      </c>
      <c r="AO293" s="16">
        <f t="shared" si="457"/>
        <v>0</v>
      </c>
      <c r="AP293" s="16">
        <f t="shared" si="457"/>
        <v>0</v>
      </c>
      <c r="AQ293" s="16">
        <f t="shared" si="457"/>
        <v>0</v>
      </c>
      <c r="AR293" s="16">
        <f t="shared" si="457"/>
        <v>0</v>
      </c>
      <c r="AS293" s="16">
        <f t="shared" si="457"/>
        <v>0</v>
      </c>
      <c r="AT293" s="16">
        <f t="shared" si="457"/>
        <v>0</v>
      </c>
      <c r="AU293" s="16">
        <f t="shared" si="457"/>
        <v>0</v>
      </c>
      <c r="AV293" s="16">
        <f t="shared" si="457"/>
        <v>0</v>
      </c>
      <c r="AW293" s="16">
        <f t="shared" si="457"/>
        <v>0</v>
      </c>
      <c r="AX293" s="16">
        <f t="shared" si="457"/>
        <v>0</v>
      </c>
      <c r="AY293" s="16">
        <f t="shared" si="457"/>
        <v>0</v>
      </c>
      <c r="AZ293" s="16">
        <f t="shared" si="457"/>
        <v>23552496</v>
      </c>
      <c r="BA293" s="16">
        <f t="shared" si="457"/>
        <v>0</v>
      </c>
      <c r="BB293" s="16">
        <f t="shared" si="457"/>
        <v>0</v>
      </c>
      <c r="BC293" s="16">
        <f t="shared" si="457"/>
        <v>0</v>
      </c>
      <c r="BD293" s="16">
        <f t="shared" si="457"/>
        <v>0</v>
      </c>
      <c r="BE293" s="16">
        <f t="shared" si="457"/>
        <v>0</v>
      </c>
      <c r="BF293" s="16">
        <f t="shared" si="457"/>
        <v>0</v>
      </c>
      <c r="BG293" s="16">
        <f t="shared" si="457"/>
        <v>0</v>
      </c>
      <c r="BH293" s="16">
        <f t="shared" si="457"/>
        <v>0</v>
      </c>
      <c r="BI293" s="16">
        <f t="shared" si="457"/>
        <v>0</v>
      </c>
      <c r="BJ293" s="16">
        <f t="shared" si="457"/>
        <v>0</v>
      </c>
      <c r="BK293" s="16">
        <f t="shared" si="457"/>
        <v>0</v>
      </c>
      <c r="BL293" s="16">
        <f t="shared" si="457"/>
        <v>0</v>
      </c>
      <c r="BM293" s="16">
        <f t="shared" si="457"/>
        <v>0</v>
      </c>
      <c r="BN293" s="16">
        <f t="shared" si="457"/>
        <v>0</v>
      </c>
      <c r="BO293" s="16">
        <f t="shared" si="457"/>
        <v>0</v>
      </c>
      <c r="BP293" s="16">
        <f t="shared" si="457"/>
        <v>0</v>
      </c>
      <c r="BQ293" s="16">
        <f t="shared" si="457"/>
        <v>0</v>
      </c>
      <c r="BR293" s="16">
        <f t="shared" si="457"/>
        <v>0</v>
      </c>
      <c r="BS293" s="16">
        <f t="shared" ref="BS293:CW293" si="458">SUM(BS294)</f>
        <v>0</v>
      </c>
      <c r="BT293" s="16">
        <f t="shared" si="458"/>
        <v>0</v>
      </c>
      <c r="BU293" s="16">
        <f t="shared" si="458"/>
        <v>0</v>
      </c>
      <c r="BV293" s="16">
        <f t="shared" si="458"/>
        <v>0</v>
      </c>
      <c r="BW293" s="16">
        <f t="shared" si="458"/>
        <v>0</v>
      </c>
      <c r="BX293" s="16">
        <f t="shared" si="458"/>
        <v>0</v>
      </c>
      <c r="BY293" s="16">
        <f t="shared" si="458"/>
        <v>0</v>
      </c>
      <c r="BZ293" s="16">
        <f t="shared" si="458"/>
        <v>0</v>
      </c>
      <c r="CA293" s="16">
        <f t="shared" si="458"/>
        <v>0</v>
      </c>
      <c r="CB293" s="16">
        <f t="shared" si="458"/>
        <v>0</v>
      </c>
      <c r="CC293" s="16">
        <f t="shared" si="458"/>
        <v>0</v>
      </c>
      <c r="CD293" s="16">
        <f t="shared" si="458"/>
        <v>0</v>
      </c>
      <c r="CE293" s="16">
        <f t="shared" si="458"/>
        <v>0</v>
      </c>
      <c r="CF293" s="16">
        <f t="shared" si="458"/>
        <v>0</v>
      </c>
      <c r="CG293" s="16">
        <f t="shared" si="458"/>
        <v>0</v>
      </c>
      <c r="CH293" s="16">
        <f t="shared" si="458"/>
        <v>0</v>
      </c>
      <c r="CI293" s="16">
        <f t="shared" si="458"/>
        <v>0</v>
      </c>
      <c r="CJ293" s="16">
        <f t="shared" si="458"/>
        <v>0</v>
      </c>
      <c r="CK293" s="16">
        <f t="shared" si="458"/>
        <v>0</v>
      </c>
      <c r="CL293" s="16">
        <f t="shared" si="458"/>
        <v>0</v>
      </c>
      <c r="CM293" s="16">
        <f t="shared" si="458"/>
        <v>0</v>
      </c>
      <c r="CN293" s="16">
        <f t="shared" si="458"/>
        <v>0</v>
      </c>
      <c r="CO293" s="16">
        <f t="shared" si="458"/>
        <v>0</v>
      </c>
      <c r="CP293" s="16">
        <f t="shared" si="458"/>
        <v>0</v>
      </c>
      <c r="CQ293" s="16">
        <f t="shared" si="458"/>
        <v>0</v>
      </c>
      <c r="CR293" s="16">
        <f t="shared" si="458"/>
        <v>0</v>
      </c>
      <c r="CS293" s="16">
        <f t="shared" si="458"/>
        <v>0</v>
      </c>
      <c r="CT293" s="16">
        <f t="shared" si="458"/>
        <v>0</v>
      </c>
      <c r="CU293" s="16">
        <f t="shared" si="458"/>
        <v>0</v>
      </c>
      <c r="CV293" s="16">
        <f t="shared" si="458"/>
        <v>0</v>
      </c>
      <c r="CW293" s="17">
        <f t="shared" si="458"/>
        <v>0</v>
      </c>
      <c r="CX293" s="40"/>
    </row>
    <row r="294" spans="1:102" s="36" customFormat="1" ht="15.75" hidden="1" x14ac:dyDescent="0.25">
      <c r="A294" s="13" t="s">
        <v>1</v>
      </c>
      <c r="B294" s="14" t="s">
        <v>1</v>
      </c>
      <c r="C294" s="14" t="s">
        <v>287</v>
      </c>
      <c r="D294" s="30" t="s">
        <v>313</v>
      </c>
      <c r="E294" s="15">
        <f>SUM(F294+BY294+CT294)</f>
        <v>23552496</v>
      </c>
      <c r="F294" s="16">
        <f>SUM(G294+BA294)</f>
        <v>23552496</v>
      </c>
      <c r="G294" s="16">
        <f>SUM(H294+I294+J294+Q294+T294+U294+V294+AE294)</f>
        <v>23552496</v>
      </c>
      <c r="H294" s="16">
        <v>0</v>
      </c>
      <c r="I294" s="16">
        <v>0</v>
      </c>
      <c r="J294" s="16">
        <f t="shared" si="437"/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f t="shared" si="438"/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f>SUM(W294:AD294)</f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f>SUM(AF294:AZ294)</f>
        <v>23552496</v>
      </c>
      <c r="AF294" s="16">
        <v>0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16">
        <v>0</v>
      </c>
      <c r="AR294" s="16">
        <v>0</v>
      </c>
      <c r="AS294" s="16">
        <v>0</v>
      </c>
      <c r="AT294" s="16">
        <v>0</v>
      </c>
      <c r="AU294" s="16">
        <v>0</v>
      </c>
      <c r="AV294" s="16">
        <v>0</v>
      </c>
      <c r="AW294" s="16">
        <v>0</v>
      </c>
      <c r="AX294" s="16">
        <v>0</v>
      </c>
      <c r="AY294" s="16">
        <v>0</v>
      </c>
      <c r="AZ294" s="16">
        <f>23163034+8387867-7998405</f>
        <v>23552496</v>
      </c>
      <c r="BA294" s="16">
        <f>SUM(BB294+BF294+BI294+BK294+BM294)</f>
        <v>0</v>
      </c>
      <c r="BB294" s="16">
        <f>SUM(BC294:BE294)</f>
        <v>0</v>
      </c>
      <c r="BC294" s="16">
        <v>0</v>
      </c>
      <c r="BD294" s="16">
        <v>0</v>
      </c>
      <c r="BE294" s="16">
        <v>0</v>
      </c>
      <c r="BF294" s="16">
        <f t="shared" si="439"/>
        <v>0</v>
      </c>
      <c r="BG294" s="16">
        <v>0</v>
      </c>
      <c r="BH294" s="16">
        <v>0</v>
      </c>
      <c r="BI294" s="16">
        <v>0</v>
      </c>
      <c r="BJ294" s="16">
        <v>0</v>
      </c>
      <c r="BK294" s="16">
        <f t="shared" si="440"/>
        <v>0</v>
      </c>
      <c r="BL294" s="16">
        <v>0</v>
      </c>
      <c r="BM294" s="16">
        <f t="shared" si="441"/>
        <v>0</v>
      </c>
      <c r="BN294" s="16">
        <v>0</v>
      </c>
      <c r="BO294" s="16">
        <v>0</v>
      </c>
      <c r="BP294" s="16">
        <v>0</v>
      </c>
      <c r="BQ294" s="16">
        <v>0</v>
      </c>
      <c r="BR294" s="16">
        <v>0</v>
      </c>
      <c r="BS294" s="16">
        <v>0</v>
      </c>
      <c r="BT294" s="16">
        <v>0</v>
      </c>
      <c r="BU294" s="16">
        <v>0</v>
      </c>
      <c r="BV294" s="16">
        <v>0</v>
      </c>
      <c r="BW294" s="16">
        <v>0</v>
      </c>
      <c r="BX294" s="16">
        <v>0</v>
      </c>
      <c r="BY294" s="16">
        <f>SUM(BZ294+CS294)</f>
        <v>0</v>
      </c>
      <c r="BZ294" s="16">
        <f>SUM(CA294+CD294+CK294)</f>
        <v>0</v>
      </c>
      <c r="CA294" s="16">
        <f t="shared" si="442"/>
        <v>0</v>
      </c>
      <c r="CB294" s="16">
        <v>0</v>
      </c>
      <c r="CC294" s="16">
        <v>0</v>
      </c>
      <c r="CD294" s="16">
        <f t="shared" si="443"/>
        <v>0</v>
      </c>
      <c r="CE294" s="16">
        <v>0</v>
      </c>
      <c r="CF294" s="16">
        <v>0</v>
      </c>
      <c r="CG294" s="16">
        <v>0</v>
      </c>
      <c r="CH294" s="16">
        <v>0</v>
      </c>
      <c r="CI294" s="16">
        <v>0</v>
      </c>
      <c r="CJ294" s="16">
        <v>0</v>
      </c>
      <c r="CK294" s="16">
        <f t="shared" si="444"/>
        <v>0</v>
      </c>
      <c r="CL294" s="16">
        <v>0</v>
      </c>
      <c r="CM294" s="16">
        <v>0</v>
      </c>
      <c r="CN294" s="16">
        <v>0</v>
      </c>
      <c r="CO294" s="16">
        <v>0</v>
      </c>
      <c r="CP294" s="16">
        <v>0</v>
      </c>
      <c r="CQ294" s="16">
        <v>0</v>
      </c>
      <c r="CR294" s="16">
        <v>0</v>
      </c>
      <c r="CS294" s="16">
        <v>0</v>
      </c>
      <c r="CT294" s="16">
        <f t="shared" si="445"/>
        <v>0</v>
      </c>
      <c r="CU294" s="16">
        <f t="shared" si="446"/>
        <v>0</v>
      </c>
      <c r="CV294" s="16">
        <v>0</v>
      </c>
      <c r="CW294" s="17">
        <v>0</v>
      </c>
      <c r="CX294" s="40"/>
    </row>
    <row r="295" spans="1:102" ht="15.75" hidden="1" x14ac:dyDescent="0.25">
      <c r="A295" s="13" t="s">
        <v>305</v>
      </c>
      <c r="B295" s="14" t="s">
        <v>107</v>
      </c>
      <c r="C295" s="14" t="s">
        <v>1</v>
      </c>
      <c r="D295" s="30" t="s">
        <v>314</v>
      </c>
      <c r="E295" s="15">
        <f t="shared" ref="E295:AJ295" si="459">SUM(E296)</f>
        <v>0</v>
      </c>
      <c r="F295" s="16">
        <f t="shared" si="459"/>
        <v>0</v>
      </c>
      <c r="G295" s="16">
        <f t="shared" si="459"/>
        <v>0</v>
      </c>
      <c r="H295" s="16">
        <f t="shared" si="459"/>
        <v>0</v>
      </c>
      <c r="I295" s="16">
        <f t="shared" si="459"/>
        <v>0</v>
      </c>
      <c r="J295" s="16">
        <f t="shared" si="459"/>
        <v>0</v>
      </c>
      <c r="K295" s="16">
        <f t="shared" si="459"/>
        <v>0</v>
      </c>
      <c r="L295" s="16">
        <f t="shared" si="459"/>
        <v>0</v>
      </c>
      <c r="M295" s="16">
        <f t="shared" si="459"/>
        <v>0</v>
      </c>
      <c r="N295" s="16">
        <f t="shared" si="459"/>
        <v>0</v>
      </c>
      <c r="O295" s="16">
        <f t="shared" si="459"/>
        <v>0</v>
      </c>
      <c r="P295" s="16">
        <f t="shared" si="459"/>
        <v>0</v>
      </c>
      <c r="Q295" s="16">
        <f t="shared" si="459"/>
        <v>0</v>
      </c>
      <c r="R295" s="16">
        <f t="shared" si="459"/>
        <v>0</v>
      </c>
      <c r="S295" s="16">
        <f t="shared" si="459"/>
        <v>0</v>
      </c>
      <c r="T295" s="16">
        <f t="shared" si="459"/>
        <v>0</v>
      </c>
      <c r="U295" s="16">
        <f t="shared" si="459"/>
        <v>0</v>
      </c>
      <c r="V295" s="16">
        <f t="shared" si="459"/>
        <v>0</v>
      </c>
      <c r="W295" s="16">
        <f t="shared" si="459"/>
        <v>0</v>
      </c>
      <c r="X295" s="16">
        <f t="shared" si="459"/>
        <v>0</v>
      </c>
      <c r="Y295" s="16">
        <f t="shared" si="459"/>
        <v>0</v>
      </c>
      <c r="Z295" s="16">
        <f t="shared" si="459"/>
        <v>0</v>
      </c>
      <c r="AA295" s="16">
        <f t="shared" si="459"/>
        <v>0</v>
      </c>
      <c r="AB295" s="16">
        <f t="shared" si="459"/>
        <v>0</v>
      </c>
      <c r="AC295" s="16">
        <f t="shared" si="459"/>
        <v>0</v>
      </c>
      <c r="AD295" s="16">
        <f t="shared" si="459"/>
        <v>0</v>
      </c>
      <c r="AE295" s="16">
        <f t="shared" si="459"/>
        <v>0</v>
      </c>
      <c r="AF295" s="16">
        <f t="shared" si="459"/>
        <v>0</v>
      </c>
      <c r="AG295" s="16">
        <f t="shared" si="459"/>
        <v>0</v>
      </c>
      <c r="AH295" s="16">
        <f t="shared" si="459"/>
        <v>0</v>
      </c>
      <c r="AI295" s="16">
        <f t="shared" si="459"/>
        <v>0</v>
      </c>
      <c r="AJ295" s="16">
        <f t="shared" si="459"/>
        <v>0</v>
      </c>
      <c r="AK295" s="16">
        <f t="shared" ref="AK295:BR295" si="460">SUM(AK296)</f>
        <v>0</v>
      </c>
      <c r="AL295" s="16">
        <f t="shared" si="460"/>
        <v>0</v>
      </c>
      <c r="AM295" s="16">
        <f t="shared" si="460"/>
        <v>0</v>
      </c>
      <c r="AN295" s="16">
        <f t="shared" si="460"/>
        <v>0</v>
      </c>
      <c r="AO295" s="16">
        <f t="shared" si="460"/>
        <v>0</v>
      </c>
      <c r="AP295" s="16">
        <f t="shared" si="460"/>
        <v>0</v>
      </c>
      <c r="AQ295" s="16">
        <f t="shared" si="460"/>
        <v>0</v>
      </c>
      <c r="AR295" s="16">
        <f t="shared" si="460"/>
        <v>0</v>
      </c>
      <c r="AS295" s="16">
        <f t="shared" si="460"/>
        <v>0</v>
      </c>
      <c r="AT295" s="16">
        <f t="shared" si="460"/>
        <v>0</v>
      </c>
      <c r="AU295" s="16">
        <f t="shared" si="460"/>
        <v>0</v>
      </c>
      <c r="AV295" s="16">
        <f t="shared" si="460"/>
        <v>0</v>
      </c>
      <c r="AW295" s="16">
        <f t="shared" si="460"/>
        <v>0</v>
      </c>
      <c r="AX295" s="16">
        <f t="shared" si="460"/>
        <v>0</v>
      </c>
      <c r="AY295" s="16">
        <f t="shared" si="460"/>
        <v>0</v>
      </c>
      <c r="AZ295" s="16">
        <f t="shared" si="460"/>
        <v>0</v>
      </c>
      <c r="BA295" s="16">
        <f t="shared" si="460"/>
        <v>0</v>
      </c>
      <c r="BB295" s="16">
        <f t="shared" si="460"/>
        <v>0</v>
      </c>
      <c r="BC295" s="16">
        <f t="shared" si="460"/>
        <v>0</v>
      </c>
      <c r="BD295" s="16">
        <f t="shared" si="460"/>
        <v>0</v>
      </c>
      <c r="BE295" s="16">
        <f t="shared" si="460"/>
        <v>0</v>
      </c>
      <c r="BF295" s="16">
        <f t="shared" si="460"/>
        <v>0</v>
      </c>
      <c r="BG295" s="16">
        <f t="shared" si="460"/>
        <v>0</v>
      </c>
      <c r="BH295" s="16">
        <f t="shared" si="460"/>
        <v>0</v>
      </c>
      <c r="BI295" s="16">
        <f t="shared" si="460"/>
        <v>0</v>
      </c>
      <c r="BJ295" s="16">
        <f t="shared" si="460"/>
        <v>0</v>
      </c>
      <c r="BK295" s="16">
        <f t="shared" si="460"/>
        <v>0</v>
      </c>
      <c r="BL295" s="16">
        <f t="shared" si="460"/>
        <v>0</v>
      </c>
      <c r="BM295" s="16">
        <f t="shared" si="460"/>
        <v>0</v>
      </c>
      <c r="BN295" s="16">
        <f t="shared" si="460"/>
        <v>0</v>
      </c>
      <c r="BO295" s="16">
        <f t="shared" si="460"/>
        <v>0</v>
      </c>
      <c r="BP295" s="16">
        <f t="shared" si="460"/>
        <v>0</v>
      </c>
      <c r="BQ295" s="16">
        <f t="shared" si="460"/>
        <v>0</v>
      </c>
      <c r="BR295" s="16">
        <f t="shared" si="460"/>
        <v>0</v>
      </c>
      <c r="BS295" s="16">
        <f t="shared" ref="BS295:CW295" si="461">SUM(BS296)</f>
        <v>0</v>
      </c>
      <c r="BT295" s="16">
        <f t="shared" si="461"/>
        <v>0</v>
      </c>
      <c r="BU295" s="16">
        <f t="shared" si="461"/>
        <v>0</v>
      </c>
      <c r="BV295" s="16">
        <f t="shared" si="461"/>
        <v>0</v>
      </c>
      <c r="BW295" s="16">
        <f t="shared" si="461"/>
        <v>0</v>
      </c>
      <c r="BX295" s="16">
        <f t="shared" si="461"/>
        <v>0</v>
      </c>
      <c r="BY295" s="16">
        <f t="shared" si="461"/>
        <v>0</v>
      </c>
      <c r="BZ295" s="16">
        <f t="shared" si="461"/>
        <v>0</v>
      </c>
      <c r="CA295" s="16">
        <f t="shared" si="461"/>
        <v>0</v>
      </c>
      <c r="CB295" s="16">
        <f t="shared" si="461"/>
        <v>0</v>
      </c>
      <c r="CC295" s="16">
        <f t="shared" si="461"/>
        <v>0</v>
      </c>
      <c r="CD295" s="16">
        <f t="shared" si="461"/>
        <v>0</v>
      </c>
      <c r="CE295" s="16">
        <f t="shared" si="461"/>
        <v>0</v>
      </c>
      <c r="CF295" s="16">
        <f t="shared" si="461"/>
        <v>0</v>
      </c>
      <c r="CG295" s="16">
        <f t="shared" si="461"/>
        <v>0</v>
      </c>
      <c r="CH295" s="16">
        <f t="shared" si="461"/>
        <v>0</v>
      </c>
      <c r="CI295" s="16">
        <f t="shared" si="461"/>
        <v>0</v>
      </c>
      <c r="CJ295" s="16">
        <f t="shared" si="461"/>
        <v>0</v>
      </c>
      <c r="CK295" s="16">
        <f t="shared" si="461"/>
        <v>0</v>
      </c>
      <c r="CL295" s="16">
        <f t="shared" si="461"/>
        <v>0</v>
      </c>
      <c r="CM295" s="16">
        <f t="shared" si="461"/>
        <v>0</v>
      </c>
      <c r="CN295" s="16">
        <f t="shared" si="461"/>
        <v>0</v>
      </c>
      <c r="CO295" s="16">
        <f t="shared" si="461"/>
        <v>0</v>
      </c>
      <c r="CP295" s="16">
        <f t="shared" si="461"/>
        <v>0</v>
      </c>
      <c r="CQ295" s="16">
        <f t="shared" si="461"/>
        <v>0</v>
      </c>
      <c r="CR295" s="16">
        <f t="shared" si="461"/>
        <v>0</v>
      </c>
      <c r="CS295" s="16">
        <f t="shared" si="461"/>
        <v>0</v>
      </c>
      <c r="CT295" s="16">
        <f t="shared" si="461"/>
        <v>0</v>
      </c>
      <c r="CU295" s="16">
        <f t="shared" si="461"/>
        <v>0</v>
      </c>
      <c r="CV295" s="16">
        <f t="shared" si="461"/>
        <v>0</v>
      </c>
      <c r="CW295" s="17">
        <f t="shared" si="461"/>
        <v>0</v>
      </c>
      <c r="CX295" s="40"/>
    </row>
    <row r="296" spans="1:102" ht="15.75" hidden="1" x14ac:dyDescent="0.25">
      <c r="A296" s="13" t="s">
        <v>1</v>
      </c>
      <c r="B296" s="14" t="s">
        <v>1</v>
      </c>
      <c r="C296" s="14" t="s">
        <v>287</v>
      </c>
      <c r="D296" s="30" t="s">
        <v>314</v>
      </c>
      <c r="E296" s="15">
        <f>SUM(F296+BY296+CT296)</f>
        <v>0</v>
      </c>
      <c r="F296" s="16">
        <f>SUM(G296+BA296)</f>
        <v>0</v>
      </c>
      <c r="G296" s="16">
        <f>SUM(H296+I296+J296+Q296+T296+U296+V296+AE296)</f>
        <v>0</v>
      </c>
      <c r="H296" s="16">
        <v>0</v>
      </c>
      <c r="I296" s="16">
        <v>0</v>
      </c>
      <c r="J296" s="16">
        <f t="shared" si="437"/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f t="shared" si="438"/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f>SUM(W296:AD296)</f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f>SUM(AF296:AZ296)</f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0</v>
      </c>
      <c r="AP296" s="16">
        <v>0</v>
      </c>
      <c r="AQ296" s="16">
        <v>0</v>
      </c>
      <c r="AR296" s="16">
        <v>0</v>
      </c>
      <c r="AS296" s="16">
        <v>0</v>
      </c>
      <c r="AT296" s="16">
        <v>0</v>
      </c>
      <c r="AU296" s="16">
        <v>0</v>
      </c>
      <c r="AV296" s="16">
        <v>0</v>
      </c>
      <c r="AW296" s="16">
        <v>0</v>
      </c>
      <c r="AX296" s="16">
        <v>0</v>
      </c>
      <c r="AY296" s="16">
        <v>0</v>
      </c>
      <c r="AZ296" s="16">
        <v>0</v>
      </c>
      <c r="BA296" s="16">
        <f>SUM(BB296+BF296+BI296+BK296+BM296)</f>
        <v>0</v>
      </c>
      <c r="BB296" s="16">
        <f>SUM(BC296:BE296)</f>
        <v>0</v>
      </c>
      <c r="BC296" s="16">
        <v>0</v>
      </c>
      <c r="BD296" s="16">
        <v>0</v>
      </c>
      <c r="BE296" s="16">
        <v>0</v>
      </c>
      <c r="BF296" s="16">
        <f t="shared" si="439"/>
        <v>0</v>
      </c>
      <c r="BG296" s="16">
        <v>0</v>
      </c>
      <c r="BH296" s="16">
        <v>0</v>
      </c>
      <c r="BI296" s="16">
        <v>0</v>
      </c>
      <c r="BJ296" s="16">
        <v>0</v>
      </c>
      <c r="BK296" s="16">
        <f t="shared" si="440"/>
        <v>0</v>
      </c>
      <c r="BL296" s="16">
        <v>0</v>
      </c>
      <c r="BM296" s="16">
        <f t="shared" si="441"/>
        <v>0</v>
      </c>
      <c r="BN296" s="16">
        <v>0</v>
      </c>
      <c r="BO296" s="16">
        <v>0</v>
      </c>
      <c r="BP296" s="16">
        <v>0</v>
      </c>
      <c r="BQ296" s="16">
        <v>0</v>
      </c>
      <c r="BR296" s="16">
        <v>0</v>
      </c>
      <c r="BS296" s="16">
        <v>0</v>
      </c>
      <c r="BT296" s="16">
        <v>0</v>
      </c>
      <c r="BU296" s="16">
        <v>0</v>
      </c>
      <c r="BV296" s="16">
        <v>0</v>
      </c>
      <c r="BW296" s="16">
        <v>0</v>
      </c>
      <c r="BX296" s="16">
        <f>15000000-15000000</f>
        <v>0</v>
      </c>
      <c r="BY296" s="16">
        <f>SUM(BZ296+CS296)</f>
        <v>0</v>
      </c>
      <c r="BZ296" s="16">
        <f>SUM(CA296+CD296+CK296)</f>
        <v>0</v>
      </c>
      <c r="CA296" s="16">
        <f t="shared" si="442"/>
        <v>0</v>
      </c>
      <c r="CB296" s="16">
        <v>0</v>
      </c>
      <c r="CC296" s="16">
        <v>0</v>
      </c>
      <c r="CD296" s="16">
        <f t="shared" si="443"/>
        <v>0</v>
      </c>
      <c r="CE296" s="16">
        <v>0</v>
      </c>
      <c r="CF296" s="16">
        <v>0</v>
      </c>
      <c r="CG296" s="16">
        <v>0</v>
      </c>
      <c r="CH296" s="16">
        <v>0</v>
      </c>
      <c r="CI296" s="16">
        <v>0</v>
      </c>
      <c r="CJ296" s="16">
        <v>0</v>
      </c>
      <c r="CK296" s="16">
        <f t="shared" si="444"/>
        <v>0</v>
      </c>
      <c r="CL296" s="16">
        <v>0</v>
      </c>
      <c r="CM296" s="16">
        <v>0</v>
      </c>
      <c r="CN296" s="16">
        <v>0</v>
      </c>
      <c r="CO296" s="16">
        <v>0</v>
      </c>
      <c r="CP296" s="16">
        <v>0</v>
      </c>
      <c r="CQ296" s="16">
        <v>0</v>
      </c>
      <c r="CR296" s="16">
        <v>0</v>
      </c>
      <c r="CS296" s="16">
        <v>0</v>
      </c>
      <c r="CT296" s="16">
        <f t="shared" si="445"/>
        <v>0</v>
      </c>
      <c r="CU296" s="16">
        <f t="shared" si="446"/>
        <v>0</v>
      </c>
      <c r="CV296" s="16">
        <v>0</v>
      </c>
      <c r="CW296" s="17">
        <v>0</v>
      </c>
      <c r="CX296" s="40"/>
    </row>
    <row r="297" spans="1:102" ht="15.75" hidden="1" x14ac:dyDescent="0.25">
      <c r="A297" s="13" t="s">
        <v>305</v>
      </c>
      <c r="B297" s="14" t="s">
        <v>57</v>
      </c>
      <c r="C297" s="14" t="s">
        <v>1</v>
      </c>
      <c r="D297" s="30" t="s">
        <v>315</v>
      </c>
      <c r="E297" s="15">
        <f t="shared" ref="E297:AJ297" si="462">SUM(E298)</f>
        <v>8336675</v>
      </c>
      <c r="F297" s="16">
        <f t="shared" si="462"/>
        <v>8336675</v>
      </c>
      <c r="G297" s="16">
        <f t="shared" si="462"/>
        <v>0</v>
      </c>
      <c r="H297" s="16">
        <f t="shared" si="462"/>
        <v>0</v>
      </c>
      <c r="I297" s="16">
        <f t="shared" si="462"/>
        <v>0</v>
      </c>
      <c r="J297" s="16">
        <f t="shared" si="462"/>
        <v>0</v>
      </c>
      <c r="K297" s="16">
        <f t="shared" si="462"/>
        <v>0</v>
      </c>
      <c r="L297" s="16">
        <f t="shared" si="462"/>
        <v>0</v>
      </c>
      <c r="M297" s="16">
        <f t="shared" si="462"/>
        <v>0</v>
      </c>
      <c r="N297" s="16">
        <f t="shared" si="462"/>
        <v>0</v>
      </c>
      <c r="O297" s="16">
        <f t="shared" si="462"/>
        <v>0</v>
      </c>
      <c r="P297" s="16">
        <f t="shared" si="462"/>
        <v>0</v>
      </c>
      <c r="Q297" s="16">
        <f t="shared" si="462"/>
        <v>0</v>
      </c>
      <c r="R297" s="16">
        <f t="shared" si="462"/>
        <v>0</v>
      </c>
      <c r="S297" s="16">
        <f t="shared" si="462"/>
        <v>0</v>
      </c>
      <c r="T297" s="16">
        <f t="shared" si="462"/>
        <v>0</v>
      </c>
      <c r="U297" s="16">
        <f t="shared" si="462"/>
        <v>0</v>
      </c>
      <c r="V297" s="16">
        <f t="shared" si="462"/>
        <v>0</v>
      </c>
      <c r="W297" s="16">
        <f t="shared" si="462"/>
        <v>0</v>
      </c>
      <c r="X297" s="16">
        <f t="shared" si="462"/>
        <v>0</v>
      </c>
      <c r="Y297" s="16">
        <f t="shared" si="462"/>
        <v>0</v>
      </c>
      <c r="Z297" s="16">
        <f t="shared" si="462"/>
        <v>0</v>
      </c>
      <c r="AA297" s="16">
        <f t="shared" si="462"/>
        <v>0</v>
      </c>
      <c r="AB297" s="16">
        <f t="shared" si="462"/>
        <v>0</v>
      </c>
      <c r="AC297" s="16">
        <f t="shared" si="462"/>
        <v>0</v>
      </c>
      <c r="AD297" s="16">
        <f t="shared" si="462"/>
        <v>0</v>
      </c>
      <c r="AE297" s="16">
        <f t="shared" si="462"/>
        <v>0</v>
      </c>
      <c r="AF297" s="16">
        <f t="shared" si="462"/>
        <v>0</v>
      </c>
      <c r="AG297" s="16">
        <f t="shared" si="462"/>
        <v>0</v>
      </c>
      <c r="AH297" s="16">
        <f t="shared" si="462"/>
        <v>0</v>
      </c>
      <c r="AI297" s="16">
        <f t="shared" si="462"/>
        <v>0</v>
      </c>
      <c r="AJ297" s="16">
        <f t="shared" si="462"/>
        <v>0</v>
      </c>
      <c r="AK297" s="16">
        <f t="shared" ref="AK297:BR297" si="463">SUM(AK298)</f>
        <v>0</v>
      </c>
      <c r="AL297" s="16">
        <f t="shared" si="463"/>
        <v>0</v>
      </c>
      <c r="AM297" s="16">
        <f t="shared" si="463"/>
        <v>0</v>
      </c>
      <c r="AN297" s="16">
        <f t="shared" si="463"/>
        <v>0</v>
      </c>
      <c r="AO297" s="16">
        <f t="shared" si="463"/>
        <v>0</v>
      </c>
      <c r="AP297" s="16">
        <f t="shared" si="463"/>
        <v>0</v>
      </c>
      <c r="AQ297" s="16">
        <f t="shared" si="463"/>
        <v>0</v>
      </c>
      <c r="AR297" s="16">
        <f t="shared" si="463"/>
        <v>0</v>
      </c>
      <c r="AS297" s="16">
        <f t="shared" si="463"/>
        <v>0</v>
      </c>
      <c r="AT297" s="16">
        <f t="shared" si="463"/>
        <v>0</v>
      </c>
      <c r="AU297" s="16">
        <f t="shared" si="463"/>
        <v>0</v>
      </c>
      <c r="AV297" s="16">
        <f t="shared" si="463"/>
        <v>0</v>
      </c>
      <c r="AW297" s="16">
        <f t="shared" si="463"/>
        <v>0</v>
      </c>
      <c r="AX297" s="16">
        <f t="shared" si="463"/>
        <v>0</v>
      </c>
      <c r="AY297" s="16">
        <f t="shared" si="463"/>
        <v>0</v>
      </c>
      <c r="AZ297" s="16">
        <f t="shared" si="463"/>
        <v>0</v>
      </c>
      <c r="BA297" s="16">
        <f t="shared" si="463"/>
        <v>8336675</v>
      </c>
      <c r="BB297" s="16">
        <f t="shared" si="463"/>
        <v>0</v>
      </c>
      <c r="BC297" s="16">
        <f t="shared" si="463"/>
        <v>0</v>
      </c>
      <c r="BD297" s="16">
        <f t="shared" si="463"/>
        <v>0</v>
      </c>
      <c r="BE297" s="16">
        <f t="shared" si="463"/>
        <v>0</v>
      </c>
      <c r="BF297" s="16">
        <f t="shared" si="463"/>
        <v>0</v>
      </c>
      <c r="BG297" s="16">
        <f t="shared" si="463"/>
        <v>0</v>
      </c>
      <c r="BH297" s="16">
        <f t="shared" si="463"/>
        <v>0</v>
      </c>
      <c r="BI297" s="16">
        <f t="shared" si="463"/>
        <v>8336675</v>
      </c>
      <c r="BJ297" s="16">
        <f t="shared" si="463"/>
        <v>0</v>
      </c>
      <c r="BK297" s="16">
        <f t="shared" si="463"/>
        <v>0</v>
      </c>
      <c r="BL297" s="16">
        <f t="shared" si="463"/>
        <v>0</v>
      </c>
      <c r="BM297" s="16">
        <f t="shared" si="463"/>
        <v>0</v>
      </c>
      <c r="BN297" s="16">
        <f t="shared" si="463"/>
        <v>0</v>
      </c>
      <c r="BO297" s="16">
        <f t="shared" si="463"/>
        <v>0</v>
      </c>
      <c r="BP297" s="16">
        <f t="shared" si="463"/>
        <v>0</v>
      </c>
      <c r="BQ297" s="16">
        <f t="shared" si="463"/>
        <v>0</v>
      </c>
      <c r="BR297" s="16">
        <f t="shared" si="463"/>
        <v>0</v>
      </c>
      <c r="BS297" s="16">
        <f t="shared" ref="BS297:CW297" si="464">SUM(BS298)</f>
        <v>0</v>
      </c>
      <c r="BT297" s="16">
        <f t="shared" si="464"/>
        <v>0</v>
      </c>
      <c r="BU297" s="16">
        <f t="shared" si="464"/>
        <v>0</v>
      </c>
      <c r="BV297" s="16">
        <f t="shared" si="464"/>
        <v>0</v>
      </c>
      <c r="BW297" s="16">
        <f t="shared" si="464"/>
        <v>0</v>
      </c>
      <c r="BX297" s="16">
        <f t="shared" si="464"/>
        <v>0</v>
      </c>
      <c r="BY297" s="16">
        <f t="shared" si="464"/>
        <v>0</v>
      </c>
      <c r="BZ297" s="16">
        <f t="shared" si="464"/>
        <v>0</v>
      </c>
      <c r="CA297" s="16">
        <f t="shared" si="464"/>
        <v>0</v>
      </c>
      <c r="CB297" s="16">
        <f t="shared" si="464"/>
        <v>0</v>
      </c>
      <c r="CC297" s="16">
        <f t="shared" si="464"/>
        <v>0</v>
      </c>
      <c r="CD297" s="16">
        <f t="shared" si="464"/>
        <v>0</v>
      </c>
      <c r="CE297" s="16">
        <f t="shared" si="464"/>
        <v>0</v>
      </c>
      <c r="CF297" s="16">
        <f t="shared" si="464"/>
        <v>0</v>
      </c>
      <c r="CG297" s="16">
        <f t="shared" si="464"/>
        <v>0</v>
      </c>
      <c r="CH297" s="16">
        <f t="shared" si="464"/>
        <v>0</v>
      </c>
      <c r="CI297" s="16">
        <f t="shared" si="464"/>
        <v>0</v>
      </c>
      <c r="CJ297" s="16">
        <f t="shared" si="464"/>
        <v>0</v>
      </c>
      <c r="CK297" s="16">
        <f t="shared" si="464"/>
        <v>0</v>
      </c>
      <c r="CL297" s="16">
        <f t="shared" si="464"/>
        <v>0</v>
      </c>
      <c r="CM297" s="16">
        <f t="shared" si="464"/>
        <v>0</v>
      </c>
      <c r="CN297" s="16">
        <f t="shared" si="464"/>
        <v>0</v>
      </c>
      <c r="CO297" s="16">
        <f t="shared" si="464"/>
        <v>0</v>
      </c>
      <c r="CP297" s="16">
        <f t="shared" si="464"/>
        <v>0</v>
      </c>
      <c r="CQ297" s="16">
        <f t="shared" si="464"/>
        <v>0</v>
      </c>
      <c r="CR297" s="16">
        <f t="shared" si="464"/>
        <v>0</v>
      </c>
      <c r="CS297" s="16">
        <f t="shared" si="464"/>
        <v>0</v>
      </c>
      <c r="CT297" s="16">
        <f t="shared" si="464"/>
        <v>0</v>
      </c>
      <c r="CU297" s="16">
        <f t="shared" si="464"/>
        <v>0</v>
      </c>
      <c r="CV297" s="16">
        <f t="shared" si="464"/>
        <v>0</v>
      </c>
      <c r="CW297" s="17">
        <f t="shared" si="464"/>
        <v>0</v>
      </c>
      <c r="CX297" s="40"/>
    </row>
    <row r="298" spans="1:102" ht="15.75" hidden="1" x14ac:dyDescent="0.25">
      <c r="A298" s="13" t="s">
        <v>1</v>
      </c>
      <c r="B298" s="14" t="s">
        <v>1</v>
      </c>
      <c r="C298" s="14" t="s">
        <v>43</v>
      </c>
      <c r="D298" s="30" t="s">
        <v>316</v>
      </c>
      <c r="E298" s="15">
        <f>SUM(F298+BY298+CT298)</f>
        <v>8336675</v>
      </c>
      <c r="F298" s="16">
        <f>SUM(G298+BA298)</f>
        <v>8336675</v>
      </c>
      <c r="G298" s="16">
        <f>SUM(H298+I298+J298+Q298+T298+U298+V298+AE298)</f>
        <v>0</v>
      </c>
      <c r="H298" s="16">
        <v>0</v>
      </c>
      <c r="I298" s="16">
        <v>0</v>
      </c>
      <c r="J298" s="16">
        <f t="shared" si="437"/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f t="shared" si="438"/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f>SUM(W298:AD298)</f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f>SUM(AF298:AZ298)</f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16">
        <v>0</v>
      </c>
      <c r="AR298" s="16">
        <v>0</v>
      </c>
      <c r="AS298" s="16">
        <v>0</v>
      </c>
      <c r="AT298" s="16">
        <v>0</v>
      </c>
      <c r="AU298" s="16">
        <v>0</v>
      </c>
      <c r="AV298" s="16">
        <v>0</v>
      </c>
      <c r="AW298" s="16">
        <v>0</v>
      </c>
      <c r="AX298" s="16">
        <v>0</v>
      </c>
      <c r="AY298" s="16">
        <v>0</v>
      </c>
      <c r="AZ298" s="16">
        <v>0</v>
      </c>
      <c r="BA298" s="16">
        <f>SUM(BB298+BF298+BI298+BK298+BM298)</f>
        <v>8336675</v>
      </c>
      <c r="BB298" s="16">
        <f>SUM(BC298:BE298)</f>
        <v>0</v>
      </c>
      <c r="BC298" s="16">
        <v>0</v>
      </c>
      <c r="BD298" s="16">
        <v>0</v>
      </c>
      <c r="BE298" s="16">
        <v>0</v>
      </c>
      <c r="BF298" s="16">
        <f t="shared" si="439"/>
        <v>0</v>
      </c>
      <c r="BG298" s="16">
        <v>0</v>
      </c>
      <c r="BH298" s="16">
        <v>0</v>
      </c>
      <c r="BI298" s="16">
        <f>11645390-3308715</f>
        <v>8336675</v>
      </c>
      <c r="BJ298" s="16">
        <v>0</v>
      </c>
      <c r="BK298" s="16">
        <f t="shared" si="440"/>
        <v>0</v>
      </c>
      <c r="BL298" s="16">
        <v>0</v>
      </c>
      <c r="BM298" s="16">
        <f t="shared" si="441"/>
        <v>0</v>
      </c>
      <c r="BN298" s="16">
        <v>0</v>
      </c>
      <c r="BO298" s="16">
        <v>0</v>
      </c>
      <c r="BP298" s="16">
        <v>0</v>
      </c>
      <c r="BQ298" s="16">
        <v>0</v>
      </c>
      <c r="BR298" s="16">
        <v>0</v>
      </c>
      <c r="BS298" s="16">
        <v>0</v>
      </c>
      <c r="BT298" s="16">
        <v>0</v>
      </c>
      <c r="BU298" s="16">
        <v>0</v>
      </c>
      <c r="BV298" s="16">
        <v>0</v>
      </c>
      <c r="BW298" s="16">
        <v>0</v>
      </c>
      <c r="BX298" s="16">
        <v>0</v>
      </c>
      <c r="BY298" s="16">
        <f>SUM(BZ298+CS298)</f>
        <v>0</v>
      </c>
      <c r="BZ298" s="16">
        <f>SUM(CA298+CD298+CK298)</f>
        <v>0</v>
      </c>
      <c r="CA298" s="16">
        <f t="shared" si="442"/>
        <v>0</v>
      </c>
      <c r="CB298" s="16">
        <v>0</v>
      </c>
      <c r="CC298" s="16">
        <v>0</v>
      </c>
      <c r="CD298" s="16">
        <f t="shared" si="443"/>
        <v>0</v>
      </c>
      <c r="CE298" s="16">
        <v>0</v>
      </c>
      <c r="CF298" s="16">
        <v>0</v>
      </c>
      <c r="CG298" s="16">
        <v>0</v>
      </c>
      <c r="CH298" s="16">
        <v>0</v>
      </c>
      <c r="CI298" s="16">
        <v>0</v>
      </c>
      <c r="CJ298" s="16">
        <v>0</v>
      </c>
      <c r="CK298" s="16">
        <f t="shared" si="444"/>
        <v>0</v>
      </c>
      <c r="CL298" s="16">
        <v>0</v>
      </c>
      <c r="CM298" s="16">
        <v>0</v>
      </c>
      <c r="CN298" s="16">
        <v>0</v>
      </c>
      <c r="CO298" s="16">
        <v>0</v>
      </c>
      <c r="CP298" s="16">
        <v>0</v>
      </c>
      <c r="CQ298" s="16">
        <v>0</v>
      </c>
      <c r="CR298" s="16">
        <v>0</v>
      </c>
      <c r="CS298" s="16">
        <v>0</v>
      </c>
      <c r="CT298" s="16">
        <f t="shared" si="445"/>
        <v>0</v>
      </c>
      <c r="CU298" s="16">
        <f t="shared" si="446"/>
        <v>0</v>
      </c>
      <c r="CV298" s="16">
        <v>0</v>
      </c>
      <c r="CW298" s="17">
        <v>0</v>
      </c>
      <c r="CX298" s="40"/>
    </row>
    <row r="299" spans="1:102" ht="16.5" thickBot="1" x14ac:dyDescent="0.3">
      <c r="A299" s="24" t="s">
        <v>1</v>
      </c>
      <c r="B299" s="25" t="s">
        <v>1</v>
      </c>
      <c r="C299" s="25" t="s">
        <v>1</v>
      </c>
      <c r="D299" s="32" t="s">
        <v>516</v>
      </c>
      <c r="E299" s="26">
        <f t="shared" ref="E299:AJ299" si="465">E10+E46+E57+E62+E67+E83+E99+E102+E106+E111+E120+E141+E156+E163+E176+E201+E207+E211+E281+E284+E204</f>
        <v>4205766283</v>
      </c>
      <c r="F299" s="27">
        <f t="shared" si="465"/>
        <v>3620821409</v>
      </c>
      <c r="G299" s="27">
        <f t="shared" si="465"/>
        <v>2604302951</v>
      </c>
      <c r="H299" s="27">
        <f t="shared" si="465"/>
        <v>1513879376</v>
      </c>
      <c r="I299" s="27">
        <f t="shared" si="465"/>
        <v>234375288</v>
      </c>
      <c r="J299" s="27">
        <f t="shared" si="465"/>
        <v>405284255</v>
      </c>
      <c r="K299" s="27">
        <f t="shared" si="465"/>
        <v>134679202</v>
      </c>
      <c r="L299" s="27">
        <f t="shared" si="465"/>
        <v>66917772</v>
      </c>
      <c r="M299" s="27">
        <f t="shared" si="465"/>
        <v>92953094</v>
      </c>
      <c r="N299" s="27">
        <f t="shared" si="465"/>
        <v>4492473</v>
      </c>
      <c r="O299" s="27">
        <f t="shared" si="465"/>
        <v>76886569</v>
      </c>
      <c r="P299" s="27">
        <f t="shared" si="465"/>
        <v>29355145</v>
      </c>
      <c r="Q299" s="27">
        <f t="shared" si="465"/>
        <v>10401130</v>
      </c>
      <c r="R299" s="27">
        <f t="shared" si="465"/>
        <v>595967</v>
      </c>
      <c r="S299" s="27">
        <f t="shared" si="465"/>
        <v>9805163</v>
      </c>
      <c r="T299" s="27">
        <f t="shared" si="465"/>
        <v>316024</v>
      </c>
      <c r="U299" s="27">
        <f t="shared" si="465"/>
        <v>18683323</v>
      </c>
      <c r="V299" s="27">
        <f t="shared" si="465"/>
        <v>127479534</v>
      </c>
      <c r="W299" s="27">
        <f t="shared" si="465"/>
        <v>12107032</v>
      </c>
      <c r="X299" s="27">
        <f t="shared" si="465"/>
        <v>14750791</v>
      </c>
      <c r="Y299" s="27">
        <f t="shared" si="465"/>
        <v>28026451</v>
      </c>
      <c r="Z299" s="27">
        <f t="shared" si="465"/>
        <v>5690371</v>
      </c>
      <c r="AA299" s="27">
        <f t="shared" si="465"/>
        <v>2695838</v>
      </c>
      <c r="AB299" s="27">
        <f t="shared" si="465"/>
        <v>1938558</v>
      </c>
      <c r="AC299" s="27">
        <f t="shared" si="465"/>
        <v>61396038</v>
      </c>
      <c r="AD299" s="27">
        <f t="shared" si="465"/>
        <v>874455</v>
      </c>
      <c r="AE299" s="27">
        <f t="shared" si="465"/>
        <v>293884021</v>
      </c>
      <c r="AF299" s="27">
        <f t="shared" si="465"/>
        <v>8827691</v>
      </c>
      <c r="AG299" s="27">
        <f t="shared" si="465"/>
        <v>4802492</v>
      </c>
      <c r="AH299" s="27">
        <f t="shared" si="465"/>
        <v>17489354</v>
      </c>
      <c r="AI299" s="27">
        <f t="shared" si="465"/>
        <v>2057644</v>
      </c>
      <c r="AJ299" s="27">
        <f t="shared" si="465"/>
        <v>3733106</v>
      </c>
      <c r="AK299" s="27">
        <f t="shared" ref="AK299:BP299" si="466">AK10+AK46+AK57+AK62+AK67+AK83+AK99+AK102+AK106+AK111+AK120+AK141+AK156+AK163+AK176+AK201+AK207+AK211+AK281+AK284+AK204</f>
        <v>1268500</v>
      </c>
      <c r="AL299" s="27">
        <f t="shared" si="466"/>
        <v>7783015</v>
      </c>
      <c r="AM299" s="27">
        <f t="shared" si="466"/>
        <v>8636021</v>
      </c>
      <c r="AN299" s="27">
        <f t="shared" si="466"/>
        <v>5063237</v>
      </c>
      <c r="AO299" s="27">
        <f t="shared" si="466"/>
        <v>450481</v>
      </c>
      <c r="AP299" s="27">
        <f t="shared" si="466"/>
        <v>974849</v>
      </c>
      <c r="AQ299" s="27">
        <f t="shared" si="466"/>
        <v>10506379</v>
      </c>
      <c r="AR299" s="27">
        <f t="shared" si="466"/>
        <v>3515613</v>
      </c>
      <c r="AS299" s="27">
        <f t="shared" si="466"/>
        <v>947088</v>
      </c>
      <c r="AT299" s="27">
        <f t="shared" si="466"/>
        <v>524239</v>
      </c>
      <c r="AU299" s="27">
        <f t="shared" si="466"/>
        <v>2770271</v>
      </c>
      <c r="AV299" s="27">
        <f t="shared" si="466"/>
        <v>17654826</v>
      </c>
      <c r="AW299" s="27">
        <f t="shared" si="466"/>
        <v>49899670</v>
      </c>
      <c r="AX299" s="27">
        <f t="shared" si="466"/>
        <v>46800</v>
      </c>
      <c r="AY299" s="27">
        <f t="shared" si="466"/>
        <v>350883</v>
      </c>
      <c r="AZ299" s="27">
        <f t="shared" si="466"/>
        <v>146581862</v>
      </c>
      <c r="BA299" s="27">
        <f t="shared" si="466"/>
        <v>1016518458</v>
      </c>
      <c r="BB299" s="27">
        <f t="shared" si="466"/>
        <v>172603239</v>
      </c>
      <c r="BC299" s="27">
        <f t="shared" si="466"/>
        <v>145393426</v>
      </c>
      <c r="BD299" s="27">
        <f t="shared" si="466"/>
        <v>6980711</v>
      </c>
      <c r="BE299" s="27">
        <f t="shared" si="466"/>
        <v>20229102</v>
      </c>
      <c r="BF299" s="27">
        <f t="shared" si="466"/>
        <v>13419070</v>
      </c>
      <c r="BG299" s="27">
        <f t="shared" si="466"/>
        <v>8642083</v>
      </c>
      <c r="BH299" s="27">
        <f t="shared" si="466"/>
        <v>4776987</v>
      </c>
      <c r="BI299" s="27">
        <f t="shared" si="466"/>
        <v>344548528</v>
      </c>
      <c r="BJ299" s="27">
        <f t="shared" si="466"/>
        <v>4214513</v>
      </c>
      <c r="BK299" s="27">
        <f t="shared" si="466"/>
        <v>744656</v>
      </c>
      <c r="BL299" s="27">
        <f t="shared" si="466"/>
        <v>744656</v>
      </c>
      <c r="BM299" s="27">
        <f t="shared" si="466"/>
        <v>485202965</v>
      </c>
      <c r="BN299" s="27">
        <f t="shared" si="466"/>
        <v>59749651</v>
      </c>
      <c r="BO299" s="27">
        <f t="shared" si="466"/>
        <v>4583424</v>
      </c>
      <c r="BP299" s="27">
        <f t="shared" si="466"/>
        <v>16556114</v>
      </c>
      <c r="BQ299" s="27">
        <f t="shared" ref="BQ299:CW299" si="467">BQ10+BQ46+BQ57+BQ62+BQ67+BQ83+BQ99+BQ102+BQ106+BQ111+BQ120+BQ141+BQ156+BQ163+BQ176+BQ201+BQ207+BQ211+BQ281+BQ284+BQ204</f>
        <v>14134363</v>
      </c>
      <c r="BR299" s="27">
        <f t="shared" si="467"/>
        <v>100000</v>
      </c>
      <c r="BS299" s="27">
        <f t="shared" si="467"/>
        <v>407888</v>
      </c>
      <c r="BT299" s="27">
        <f t="shared" si="467"/>
        <v>167368528</v>
      </c>
      <c r="BU299" s="27">
        <f t="shared" si="467"/>
        <v>1401135</v>
      </c>
      <c r="BV299" s="27">
        <f t="shared" si="467"/>
        <v>230042</v>
      </c>
      <c r="BW299" s="27">
        <f t="shared" si="467"/>
        <v>147588547</v>
      </c>
      <c r="BX299" s="27">
        <f t="shared" si="467"/>
        <v>73083273</v>
      </c>
      <c r="BY299" s="27">
        <f t="shared" si="467"/>
        <v>484458357</v>
      </c>
      <c r="BZ299" s="27">
        <f t="shared" si="467"/>
        <v>351184866</v>
      </c>
      <c r="CA299" s="27">
        <f t="shared" si="467"/>
        <v>101348274</v>
      </c>
      <c r="CB299" s="27">
        <f t="shared" si="467"/>
        <v>3287761</v>
      </c>
      <c r="CC299" s="27">
        <f t="shared" si="467"/>
        <v>98060513</v>
      </c>
      <c r="CD299" s="27">
        <f t="shared" si="467"/>
        <v>146355354</v>
      </c>
      <c r="CE299" s="27">
        <f t="shared" si="467"/>
        <v>1267875</v>
      </c>
      <c r="CF299" s="27">
        <f t="shared" si="467"/>
        <v>0</v>
      </c>
      <c r="CG299" s="27">
        <f t="shared" si="467"/>
        <v>122186255</v>
      </c>
      <c r="CH299" s="27">
        <f t="shared" si="467"/>
        <v>15463103</v>
      </c>
      <c r="CI299" s="27">
        <f t="shared" si="467"/>
        <v>7197854</v>
      </c>
      <c r="CJ299" s="27">
        <f t="shared" si="467"/>
        <v>240267</v>
      </c>
      <c r="CK299" s="27">
        <f t="shared" si="467"/>
        <v>103481238</v>
      </c>
      <c r="CL299" s="27">
        <f t="shared" si="467"/>
        <v>2114966</v>
      </c>
      <c r="CM299" s="27">
        <f t="shared" si="467"/>
        <v>0</v>
      </c>
      <c r="CN299" s="27">
        <f t="shared" si="467"/>
        <v>82284262</v>
      </c>
      <c r="CO299" s="27">
        <f t="shared" si="467"/>
        <v>8362578</v>
      </c>
      <c r="CP299" s="27">
        <f t="shared" si="467"/>
        <v>10719432</v>
      </c>
      <c r="CQ299" s="27">
        <f t="shared" si="467"/>
        <v>3875517</v>
      </c>
      <c r="CR299" s="27">
        <f t="shared" si="467"/>
        <v>3875517</v>
      </c>
      <c r="CS299" s="27">
        <f t="shared" si="467"/>
        <v>129397974</v>
      </c>
      <c r="CT299" s="27">
        <f t="shared" si="467"/>
        <v>100486517</v>
      </c>
      <c r="CU299" s="27">
        <f t="shared" si="467"/>
        <v>100486517</v>
      </c>
      <c r="CV299" s="27">
        <f t="shared" si="467"/>
        <v>34500</v>
      </c>
      <c r="CW299" s="28">
        <f t="shared" si="467"/>
        <v>100452017</v>
      </c>
      <c r="CX299" s="40"/>
    </row>
    <row r="300" spans="1:102" x14ac:dyDescent="0.25">
      <c r="A300" s="33" t="s">
        <v>1</v>
      </c>
      <c r="B300" s="33" t="s">
        <v>1</v>
      </c>
      <c r="C300" s="33" t="s">
        <v>1</v>
      </c>
      <c r="D300" s="34" t="s">
        <v>1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0</v>
      </c>
      <c r="AP300" s="35">
        <v>0</v>
      </c>
      <c r="AQ300" s="35">
        <v>0</v>
      </c>
      <c r="AR300" s="35">
        <v>0</v>
      </c>
      <c r="AS300" s="35">
        <v>0</v>
      </c>
      <c r="AT300" s="35">
        <v>0</v>
      </c>
      <c r="AU300" s="35">
        <v>0</v>
      </c>
      <c r="AV300" s="35">
        <v>0</v>
      </c>
      <c r="AW300" s="35">
        <v>0</v>
      </c>
      <c r="AX300" s="35">
        <v>0</v>
      </c>
      <c r="AY300" s="35">
        <v>0</v>
      </c>
      <c r="AZ300" s="35">
        <v>0</v>
      </c>
      <c r="BA300" s="35">
        <v>0</v>
      </c>
      <c r="BB300" s="35">
        <v>0</v>
      </c>
      <c r="BC300" s="35">
        <v>0</v>
      </c>
      <c r="BD300" s="35">
        <v>0</v>
      </c>
      <c r="BE300" s="35">
        <v>0</v>
      </c>
      <c r="BF300" s="35">
        <v>0</v>
      </c>
      <c r="BG300" s="35">
        <v>0</v>
      </c>
      <c r="BH300" s="35">
        <v>0</v>
      </c>
      <c r="BI300" s="35">
        <v>0</v>
      </c>
      <c r="BJ300" s="35">
        <v>0</v>
      </c>
      <c r="BK300" s="35">
        <v>0</v>
      </c>
      <c r="BL300" s="35">
        <v>0</v>
      </c>
      <c r="BM300" s="35">
        <v>0</v>
      </c>
      <c r="BN300" s="35">
        <v>0</v>
      </c>
      <c r="BO300" s="35">
        <v>0</v>
      </c>
      <c r="BP300" s="35">
        <v>0</v>
      </c>
      <c r="BQ300" s="35">
        <v>0</v>
      </c>
      <c r="BR300" s="35">
        <v>0</v>
      </c>
      <c r="BS300" s="35">
        <v>0</v>
      </c>
      <c r="BT300" s="35">
        <v>0</v>
      </c>
      <c r="BU300" s="35">
        <v>0</v>
      </c>
      <c r="BV300" s="35">
        <v>0</v>
      </c>
      <c r="BW300" s="35">
        <v>0</v>
      </c>
      <c r="BX300" s="35">
        <v>0</v>
      </c>
      <c r="BY300" s="35">
        <v>0</v>
      </c>
      <c r="BZ300" s="35">
        <v>0</v>
      </c>
      <c r="CA300" s="35">
        <v>0</v>
      </c>
      <c r="CB300" s="35">
        <v>0</v>
      </c>
      <c r="CC300" s="35">
        <v>0</v>
      </c>
      <c r="CD300" s="35">
        <v>0</v>
      </c>
      <c r="CE300" s="35">
        <v>0</v>
      </c>
      <c r="CF300" s="35">
        <v>0</v>
      </c>
      <c r="CG300" s="35">
        <v>0</v>
      </c>
      <c r="CH300" s="35">
        <v>0</v>
      </c>
      <c r="CI300" s="35">
        <v>0</v>
      </c>
      <c r="CJ300" s="35"/>
      <c r="CK300" s="35">
        <v>0</v>
      </c>
      <c r="CL300" s="35">
        <v>0</v>
      </c>
      <c r="CM300" s="35">
        <v>0</v>
      </c>
      <c r="CN300" s="35">
        <v>0</v>
      </c>
      <c r="CO300" s="35">
        <v>0</v>
      </c>
      <c r="CP300" s="35">
        <v>0</v>
      </c>
      <c r="CQ300" s="35">
        <v>0</v>
      </c>
      <c r="CR300" s="35">
        <v>0</v>
      </c>
      <c r="CS300" s="35">
        <v>0</v>
      </c>
      <c r="CT300" s="35">
        <v>0</v>
      </c>
      <c r="CU300" s="35">
        <v>0</v>
      </c>
      <c r="CV300" s="35">
        <v>0</v>
      </c>
      <c r="CW300" s="35">
        <v>0</v>
      </c>
      <c r="CX300" s="40"/>
    </row>
    <row r="301" spans="1:102" x14ac:dyDescent="0.25">
      <c r="CF301"/>
      <c r="CG301"/>
      <c r="CH301"/>
      <c r="CI301"/>
      <c r="CJ301"/>
      <c r="CK301"/>
      <c r="CL301"/>
      <c r="CM301"/>
      <c r="CN301"/>
      <c r="CO301"/>
      <c r="CP301"/>
      <c r="CQ301"/>
    </row>
  </sheetData>
  <mergeCells count="102">
    <mergeCell ref="CV7:CV8"/>
    <mergeCell ref="CW7:CW8"/>
    <mergeCell ref="CH7:CH8"/>
    <mergeCell ref="CI7:CI8"/>
    <mergeCell ref="CK7:CK8"/>
    <mergeCell ref="CL7:CL8"/>
    <mergeCell ref="CN7:CN8"/>
    <mergeCell ref="AZ7:AZ8"/>
    <mergeCell ref="CP7:CP8"/>
    <mergeCell ref="CS7:CS8"/>
    <mergeCell ref="CO7:CO8"/>
    <mergeCell ref="BU7:BU8"/>
    <mergeCell ref="BT7:BT8"/>
    <mergeCell ref="BW7:BW8"/>
    <mergeCell ref="CF7:CF8"/>
    <mergeCell ref="BV7:BV8"/>
    <mergeCell ref="BY7:BY8"/>
    <mergeCell ref="CG7:CG8"/>
    <mergeCell ref="CR7:CR8"/>
    <mergeCell ref="CU7:CU8"/>
    <mergeCell ref="CM7:CM8"/>
    <mergeCell ref="BZ7:BZ8"/>
    <mergeCell ref="CA7:CA8"/>
    <mergeCell ref="BX7:BX8"/>
    <mergeCell ref="BO7:BO8"/>
    <mergeCell ref="BQ7:BQ8"/>
    <mergeCell ref="BR7:BR8"/>
    <mergeCell ref="BS7:BS8"/>
    <mergeCell ref="BP7:BP8"/>
    <mergeCell ref="CT7:CT8"/>
    <mergeCell ref="CB7:CB8"/>
    <mergeCell ref="CC7:CC8"/>
    <mergeCell ref="CD7:CD8"/>
    <mergeCell ref="CE7:CE8"/>
    <mergeCell ref="CQ7:CQ8"/>
    <mergeCell ref="CJ7:CJ8"/>
    <mergeCell ref="BG7:BG8"/>
    <mergeCell ref="BI7:BI8"/>
    <mergeCell ref="BJ7:BJ8"/>
    <mergeCell ref="BA7:BA8"/>
    <mergeCell ref="BB7:BB8"/>
    <mergeCell ref="BC7:BC8"/>
    <mergeCell ref="BD7:BD8"/>
    <mergeCell ref="BN7:BN8"/>
    <mergeCell ref="AQ7:AQ8"/>
    <mergeCell ref="BE7:BE8"/>
    <mergeCell ref="BL7:BL8"/>
    <mergeCell ref="BM7:BM8"/>
    <mergeCell ref="BK7:BK8"/>
    <mergeCell ref="BH7:BH8"/>
    <mergeCell ref="AX7:AX8"/>
    <mergeCell ref="BF7:BF8"/>
    <mergeCell ref="AU7:AU8"/>
    <mergeCell ref="AT7:AT8"/>
    <mergeCell ref="A7:B7"/>
    <mergeCell ref="A8:A9"/>
    <mergeCell ref="B8:B9"/>
    <mergeCell ref="C7:C9"/>
    <mergeCell ref="M7:M8"/>
    <mergeCell ref="N7:N8"/>
    <mergeCell ref="AC7:AC8"/>
    <mergeCell ref="AG7:AG8"/>
    <mergeCell ref="AH7:AH8"/>
    <mergeCell ref="S7:S8"/>
    <mergeCell ref="AE7:AE8"/>
    <mergeCell ref="AF7:AF8"/>
    <mergeCell ref="AA7:AA8"/>
    <mergeCell ref="W7:W8"/>
    <mergeCell ref="X7:X8"/>
    <mergeCell ref="D7:D9"/>
    <mergeCell ref="I7:I8"/>
    <mergeCell ref="J7:J8"/>
    <mergeCell ref="E7:E9"/>
    <mergeCell ref="F7:F8"/>
    <mergeCell ref="G7:G8"/>
    <mergeCell ref="H7:H8"/>
    <mergeCell ref="Q7:Q8"/>
    <mergeCell ref="K7:K8"/>
    <mergeCell ref="L7:L8"/>
    <mergeCell ref="AI7:AI8"/>
    <mergeCell ref="AB7:AB8"/>
    <mergeCell ref="O7:O8"/>
    <mergeCell ref="R7:R8"/>
    <mergeCell ref="AY7:AY8"/>
    <mergeCell ref="AV7:AV8"/>
    <mergeCell ref="AW7:AW8"/>
    <mergeCell ref="AR7:AR8"/>
    <mergeCell ref="AS7:AS8"/>
    <mergeCell ref="AM7:AM8"/>
    <mergeCell ref="AN7:AN8"/>
    <mergeCell ref="AJ7:AJ8"/>
    <mergeCell ref="AP7:AP8"/>
    <mergeCell ref="Y7:Y8"/>
    <mergeCell ref="Z7:Z8"/>
    <mergeCell ref="T7:T8"/>
    <mergeCell ref="U7:U8"/>
    <mergeCell ref="V7:V8"/>
    <mergeCell ref="AK7:AK8"/>
    <mergeCell ref="AL7:AL8"/>
    <mergeCell ref="AO7:AO8"/>
    <mergeCell ref="P7:P8"/>
    <mergeCell ref="AD7:AD8"/>
  </mergeCells>
  <phoneticPr fontId="6" type="noConversion"/>
  <pageMargins left="0.15748031496062992" right="0.15748031496062992" top="0.78740157480314965" bottom="0.19685039370078741" header="0" footer="0"/>
  <pageSetup paperSize="9" firstPageNumber="82" orientation="landscape" useFirstPageNumber="1" verticalDpi="0" r:id="rId1"/>
  <headerFooter>
    <oddHeader>&amp;C&amp;"Times New Roman,обычный"&amp;10&amp;P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01"/>
  <sheetViews>
    <sheetView tabSelected="1" workbookViewId="0">
      <selection activeCell="BE302" sqref="BE302"/>
    </sheetView>
  </sheetViews>
  <sheetFormatPr defaultRowHeight="15" x14ac:dyDescent="0.25"/>
  <cols>
    <col min="1" max="3" width="6.7109375" style="1" customWidth="1"/>
    <col min="4" max="4" width="50.7109375" style="2" customWidth="1"/>
    <col min="5" max="5" width="11.5703125" style="3" customWidth="1"/>
    <col min="6" max="7" width="11.42578125" style="4" customWidth="1"/>
    <col min="8" max="8" width="10.7109375" style="4" customWidth="1"/>
    <col min="9" max="9" width="13.28515625" style="4" customWidth="1"/>
    <col min="10" max="10" width="13.42578125" style="4" customWidth="1"/>
    <col min="11" max="11" width="12.140625" style="4" customWidth="1"/>
    <col min="12" max="15" width="10.7109375" style="4" customWidth="1"/>
    <col min="16" max="16" width="11.140625" style="4" customWidth="1"/>
    <col min="17" max="17" width="12.42578125" style="4" customWidth="1"/>
    <col min="18" max="37" width="10.7109375" style="4" customWidth="1"/>
    <col min="38" max="38" width="11.140625" style="4" customWidth="1"/>
    <col min="39" max="50" width="10.7109375" style="4" customWidth="1"/>
    <col min="51" max="51" width="12.85546875" style="4" customWidth="1"/>
    <col min="52" max="53" width="10.7109375" style="4" customWidth="1"/>
    <col min="54" max="54" width="13.5703125" style="4" customWidth="1"/>
    <col min="55" max="56" width="10.7109375" style="4" customWidth="1"/>
    <col min="57" max="57" width="13.7109375" style="4" customWidth="1"/>
    <col min="58" max="58" width="13.5703125" style="4" customWidth="1"/>
    <col min="59" max="59" width="11.140625" style="4" customWidth="1"/>
    <col min="60" max="60" width="10.7109375" style="4" customWidth="1"/>
    <col min="61" max="61" width="11.85546875" style="4" customWidth="1"/>
    <col min="62" max="62" width="12.85546875" style="4" customWidth="1"/>
    <col min="63" max="69" width="10.7109375" style="4" customWidth="1"/>
    <col min="70" max="70" width="12.28515625" style="4" customWidth="1"/>
    <col min="71" max="71" width="11.85546875" style="4" customWidth="1"/>
    <col min="72" max="73" width="10.7109375" style="4" customWidth="1"/>
    <col min="74" max="74" width="15" style="4" customWidth="1"/>
    <col min="75" max="75" width="13.42578125" style="4" customWidth="1"/>
    <col min="76" max="78" width="10.7109375" style="4" customWidth="1"/>
    <col min="79" max="79" width="13.42578125" style="4" customWidth="1"/>
    <col min="80" max="81" width="12.7109375" style="4" customWidth="1"/>
    <col min="82" max="84" width="10.7109375" style="4" customWidth="1"/>
    <col min="85" max="85" width="11.85546875" style="4" customWidth="1"/>
    <col min="86" max="90" width="10.7109375" style="4" customWidth="1"/>
    <col min="91" max="91" width="13.28515625" style="4" customWidth="1"/>
    <col min="92" max="92" width="12.140625" style="4" customWidth="1"/>
    <col min="93" max="93" width="11.42578125" style="4" customWidth="1"/>
    <col min="94" max="95" width="10.7109375" style="4" customWidth="1"/>
    <col min="96" max="96" width="9.7109375" customWidth="1"/>
    <col min="97" max="97" width="10.85546875" customWidth="1"/>
    <col min="99" max="99" width="9.5703125" customWidth="1"/>
    <col min="101" max="101" width="13.5703125" bestFit="1" customWidth="1"/>
    <col min="102" max="102" width="12.7109375" bestFit="1" customWidth="1"/>
  </cols>
  <sheetData>
    <row r="1" spans="1:102" ht="15.75" x14ac:dyDescent="0.25">
      <c r="A1" s="51">
        <v>1800</v>
      </c>
      <c r="B1"/>
      <c r="C1"/>
      <c r="D1"/>
      <c r="E1"/>
      <c r="F1"/>
      <c r="G1"/>
      <c r="I1"/>
      <c r="J1" s="5" t="s">
        <v>485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</row>
    <row r="2" spans="1:102" ht="15.75" x14ac:dyDescent="0.25">
      <c r="A2"/>
      <c r="B2"/>
      <c r="C2"/>
      <c r="D2"/>
      <c r="E2"/>
      <c r="F2"/>
      <c r="G2"/>
      <c r="I2"/>
      <c r="J2" s="5" t="s">
        <v>486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</row>
    <row r="3" spans="1:102" ht="15.75" x14ac:dyDescent="0.25">
      <c r="A3"/>
      <c r="B3"/>
      <c r="C3"/>
      <c r="D3"/>
      <c r="E3"/>
      <c r="F3"/>
      <c r="G3"/>
      <c r="I3"/>
      <c r="J3" s="5" t="s">
        <v>489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</row>
    <row r="5" spans="1:102" ht="16.5" customHeight="1" x14ac:dyDescent="0.25">
      <c r="B5" s="38"/>
      <c r="C5" s="38"/>
      <c r="D5" s="38"/>
      <c r="E5" s="39" t="s">
        <v>487</v>
      </c>
      <c r="F5" s="38"/>
      <c r="G5" s="38"/>
      <c r="H5" s="38"/>
      <c r="I5" s="38"/>
      <c r="J5" s="38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</row>
    <row r="6" spans="1:102" ht="16.5" thickBot="1" x14ac:dyDescent="0.3">
      <c r="J6" s="37" t="s">
        <v>544</v>
      </c>
      <c r="CR6" s="4"/>
      <c r="CS6" s="4"/>
      <c r="CT6" s="4"/>
      <c r="CU6" s="4"/>
      <c r="CV6" s="4"/>
      <c r="CW6" s="4"/>
    </row>
    <row r="7" spans="1:102" ht="20.100000000000001" customHeight="1" x14ac:dyDescent="0.25">
      <c r="A7" s="62" t="s">
        <v>317</v>
      </c>
      <c r="B7" s="63"/>
      <c r="C7" s="63" t="s">
        <v>319</v>
      </c>
      <c r="D7" s="68" t="s">
        <v>320</v>
      </c>
      <c r="E7" s="71" t="s">
        <v>321</v>
      </c>
      <c r="F7" s="60" t="s">
        <v>322</v>
      </c>
      <c r="G7" s="60" t="s">
        <v>324</v>
      </c>
      <c r="H7" s="60" t="s">
        <v>326</v>
      </c>
      <c r="I7" s="60" t="s">
        <v>328</v>
      </c>
      <c r="J7" s="60" t="s">
        <v>330</v>
      </c>
      <c r="K7" s="60" t="s">
        <v>332</v>
      </c>
      <c r="L7" s="60" t="s">
        <v>334</v>
      </c>
      <c r="M7" s="60" t="s">
        <v>336</v>
      </c>
      <c r="N7" s="60" t="s">
        <v>338</v>
      </c>
      <c r="O7" s="60" t="s">
        <v>340</v>
      </c>
      <c r="P7" s="60" t="s">
        <v>342</v>
      </c>
      <c r="Q7" s="60" t="s">
        <v>492</v>
      </c>
      <c r="R7" s="60" t="s">
        <v>345</v>
      </c>
      <c r="S7" s="60" t="s">
        <v>347</v>
      </c>
      <c r="T7" s="60" t="s">
        <v>349</v>
      </c>
      <c r="U7" s="60" t="s">
        <v>351</v>
      </c>
      <c r="V7" s="60" t="s">
        <v>353</v>
      </c>
      <c r="W7" s="60" t="s">
        <v>355</v>
      </c>
      <c r="X7" s="60" t="s">
        <v>357</v>
      </c>
      <c r="Y7" s="60" t="s">
        <v>359</v>
      </c>
      <c r="Z7" s="60" t="s">
        <v>361</v>
      </c>
      <c r="AA7" s="60" t="s">
        <v>363</v>
      </c>
      <c r="AB7" s="60" t="s">
        <v>365</v>
      </c>
      <c r="AC7" s="60" t="s">
        <v>367</v>
      </c>
      <c r="AD7" s="60" t="s">
        <v>369</v>
      </c>
      <c r="AE7" s="60" t="s">
        <v>371</v>
      </c>
      <c r="AF7" s="60" t="s">
        <v>373</v>
      </c>
      <c r="AG7" s="60" t="s">
        <v>375</v>
      </c>
      <c r="AH7" s="60" t="s">
        <v>377</v>
      </c>
      <c r="AI7" s="60" t="s">
        <v>379</v>
      </c>
      <c r="AJ7" s="60" t="s">
        <v>381</v>
      </c>
      <c r="AK7" s="60" t="s">
        <v>383</v>
      </c>
      <c r="AL7" s="60" t="s">
        <v>385</v>
      </c>
      <c r="AM7" s="60" t="s">
        <v>387</v>
      </c>
      <c r="AN7" s="60" t="s">
        <v>389</v>
      </c>
      <c r="AO7" s="60" t="s">
        <v>391</v>
      </c>
      <c r="AP7" s="60" t="s">
        <v>535</v>
      </c>
      <c r="AQ7" s="60" t="s">
        <v>393</v>
      </c>
      <c r="AR7" s="60" t="s">
        <v>395</v>
      </c>
      <c r="AS7" s="60" t="s">
        <v>397</v>
      </c>
      <c r="AT7" s="60" t="s">
        <v>399</v>
      </c>
      <c r="AU7" s="60" t="s">
        <v>401</v>
      </c>
      <c r="AV7" s="60" t="s">
        <v>490</v>
      </c>
      <c r="AW7" s="60" t="s">
        <v>404</v>
      </c>
      <c r="AX7" s="60" t="s">
        <v>491</v>
      </c>
      <c r="AY7" s="60" t="s">
        <v>536</v>
      </c>
      <c r="AZ7" s="60" t="s">
        <v>407</v>
      </c>
      <c r="BA7" s="60" t="s">
        <v>409</v>
      </c>
      <c r="BB7" s="60" t="s">
        <v>411</v>
      </c>
      <c r="BC7" s="60" t="s">
        <v>413</v>
      </c>
      <c r="BD7" s="60" t="s">
        <v>415</v>
      </c>
      <c r="BE7" s="60" t="s">
        <v>417</v>
      </c>
      <c r="BF7" s="60" t="s">
        <v>419</v>
      </c>
      <c r="BG7" s="60" t="s">
        <v>421</v>
      </c>
      <c r="BH7" s="60" t="s">
        <v>517</v>
      </c>
      <c r="BI7" s="60" t="s">
        <v>546</v>
      </c>
      <c r="BJ7" s="60" t="s">
        <v>518</v>
      </c>
      <c r="BK7" s="60" t="s">
        <v>426</v>
      </c>
      <c r="BL7" s="60" t="s">
        <v>428</v>
      </c>
      <c r="BM7" s="60" t="s">
        <v>430</v>
      </c>
      <c r="BN7" s="60" t="s">
        <v>432</v>
      </c>
      <c r="BO7" s="60" t="s">
        <v>434</v>
      </c>
      <c r="BP7" s="60" t="s">
        <v>436</v>
      </c>
      <c r="BQ7" s="60" t="s">
        <v>220</v>
      </c>
      <c r="BR7" s="60" t="s">
        <v>439</v>
      </c>
      <c r="BS7" s="60" t="s">
        <v>441</v>
      </c>
      <c r="BT7" s="60" t="s">
        <v>217</v>
      </c>
      <c r="BU7" s="60" t="s">
        <v>444</v>
      </c>
      <c r="BV7" s="60" t="s">
        <v>446</v>
      </c>
      <c r="BW7" s="60" t="s">
        <v>448</v>
      </c>
      <c r="BX7" s="60" t="s">
        <v>450</v>
      </c>
      <c r="BY7" s="60" t="s">
        <v>547</v>
      </c>
      <c r="BZ7" s="60" t="s">
        <v>453</v>
      </c>
      <c r="CA7" s="60" t="s">
        <v>455</v>
      </c>
      <c r="CB7" s="60" t="s">
        <v>457</v>
      </c>
      <c r="CC7" s="60" t="s">
        <v>459</v>
      </c>
      <c r="CD7" s="60" t="s">
        <v>461</v>
      </c>
      <c r="CE7" s="60" t="s">
        <v>463</v>
      </c>
      <c r="CF7" s="60" t="s">
        <v>533</v>
      </c>
      <c r="CG7" s="60" t="s">
        <v>548</v>
      </c>
      <c r="CH7" s="60" t="s">
        <v>466</v>
      </c>
      <c r="CI7" s="60" t="s">
        <v>468</v>
      </c>
      <c r="CJ7" s="60" t="s">
        <v>556</v>
      </c>
      <c r="CK7" s="60" t="s">
        <v>470</v>
      </c>
      <c r="CL7" s="60" t="s">
        <v>559</v>
      </c>
      <c r="CM7" s="60" t="s">
        <v>560</v>
      </c>
      <c r="CN7" s="60" t="s">
        <v>561</v>
      </c>
      <c r="CO7" s="60" t="s">
        <v>562</v>
      </c>
      <c r="CP7" s="60" t="s">
        <v>563</v>
      </c>
      <c r="CQ7" s="60" t="s">
        <v>549</v>
      </c>
      <c r="CR7" s="60" t="s">
        <v>537</v>
      </c>
      <c r="CS7" s="60" t="s">
        <v>476</v>
      </c>
      <c r="CT7" s="60" t="s">
        <v>519</v>
      </c>
      <c r="CU7" s="60" t="s">
        <v>479</v>
      </c>
      <c r="CV7" s="60" t="s">
        <v>481</v>
      </c>
      <c r="CW7" s="74" t="s">
        <v>483</v>
      </c>
    </row>
    <row r="8" spans="1:102" ht="85.5" customHeight="1" x14ac:dyDescent="0.25">
      <c r="A8" s="64" t="s">
        <v>318</v>
      </c>
      <c r="B8" s="66" t="s">
        <v>493</v>
      </c>
      <c r="C8" s="66"/>
      <c r="D8" s="69"/>
      <c r="E8" s="72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75"/>
    </row>
    <row r="9" spans="1:102" ht="15.75" thickBot="1" x14ac:dyDescent="0.3">
      <c r="A9" s="65"/>
      <c r="B9" s="67"/>
      <c r="C9" s="67"/>
      <c r="D9" s="70"/>
      <c r="E9" s="73"/>
      <c r="F9" s="6" t="s">
        <v>323</v>
      </c>
      <c r="G9" s="6" t="s">
        <v>325</v>
      </c>
      <c r="H9" s="6" t="s">
        <v>327</v>
      </c>
      <c r="I9" s="6" t="s">
        <v>329</v>
      </c>
      <c r="J9" s="6" t="s">
        <v>331</v>
      </c>
      <c r="K9" s="6" t="s">
        <v>333</v>
      </c>
      <c r="L9" s="6" t="s">
        <v>335</v>
      </c>
      <c r="M9" s="6" t="s">
        <v>337</v>
      </c>
      <c r="N9" s="6" t="s">
        <v>339</v>
      </c>
      <c r="O9" s="6" t="s">
        <v>341</v>
      </c>
      <c r="P9" s="6" t="s">
        <v>343</v>
      </c>
      <c r="Q9" s="6" t="s">
        <v>344</v>
      </c>
      <c r="R9" s="6" t="s">
        <v>346</v>
      </c>
      <c r="S9" s="6" t="s">
        <v>348</v>
      </c>
      <c r="T9" s="6" t="s">
        <v>350</v>
      </c>
      <c r="U9" s="6" t="s">
        <v>352</v>
      </c>
      <c r="V9" s="6" t="s">
        <v>354</v>
      </c>
      <c r="W9" s="6" t="s">
        <v>356</v>
      </c>
      <c r="X9" s="6" t="s">
        <v>358</v>
      </c>
      <c r="Y9" s="6" t="s">
        <v>360</v>
      </c>
      <c r="Z9" s="6" t="s">
        <v>362</v>
      </c>
      <c r="AA9" s="6" t="s">
        <v>364</v>
      </c>
      <c r="AB9" s="6" t="s">
        <v>366</v>
      </c>
      <c r="AC9" s="6" t="s">
        <v>368</v>
      </c>
      <c r="AD9" s="6" t="s">
        <v>370</v>
      </c>
      <c r="AE9" s="6" t="s">
        <v>372</v>
      </c>
      <c r="AF9" s="6" t="s">
        <v>374</v>
      </c>
      <c r="AG9" s="6" t="s">
        <v>376</v>
      </c>
      <c r="AH9" s="6" t="s">
        <v>378</v>
      </c>
      <c r="AI9" s="6" t="s">
        <v>380</v>
      </c>
      <c r="AJ9" s="6" t="s">
        <v>382</v>
      </c>
      <c r="AK9" s="6" t="s">
        <v>384</v>
      </c>
      <c r="AL9" s="6" t="s">
        <v>386</v>
      </c>
      <c r="AM9" s="6" t="s">
        <v>388</v>
      </c>
      <c r="AN9" s="6" t="s">
        <v>390</v>
      </c>
      <c r="AO9" s="6" t="s">
        <v>392</v>
      </c>
      <c r="AP9" s="6" t="s">
        <v>539</v>
      </c>
      <c r="AQ9" s="6" t="s">
        <v>394</v>
      </c>
      <c r="AR9" s="6" t="s">
        <v>396</v>
      </c>
      <c r="AS9" s="6" t="s">
        <v>398</v>
      </c>
      <c r="AT9" s="6" t="s">
        <v>400</v>
      </c>
      <c r="AU9" s="6" t="s">
        <v>402</v>
      </c>
      <c r="AV9" s="6" t="s">
        <v>403</v>
      </c>
      <c r="AW9" s="6" t="s">
        <v>405</v>
      </c>
      <c r="AX9" s="6" t="s">
        <v>406</v>
      </c>
      <c r="AY9" s="6" t="s">
        <v>540</v>
      </c>
      <c r="AZ9" s="6" t="s">
        <v>408</v>
      </c>
      <c r="BA9" s="6" t="s">
        <v>410</v>
      </c>
      <c r="BB9" s="6" t="s">
        <v>412</v>
      </c>
      <c r="BC9" s="6" t="s">
        <v>414</v>
      </c>
      <c r="BD9" s="6" t="s">
        <v>416</v>
      </c>
      <c r="BE9" s="6" t="s">
        <v>418</v>
      </c>
      <c r="BF9" s="6" t="s">
        <v>420</v>
      </c>
      <c r="BG9" s="6" t="s">
        <v>422</v>
      </c>
      <c r="BH9" s="6" t="s">
        <v>423</v>
      </c>
      <c r="BI9" s="6" t="s">
        <v>424</v>
      </c>
      <c r="BJ9" s="6" t="s">
        <v>425</v>
      </c>
      <c r="BK9" s="6" t="s">
        <v>427</v>
      </c>
      <c r="BL9" s="6" t="s">
        <v>429</v>
      </c>
      <c r="BM9" s="6" t="s">
        <v>431</v>
      </c>
      <c r="BN9" s="6" t="s">
        <v>433</v>
      </c>
      <c r="BO9" s="6" t="s">
        <v>435</v>
      </c>
      <c r="BP9" s="6" t="s">
        <v>437</v>
      </c>
      <c r="BQ9" s="6" t="s">
        <v>438</v>
      </c>
      <c r="BR9" s="6" t="s">
        <v>440</v>
      </c>
      <c r="BS9" s="6" t="s">
        <v>442</v>
      </c>
      <c r="BT9" s="6" t="s">
        <v>443</v>
      </c>
      <c r="BU9" s="6" t="s">
        <v>445</v>
      </c>
      <c r="BV9" s="6" t="s">
        <v>447</v>
      </c>
      <c r="BW9" s="6" t="s">
        <v>449</v>
      </c>
      <c r="BX9" s="6" t="s">
        <v>451</v>
      </c>
      <c r="BY9" s="6" t="s">
        <v>452</v>
      </c>
      <c r="BZ9" s="6" t="s">
        <v>454</v>
      </c>
      <c r="CA9" s="6" t="s">
        <v>456</v>
      </c>
      <c r="CB9" s="6" t="s">
        <v>458</v>
      </c>
      <c r="CC9" s="6" t="s">
        <v>460</v>
      </c>
      <c r="CD9" s="6" t="s">
        <v>462</v>
      </c>
      <c r="CE9" s="6" t="s">
        <v>464</v>
      </c>
      <c r="CF9" s="6" t="s">
        <v>532</v>
      </c>
      <c r="CG9" s="6" t="s">
        <v>465</v>
      </c>
      <c r="CH9" s="6" t="s">
        <v>467</v>
      </c>
      <c r="CI9" s="6" t="s">
        <v>469</v>
      </c>
      <c r="CJ9" s="6" t="s">
        <v>550</v>
      </c>
      <c r="CK9" s="6" t="s">
        <v>471</v>
      </c>
      <c r="CL9" s="6" t="s">
        <v>472</v>
      </c>
      <c r="CM9" s="6" t="s">
        <v>534</v>
      </c>
      <c r="CN9" s="6" t="s">
        <v>473</v>
      </c>
      <c r="CO9" s="6" t="s">
        <v>474</v>
      </c>
      <c r="CP9" s="6" t="s">
        <v>475</v>
      </c>
      <c r="CQ9" s="6" t="s">
        <v>541</v>
      </c>
      <c r="CR9" s="6" t="s">
        <v>542</v>
      </c>
      <c r="CS9" s="6" t="s">
        <v>477</v>
      </c>
      <c r="CT9" s="6" t="s">
        <v>478</v>
      </c>
      <c r="CU9" s="6" t="s">
        <v>480</v>
      </c>
      <c r="CV9" s="6" t="s">
        <v>482</v>
      </c>
      <c r="CW9" s="7" t="s">
        <v>484</v>
      </c>
    </row>
    <row r="10" spans="1:102" ht="31.5" hidden="1" x14ac:dyDescent="0.25">
      <c r="A10" s="8" t="s">
        <v>0</v>
      </c>
      <c r="B10" s="9" t="s">
        <v>1</v>
      </c>
      <c r="C10" s="9" t="s">
        <v>1</v>
      </c>
      <c r="D10" s="29" t="s">
        <v>2</v>
      </c>
      <c r="E10" s="10">
        <f t="shared" ref="E10:BP10" si="0">SUM(E11+E13+E17+E34+E36+E42+E44)</f>
        <v>207420012</v>
      </c>
      <c r="F10" s="11">
        <f t="shared" si="0"/>
        <v>196104707</v>
      </c>
      <c r="G10" s="11">
        <f t="shared" si="0"/>
        <v>190998701</v>
      </c>
      <c r="H10" s="11">
        <f t="shared" si="0"/>
        <v>128131752</v>
      </c>
      <c r="I10" s="11">
        <f t="shared" si="0"/>
        <v>26944737</v>
      </c>
      <c r="J10" s="11">
        <f t="shared" si="0"/>
        <v>12056737</v>
      </c>
      <c r="K10" s="11">
        <f t="shared" si="0"/>
        <v>0</v>
      </c>
      <c r="L10" s="11">
        <f t="shared" si="0"/>
        <v>1550107</v>
      </c>
      <c r="M10" s="11">
        <f t="shared" si="0"/>
        <v>0</v>
      </c>
      <c r="N10" s="11">
        <f t="shared" si="0"/>
        <v>0</v>
      </c>
      <c r="O10" s="11">
        <f t="shared" si="0"/>
        <v>7459255</v>
      </c>
      <c r="P10" s="11">
        <f t="shared" si="0"/>
        <v>3047375</v>
      </c>
      <c r="Q10" s="11">
        <f t="shared" si="0"/>
        <v>3331327</v>
      </c>
      <c r="R10" s="11">
        <f t="shared" si="0"/>
        <v>19859</v>
      </c>
      <c r="S10" s="11">
        <f t="shared" si="0"/>
        <v>3311468</v>
      </c>
      <c r="T10" s="11">
        <f t="shared" si="0"/>
        <v>0</v>
      </c>
      <c r="U10" s="11">
        <f t="shared" si="0"/>
        <v>5593497</v>
      </c>
      <c r="V10" s="11">
        <f t="shared" si="0"/>
        <v>2669990</v>
      </c>
      <c r="W10" s="11">
        <f t="shared" si="0"/>
        <v>687931</v>
      </c>
      <c r="X10" s="11">
        <f t="shared" si="0"/>
        <v>470444</v>
      </c>
      <c r="Y10" s="11">
        <f t="shared" si="0"/>
        <v>653527</v>
      </c>
      <c r="Z10" s="11">
        <f t="shared" si="0"/>
        <v>92021</v>
      </c>
      <c r="AA10" s="11">
        <f t="shared" si="0"/>
        <v>124578</v>
      </c>
      <c r="AB10" s="11">
        <f t="shared" si="0"/>
        <v>585464</v>
      </c>
      <c r="AC10" s="11">
        <f t="shared" si="0"/>
        <v>0</v>
      </c>
      <c r="AD10" s="11">
        <f t="shared" si="0"/>
        <v>56025</v>
      </c>
      <c r="AE10" s="11">
        <f t="shared" si="0"/>
        <v>12270661</v>
      </c>
      <c r="AF10" s="11">
        <f t="shared" si="0"/>
        <v>0</v>
      </c>
      <c r="AG10" s="11">
        <f t="shared" si="0"/>
        <v>462605</v>
      </c>
      <c r="AH10" s="11">
        <f t="shared" si="0"/>
        <v>570150</v>
      </c>
      <c r="AI10" s="11">
        <f t="shared" si="0"/>
        <v>0</v>
      </c>
      <c r="AJ10" s="11">
        <f t="shared" si="0"/>
        <v>151849</v>
      </c>
      <c r="AK10" s="11">
        <f t="shared" si="0"/>
        <v>1000740</v>
      </c>
      <c r="AL10" s="11">
        <f t="shared" si="0"/>
        <v>1185706</v>
      </c>
      <c r="AM10" s="11">
        <f t="shared" si="0"/>
        <v>702099</v>
      </c>
      <c r="AN10" s="11">
        <f t="shared" si="0"/>
        <v>4173146</v>
      </c>
      <c r="AO10" s="11">
        <f t="shared" si="0"/>
        <v>120688</v>
      </c>
      <c r="AP10" s="11">
        <f t="shared" si="0"/>
        <v>0</v>
      </c>
      <c r="AQ10" s="11">
        <f t="shared" si="0"/>
        <v>0</v>
      </c>
      <c r="AR10" s="11">
        <f t="shared" si="0"/>
        <v>569729</v>
      </c>
      <c r="AS10" s="11">
        <f t="shared" si="0"/>
        <v>122513</v>
      </c>
      <c r="AT10" s="11">
        <f t="shared" si="0"/>
        <v>0</v>
      </c>
      <c r="AU10" s="11">
        <f t="shared" si="0"/>
        <v>0</v>
      </c>
      <c r="AV10" s="11">
        <f t="shared" si="0"/>
        <v>0</v>
      </c>
      <c r="AW10" s="11">
        <f t="shared" si="0"/>
        <v>1351409</v>
      </c>
      <c r="AX10" s="11">
        <f t="shared" si="0"/>
        <v>0</v>
      </c>
      <c r="AY10" s="11">
        <f t="shared" si="0"/>
        <v>43660</v>
      </c>
      <c r="AZ10" s="11">
        <f t="shared" si="0"/>
        <v>1816367</v>
      </c>
      <c r="BA10" s="11">
        <f t="shared" si="0"/>
        <v>5106006</v>
      </c>
      <c r="BB10" s="11">
        <f t="shared" si="0"/>
        <v>0</v>
      </c>
      <c r="BC10" s="11">
        <f t="shared" si="0"/>
        <v>0</v>
      </c>
      <c r="BD10" s="11">
        <f t="shared" si="0"/>
        <v>0</v>
      </c>
      <c r="BE10" s="11">
        <f t="shared" si="0"/>
        <v>0</v>
      </c>
      <c r="BF10" s="11">
        <f t="shared" si="0"/>
        <v>0</v>
      </c>
      <c r="BG10" s="11">
        <f t="shared" si="0"/>
        <v>0</v>
      </c>
      <c r="BH10" s="11">
        <f t="shared" si="0"/>
        <v>0</v>
      </c>
      <c r="BI10" s="11">
        <f t="shared" si="0"/>
        <v>0</v>
      </c>
      <c r="BJ10" s="11">
        <f t="shared" si="0"/>
        <v>0</v>
      </c>
      <c r="BK10" s="11">
        <f t="shared" si="0"/>
        <v>0</v>
      </c>
      <c r="BL10" s="11">
        <f t="shared" si="0"/>
        <v>0</v>
      </c>
      <c r="BM10" s="11">
        <f t="shared" si="0"/>
        <v>5106006</v>
      </c>
      <c r="BN10" s="11">
        <f t="shared" si="0"/>
        <v>0</v>
      </c>
      <c r="BO10" s="11">
        <f t="shared" si="0"/>
        <v>0</v>
      </c>
      <c r="BP10" s="11">
        <f t="shared" si="0"/>
        <v>0</v>
      </c>
      <c r="BQ10" s="11">
        <f t="shared" ref="BQ10:CW10" si="1">SUM(BQ11+BQ13+BQ17+BQ34+BQ36+BQ42+BQ44)</f>
        <v>0</v>
      </c>
      <c r="BR10" s="11">
        <f t="shared" si="1"/>
        <v>0</v>
      </c>
      <c r="BS10" s="11">
        <f t="shared" si="1"/>
        <v>0</v>
      </c>
      <c r="BT10" s="11">
        <f t="shared" si="1"/>
        <v>0</v>
      </c>
      <c r="BU10" s="11">
        <f t="shared" si="1"/>
        <v>0</v>
      </c>
      <c r="BV10" s="11">
        <f t="shared" si="1"/>
        <v>0</v>
      </c>
      <c r="BW10" s="11">
        <f t="shared" si="1"/>
        <v>5106006</v>
      </c>
      <c r="BX10" s="11">
        <f t="shared" si="1"/>
        <v>0</v>
      </c>
      <c r="BY10" s="11">
        <f t="shared" si="1"/>
        <v>11315305</v>
      </c>
      <c r="BZ10" s="11">
        <f t="shared" si="1"/>
        <v>11315305</v>
      </c>
      <c r="CA10" s="11">
        <f t="shared" si="1"/>
        <v>4588410</v>
      </c>
      <c r="CB10" s="11">
        <f t="shared" si="1"/>
        <v>0</v>
      </c>
      <c r="CC10" s="11">
        <f t="shared" si="1"/>
        <v>4588410</v>
      </c>
      <c r="CD10" s="11">
        <f t="shared" si="1"/>
        <v>5227875</v>
      </c>
      <c r="CE10" s="11">
        <f t="shared" si="1"/>
        <v>1267875</v>
      </c>
      <c r="CF10" s="11">
        <f t="shared" si="1"/>
        <v>0</v>
      </c>
      <c r="CG10" s="11">
        <f t="shared" si="1"/>
        <v>0</v>
      </c>
      <c r="CH10" s="11">
        <f t="shared" si="1"/>
        <v>3960000</v>
      </c>
      <c r="CI10" s="11">
        <f t="shared" si="1"/>
        <v>0</v>
      </c>
      <c r="CJ10" s="11">
        <f t="shared" si="1"/>
        <v>0</v>
      </c>
      <c r="CK10" s="11">
        <f t="shared" si="1"/>
        <v>1499020</v>
      </c>
      <c r="CL10" s="11">
        <f t="shared" si="1"/>
        <v>0</v>
      </c>
      <c r="CM10" s="11">
        <f t="shared" si="1"/>
        <v>0</v>
      </c>
      <c r="CN10" s="11">
        <f t="shared" si="1"/>
        <v>0</v>
      </c>
      <c r="CO10" s="11">
        <f t="shared" si="1"/>
        <v>1499020</v>
      </c>
      <c r="CP10" s="11">
        <f t="shared" si="1"/>
        <v>0</v>
      </c>
      <c r="CQ10" s="11">
        <f t="shared" si="1"/>
        <v>0</v>
      </c>
      <c r="CR10" s="11">
        <f t="shared" si="1"/>
        <v>0</v>
      </c>
      <c r="CS10" s="11">
        <f t="shared" si="1"/>
        <v>0</v>
      </c>
      <c r="CT10" s="11">
        <f t="shared" si="1"/>
        <v>0</v>
      </c>
      <c r="CU10" s="11">
        <f t="shared" si="1"/>
        <v>0</v>
      </c>
      <c r="CV10" s="11">
        <f t="shared" si="1"/>
        <v>0</v>
      </c>
      <c r="CW10" s="12">
        <f t="shared" si="1"/>
        <v>0</v>
      </c>
      <c r="CX10" s="40"/>
    </row>
    <row r="11" spans="1:102" ht="31.5" hidden="1" x14ac:dyDescent="0.25">
      <c r="A11" s="13" t="s">
        <v>3</v>
      </c>
      <c r="B11" s="14" t="s">
        <v>3</v>
      </c>
      <c r="C11" s="14" t="s">
        <v>1</v>
      </c>
      <c r="D11" s="30" t="s">
        <v>4</v>
      </c>
      <c r="E11" s="15">
        <f>SUM(E12)</f>
        <v>20869636</v>
      </c>
      <c r="F11" s="16">
        <f t="shared" ref="F11:BS11" si="2">SUM(F12)</f>
        <v>19317055</v>
      </c>
      <c r="G11" s="16">
        <f t="shared" si="2"/>
        <v>19285233</v>
      </c>
      <c r="H11" s="16">
        <f t="shared" si="2"/>
        <v>8640021</v>
      </c>
      <c r="I11" s="16">
        <f t="shared" si="2"/>
        <v>2061842</v>
      </c>
      <c r="J11" s="16">
        <f t="shared" si="2"/>
        <v>2455362</v>
      </c>
      <c r="K11" s="16">
        <f t="shared" si="2"/>
        <v>0</v>
      </c>
      <c r="L11" s="16">
        <f t="shared" si="2"/>
        <v>19272</v>
      </c>
      <c r="M11" s="16">
        <f t="shared" si="2"/>
        <v>0</v>
      </c>
      <c r="N11" s="16">
        <f t="shared" si="2"/>
        <v>0</v>
      </c>
      <c r="O11" s="16">
        <f t="shared" si="2"/>
        <v>1876650</v>
      </c>
      <c r="P11" s="16">
        <f t="shared" si="2"/>
        <v>559440</v>
      </c>
      <c r="Q11" s="16">
        <f t="shared" si="2"/>
        <v>435133</v>
      </c>
      <c r="R11" s="16">
        <f t="shared" si="2"/>
        <v>856</v>
      </c>
      <c r="S11" s="16">
        <f t="shared" si="2"/>
        <v>434277</v>
      </c>
      <c r="T11" s="16">
        <f t="shared" si="2"/>
        <v>0</v>
      </c>
      <c r="U11" s="16">
        <f t="shared" si="2"/>
        <v>868840</v>
      </c>
      <c r="V11" s="16">
        <f t="shared" si="2"/>
        <v>324994</v>
      </c>
      <c r="W11" s="16">
        <f t="shared" si="2"/>
        <v>114772</v>
      </c>
      <c r="X11" s="16">
        <f t="shared" si="2"/>
        <v>32396</v>
      </c>
      <c r="Y11" s="16">
        <f t="shared" si="2"/>
        <v>112439</v>
      </c>
      <c r="Z11" s="16">
        <f t="shared" si="2"/>
        <v>17150</v>
      </c>
      <c r="AA11" s="16">
        <f t="shared" si="2"/>
        <v>30451</v>
      </c>
      <c r="AB11" s="16">
        <f t="shared" si="2"/>
        <v>0</v>
      </c>
      <c r="AC11" s="16">
        <f t="shared" si="2"/>
        <v>0</v>
      </c>
      <c r="AD11" s="16">
        <f t="shared" si="2"/>
        <v>17786</v>
      </c>
      <c r="AE11" s="16">
        <f t="shared" si="2"/>
        <v>4499041</v>
      </c>
      <c r="AF11" s="16">
        <f t="shared" si="2"/>
        <v>0</v>
      </c>
      <c r="AG11" s="16">
        <f t="shared" si="2"/>
        <v>41883</v>
      </c>
      <c r="AH11" s="16">
        <f t="shared" si="2"/>
        <v>51101</v>
      </c>
      <c r="AI11" s="16">
        <f t="shared" si="2"/>
        <v>0</v>
      </c>
      <c r="AJ11" s="16">
        <f t="shared" si="2"/>
        <v>21455</v>
      </c>
      <c r="AK11" s="16">
        <f t="shared" si="2"/>
        <v>980574</v>
      </c>
      <c r="AL11" s="16">
        <f t="shared" si="2"/>
        <v>77747</v>
      </c>
      <c r="AM11" s="16">
        <f t="shared" si="2"/>
        <v>137000</v>
      </c>
      <c r="AN11" s="16">
        <f t="shared" si="2"/>
        <v>2574685</v>
      </c>
      <c r="AO11" s="16">
        <f t="shared" si="2"/>
        <v>7326</v>
      </c>
      <c r="AP11" s="16">
        <f t="shared" si="2"/>
        <v>0</v>
      </c>
      <c r="AQ11" s="16">
        <f t="shared" si="2"/>
        <v>0</v>
      </c>
      <c r="AR11" s="16">
        <f t="shared" si="2"/>
        <v>0</v>
      </c>
      <c r="AS11" s="16">
        <f t="shared" si="2"/>
        <v>13574</v>
      </c>
      <c r="AT11" s="16">
        <f t="shared" si="2"/>
        <v>0</v>
      </c>
      <c r="AU11" s="16">
        <f t="shared" si="2"/>
        <v>0</v>
      </c>
      <c r="AV11" s="16">
        <f t="shared" si="2"/>
        <v>0</v>
      </c>
      <c r="AW11" s="16">
        <f t="shared" si="2"/>
        <v>0</v>
      </c>
      <c r="AX11" s="16">
        <f t="shared" si="2"/>
        <v>0</v>
      </c>
      <c r="AY11" s="16">
        <f t="shared" si="2"/>
        <v>0</v>
      </c>
      <c r="AZ11" s="16">
        <f t="shared" si="2"/>
        <v>593696</v>
      </c>
      <c r="BA11" s="16">
        <f t="shared" si="2"/>
        <v>31822</v>
      </c>
      <c r="BB11" s="16">
        <f t="shared" si="2"/>
        <v>0</v>
      </c>
      <c r="BC11" s="16">
        <f t="shared" si="2"/>
        <v>0</v>
      </c>
      <c r="BD11" s="16">
        <f t="shared" si="2"/>
        <v>0</v>
      </c>
      <c r="BE11" s="16">
        <f t="shared" si="2"/>
        <v>0</v>
      </c>
      <c r="BF11" s="16">
        <f t="shared" si="2"/>
        <v>0</v>
      </c>
      <c r="BG11" s="16">
        <f t="shared" si="2"/>
        <v>0</v>
      </c>
      <c r="BH11" s="16">
        <f t="shared" si="2"/>
        <v>0</v>
      </c>
      <c r="BI11" s="16">
        <f t="shared" si="2"/>
        <v>0</v>
      </c>
      <c r="BJ11" s="16">
        <f t="shared" si="2"/>
        <v>0</v>
      </c>
      <c r="BK11" s="16">
        <f t="shared" si="2"/>
        <v>0</v>
      </c>
      <c r="BL11" s="16">
        <f t="shared" si="2"/>
        <v>0</v>
      </c>
      <c r="BM11" s="16">
        <f t="shared" si="2"/>
        <v>31822</v>
      </c>
      <c r="BN11" s="16">
        <f t="shared" si="2"/>
        <v>0</v>
      </c>
      <c r="BO11" s="16">
        <f t="shared" si="2"/>
        <v>0</v>
      </c>
      <c r="BP11" s="16">
        <f t="shared" si="2"/>
        <v>0</v>
      </c>
      <c r="BQ11" s="16">
        <f t="shared" si="2"/>
        <v>0</v>
      </c>
      <c r="BR11" s="16">
        <f t="shared" si="2"/>
        <v>0</v>
      </c>
      <c r="BS11" s="16">
        <f t="shared" si="2"/>
        <v>0</v>
      </c>
      <c r="BT11" s="16">
        <f t="shared" ref="BT11:CW11" si="3">SUM(BT12)</f>
        <v>0</v>
      </c>
      <c r="BU11" s="16">
        <f t="shared" si="3"/>
        <v>0</v>
      </c>
      <c r="BV11" s="16">
        <f t="shared" si="3"/>
        <v>0</v>
      </c>
      <c r="BW11" s="16">
        <f t="shared" si="3"/>
        <v>31822</v>
      </c>
      <c r="BX11" s="16">
        <f t="shared" si="3"/>
        <v>0</v>
      </c>
      <c r="BY11" s="16">
        <f t="shared" si="3"/>
        <v>1552581</v>
      </c>
      <c r="BZ11" s="16">
        <f t="shared" si="3"/>
        <v>1552581</v>
      </c>
      <c r="CA11" s="16">
        <f t="shared" si="3"/>
        <v>777466</v>
      </c>
      <c r="CB11" s="16">
        <f t="shared" si="3"/>
        <v>0</v>
      </c>
      <c r="CC11" s="16">
        <f t="shared" si="3"/>
        <v>777466</v>
      </c>
      <c r="CD11" s="16">
        <f t="shared" si="3"/>
        <v>0</v>
      </c>
      <c r="CE11" s="16">
        <f t="shared" si="3"/>
        <v>0</v>
      </c>
      <c r="CF11" s="16">
        <f t="shared" si="3"/>
        <v>0</v>
      </c>
      <c r="CG11" s="16">
        <f t="shared" si="3"/>
        <v>0</v>
      </c>
      <c r="CH11" s="16">
        <f t="shared" si="3"/>
        <v>0</v>
      </c>
      <c r="CI11" s="16">
        <f t="shared" si="3"/>
        <v>0</v>
      </c>
      <c r="CJ11" s="16">
        <f t="shared" si="3"/>
        <v>0</v>
      </c>
      <c r="CK11" s="16">
        <f t="shared" si="3"/>
        <v>775115</v>
      </c>
      <c r="CL11" s="16">
        <f t="shared" si="3"/>
        <v>0</v>
      </c>
      <c r="CM11" s="16">
        <f t="shared" si="3"/>
        <v>0</v>
      </c>
      <c r="CN11" s="16">
        <f t="shared" si="3"/>
        <v>0</v>
      </c>
      <c r="CO11" s="16">
        <f t="shared" si="3"/>
        <v>775115</v>
      </c>
      <c r="CP11" s="16">
        <f t="shared" si="3"/>
        <v>0</v>
      </c>
      <c r="CQ11" s="16">
        <f t="shared" si="3"/>
        <v>0</v>
      </c>
      <c r="CR11" s="16">
        <f t="shared" si="3"/>
        <v>0</v>
      </c>
      <c r="CS11" s="16">
        <f t="shared" si="3"/>
        <v>0</v>
      </c>
      <c r="CT11" s="16">
        <f t="shared" si="3"/>
        <v>0</v>
      </c>
      <c r="CU11" s="16">
        <f t="shared" si="3"/>
        <v>0</v>
      </c>
      <c r="CV11" s="16">
        <f t="shared" si="3"/>
        <v>0</v>
      </c>
      <c r="CW11" s="17">
        <f t="shared" si="3"/>
        <v>0</v>
      </c>
      <c r="CX11" s="40"/>
    </row>
    <row r="12" spans="1:102" ht="15.75" hidden="1" x14ac:dyDescent="0.25">
      <c r="A12" s="13" t="s">
        <v>1</v>
      </c>
      <c r="B12" s="14" t="s">
        <v>1</v>
      </c>
      <c r="C12" s="14" t="s">
        <v>5</v>
      </c>
      <c r="D12" s="30" t="s">
        <v>6</v>
      </c>
      <c r="E12" s="15">
        <f>SUM(F12+BY12+CT12)</f>
        <v>20869636</v>
      </c>
      <c r="F12" s="16">
        <f>SUM(G12+BA12)</f>
        <v>19317055</v>
      </c>
      <c r="G12" s="16">
        <f>SUM(H12+I12+J12+Q12+T12+U12+V12+AE12)</f>
        <v>19285233</v>
      </c>
      <c r="H12" s="16">
        <v>8640021</v>
      </c>
      <c r="I12" s="16">
        <v>2061842</v>
      </c>
      <c r="J12" s="16">
        <f t="shared" ref="J12:J74" si="4">SUM(K12:P12)</f>
        <v>2455362</v>
      </c>
      <c r="K12" s="16">
        <v>0</v>
      </c>
      <c r="L12" s="16">
        <v>19272</v>
      </c>
      <c r="M12" s="16">
        <v>0</v>
      </c>
      <c r="N12" s="16">
        <v>0</v>
      </c>
      <c r="O12" s="16">
        <v>1876650</v>
      </c>
      <c r="P12" s="16">
        <v>559440</v>
      </c>
      <c r="Q12" s="16">
        <f t="shared" ref="Q12:Q74" si="5">SUM(R12:S12)</f>
        <v>435133</v>
      </c>
      <c r="R12" s="16">
        <v>856</v>
      </c>
      <c r="S12" s="16">
        <v>434277</v>
      </c>
      <c r="T12" s="16">
        <v>0</v>
      </c>
      <c r="U12" s="16">
        <v>868840</v>
      </c>
      <c r="V12" s="16">
        <f>SUM(W12:AD12)</f>
        <v>324994</v>
      </c>
      <c r="W12" s="16">
        <v>114772</v>
      </c>
      <c r="X12" s="16">
        <v>32396</v>
      </c>
      <c r="Y12" s="16">
        <v>112439</v>
      </c>
      <c r="Z12" s="16">
        <v>17150</v>
      </c>
      <c r="AA12" s="16">
        <v>30451</v>
      </c>
      <c r="AB12" s="16">
        <v>0</v>
      </c>
      <c r="AC12" s="16">
        <v>0</v>
      </c>
      <c r="AD12" s="16">
        <v>17786</v>
      </c>
      <c r="AE12" s="16">
        <f>SUM(AF12:AZ12)</f>
        <v>4499041</v>
      </c>
      <c r="AF12" s="16">
        <v>0</v>
      </c>
      <c r="AG12" s="16">
        <v>41883</v>
      </c>
      <c r="AH12" s="16">
        <v>51101</v>
      </c>
      <c r="AI12" s="16">
        <v>0</v>
      </c>
      <c r="AJ12" s="16">
        <v>21455</v>
      </c>
      <c r="AK12" s="16">
        <v>980574</v>
      </c>
      <c r="AL12" s="16">
        <v>77747</v>
      </c>
      <c r="AM12" s="16">
        <v>137000</v>
      </c>
      <c r="AN12" s="16">
        <v>2574685</v>
      </c>
      <c r="AO12" s="16">
        <v>7326</v>
      </c>
      <c r="AP12" s="16"/>
      <c r="AQ12" s="16">
        <v>0</v>
      </c>
      <c r="AR12" s="16">
        <v>0</v>
      </c>
      <c r="AS12" s="16">
        <v>13574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/>
      <c r="AZ12" s="16">
        <v>593696</v>
      </c>
      <c r="BA12" s="16">
        <f>SUM(BB12+BF12+BI12+BK12+BM12)</f>
        <v>31822</v>
      </c>
      <c r="BB12" s="16">
        <f>SUM(BC12:BE12)</f>
        <v>0</v>
      </c>
      <c r="BC12" s="16">
        <v>0</v>
      </c>
      <c r="BD12" s="16">
        <v>0</v>
      </c>
      <c r="BE12" s="16">
        <v>0</v>
      </c>
      <c r="BF12" s="16">
        <f t="shared" ref="BF12:BF74" si="6">SUM(BG12:BH12)</f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f t="shared" ref="BK12:BK74" si="7">SUM(BL12)</f>
        <v>0</v>
      </c>
      <c r="BL12" s="16">
        <v>0</v>
      </c>
      <c r="BM12" s="16">
        <f t="shared" ref="BM12:BM74" si="8">SUM(BN12:BX12)</f>
        <v>31822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31822</v>
      </c>
      <c r="BX12" s="16">
        <v>0</v>
      </c>
      <c r="BY12" s="16">
        <f>SUM(BZ12+CS12)</f>
        <v>1552581</v>
      </c>
      <c r="BZ12" s="16">
        <f>SUM(CA12+CD12+CK12)</f>
        <v>1552581</v>
      </c>
      <c r="CA12" s="16">
        <f t="shared" ref="CA12:CA74" si="9">SUM(CB12:CC12)</f>
        <v>777466</v>
      </c>
      <c r="CB12" s="16">
        <v>0</v>
      </c>
      <c r="CC12" s="16">
        <v>777466</v>
      </c>
      <c r="CD12" s="16">
        <f t="shared" ref="CD12:CD74" si="10">SUM(CE12:CI12)</f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16">
        <f t="shared" ref="CK12:CK74" si="11">SUM(CL12:CP12)</f>
        <v>775115</v>
      </c>
      <c r="CL12" s="16">
        <v>0</v>
      </c>
      <c r="CM12" s="16">
        <v>0</v>
      </c>
      <c r="CN12" s="16">
        <v>0</v>
      </c>
      <c r="CO12" s="16">
        <v>775115</v>
      </c>
      <c r="CP12" s="16">
        <v>0</v>
      </c>
      <c r="CQ12" s="16">
        <f>SUM(CR12)</f>
        <v>0</v>
      </c>
      <c r="CR12" s="16"/>
      <c r="CS12" s="16">
        <v>0</v>
      </c>
      <c r="CT12" s="16">
        <f t="shared" ref="CT12:CT74" si="12">SUM(CU12)</f>
        <v>0</v>
      </c>
      <c r="CU12" s="16">
        <f t="shared" ref="CU12:CU74" si="13">SUM(CV12:CW12)</f>
        <v>0</v>
      </c>
      <c r="CV12" s="16">
        <v>0</v>
      </c>
      <c r="CW12" s="17">
        <v>0</v>
      </c>
      <c r="CX12" s="40"/>
    </row>
    <row r="13" spans="1:102" ht="31.5" hidden="1" x14ac:dyDescent="0.25">
      <c r="A13" s="13" t="s">
        <v>3</v>
      </c>
      <c r="B13" s="14" t="s">
        <v>7</v>
      </c>
      <c r="C13" s="14" t="s">
        <v>1</v>
      </c>
      <c r="D13" s="30" t="s">
        <v>8</v>
      </c>
      <c r="E13" s="15">
        <f>SUM(E14:E16)</f>
        <v>39071659</v>
      </c>
      <c r="F13" s="16">
        <f t="shared" ref="F13:BS13" si="14">SUM(F14:F16)</f>
        <v>36215312</v>
      </c>
      <c r="G13" s="16">
        <f t="shared" si="14"/>
        <v>33810594</v>
      </c>
      <c r="H13" s="16">
        <f t="shared" si="14"/>
        <v>21975058</v>
      </c>
      <c r="I13" s="16">
        <f t="shared" si="14"/>
        <v>5268641</v>
      </c>
      <c r="J13" s="16">
        <f t="shared" si="14"/>
        <v>3193895</v>
      </c>
      <c r="K13" s="16">
        <f t="shared" si="14"/>
        <v>0</v>
      </c>
      <c r="L13" s="16">
        <f t="shared" si="14"/>
        <v>87018</v>
      </c>
      <c r="M13" s="16">
        <f t="shared" si="14"/>
        <v>0</v>
      </c>
      <c r="N13" s="16">
        <f t="shared" si="14"/>
        <v>0</v>
      </c>
      <c r="O13" s="16">
        <f t="shared" si="14"/>
        <v>2135643</v>
      </c>
      <c r="P13" s="16">
        <f t="shared" si="14"/>
        <v>971234</v>
      </c>
      <c r="Q13" s="16">
        <f t="shared" si="14"/>
        <v>720002</v>
      </c>
      <c r="R13" s="16">
        <f t="shared" si="14"/>
        <v>0</v>
      </c>
      <c r="S13" s="16">
        <f t="shared" si="14"/>
        <v>720002</v>
      </c>
      <c r="T13" s="16">
        <f t="shared" si="14"/>
        <v>0</v>
      </c>
      <c r="U13" s="16">
        <f t="shared" si="14"/>
        <v>970685</v>
      </c>
      <c r="V13" s="16">
        <f t="shared" si="14"/>
        <v>83043</v>
      </c>
      <c r="W13" s="16">
        <f t="shared" si="14"/>
        <v>3606</v>
      </c>
      <c r="X13" s="16">
        <f t="shared" si="14"/>
        <v>14960</v>
      </c>
      <c r="Y13" s="16">
        <f t="shared" si="14"/>
        <v>41904</v>
      </c>
      <c r="Z13" s="16">
        <f t="shared" si="14"/>
        <v>7858</v>
      </c>
      <c r="AA13" s="16">
        <f t="shared" si="14"/>
        <v>5156</v>
      </c>
      <c r="AB13" s="16">
        <f t="shared" si="14"/>
        <v>648</v>
      </c>
      <c r="AC13" s="16">
        <f t="shared" si="14"/>
        <v>0</v>
      </c>
      <c r="AD13" s="16">
        <f t="shared" si="14"/>
        <v>8911</v>
      </c>
      <c r="AE13" s="16">
        <f t="shared" si="14"/>
        <v>1599270</v>
      </c>
      <c r="AF13" s="16">
        <f t="shared" si="14"/>
        <v>0</v>
      </c>
      <c r="AG13" s="16">
        <f t="shared" si="14"/>
        <v>87752</v>
      </c>
      <c r="AH13" s="16">
        <f t="shared" si="14"/>
        <v>116813</v>
      </c>
      <c r="AI13" s="16">
        <f t="shared" si="14"/>
        <v>0</v>
      </c>
      <c r="AJ13" s="16">
        <f t="shared" si="14"/>
        <v>40495</v>
      </c>
      <c r="AK13" s="16">
        <f t="shared" si="14"/>
        <v>0</v>
      </c>
      <c r="AL13" s="16">
        <f t="shared" si="14"/>
        <v>227044</v>
      </c>
      <c r="AM13" s="16">
        <f t="shared" si="14"/>
        <v>70164</v>
      </c>
      <c r="AN13" s="16">
        <f t="shared" si="14"/>
        <v>903693</v>
      </c>
      <c r="AO13" s="16">
        <f t="shared" si="14"/>
        <v>0</v>
      </c>
      <c r="AP13" s="16"/>
      <c r="AQ13" s="16">
        <f t="shared" si="14"/>
        <v>0</v>
      </c>
      <c r="AR13" s="16">
        <f t="shared" si="14"/>
        <v>42153</v>
      </c>
      <c r="AS13" s="16">
        <f t="shared" si="14"/>
        <v>27042</v>
      </c>
      <c r="AT13" s="16">
        <f t="shared" si="14"/>
        <v>0</v>
      </c>
      <c r="AU13" s="16">
        <f t="shared" si="14"/>
        <v>0</v>
      </c>
      <c r="AV13" s="16">
        <f t="shared" si="14"/>
        <v>0</v>
      </c>
      <c r="AW13" s="16">
        <f t="shared" si="14"/>
        <v>0</v>
      </c>
      <c r="AX13" s="16">
        <f t="shared" si="14"/>
        <v>0</v>
      </c>
      <c r="AY13" s="16"/>
      <c r="AZ13" s="16">
        <f t="shared" si="14"/>
        <v>84114</v>
      </c>
      <c r="BA13" s="16">
        <f t="shared" si="14"/>
        <v>2404718</v>
      </c>
      <c r="BB13" s="16">
        <f t="shared" si="14"/>
        <v>0</v>
      </c>
      <c r="BC13" s="16">
        <f t="shared" si="14"/>
        <v>0</v>
      </c>
      <c r="BD13" s="16">
        <f t="shared" si="14"/>
        <v>0</v>
      </c>
      <c r="BE13" s="16">
        <f t="shared" si="14"/>
        <v>0</v>
      </c>
      <c r="BF13" s="16">
        <f t="shared" si="14"/>
        <v>0</v>
      </c>
      <c r="BG13" s="16">
        <f t="shared" si="14"/>
        <v>0</v>
      </c>
      <c r="BH13" s="16">
        <f t="shared" si="14"/>
        <v>0</v>
      </c>
      <c r="BI13" s="16">
        <f t="shared" si="14"/>
        <v>0</v>
      </c>
      <c r="BJ13" s="16">
        <f t="shared" si="14"/>
        <v>0</v>
      </c>
      <c r="BK13" s="16">
        <f t="shared" si="14"/>
        <v>0</v>
      </c>
      <c r="BL13" s="16">
        <f t="shared" si="14"/>
        <v>0</v>
      </c>
      <c r="BM13" s="16">
        <f t="shared" si="14"/>
        <v>2404718</v>
      </c>
      <c r="BN13" s="16">
        <f t="shared" si="14"/>
        <v>0</v>
      </c>
      <c r="BO13" s="16">
        <f t="shared" si="14"/>
        <v>0</v>
      </c>
      <c r="BP13" s="16">
        <f t="shared" si="14"/>
        <v>0</v>
      </c>
      <c r="BQ13" s="16">
        <f t="shared" si="14"/>
        <v>0</v>
      </c>
      <c r="BR13" s="16">
        <f t="shared" si="14"/>
        <v>0</v>
      </c>
      <c r="BS13" s="16">
        <f t="shared" si="14"/>
        <v>0</v>
      </c>
      <c r="BT13" s="16">
        <f t="shared" ref="BT13:CW13" si="15">SUM(BT14:BT16)</f>
        <v>0</v>
      </c>
      <c r="BU13" s="16">
        <f t="shared" si="15"/>
        <v>0</v>
      </c>
      <c r="BV13" s="16">
        <f t="shared" si="15"/>
        <v>0</v>
      </c>
      <c r="BW13" s="16">
        <f t="shared" si="15"/>
        <v>2404718</v>
      </c>
      <c r="BX13" s="16">
        <f t="shared" si="15"/>
        <v>0</v>
      </c>
      <c r="BY13" s="16">
        <f t="shared" si="15"/>
        <v>2856347</v>
      </c>
      <c r="BZ13" s="16">
        <f t="shared" si="15"/>
        <v>2856347</v>
      </c>
      <c r="CA13" s="16">
        <f t="shared" si="15"/>
        <v>1588472</v>
      </c>
      <c r="CB13" s="16">
        <f t="shared" si="15"/>
        <v>0</v>
      </c>
      <c r="CC13" s="16">
        <f t="shared" si="15"/>
        <v>1588472</v>
      </c>
      <c r="CD13" s="16">
        <f t="shared" si="15"/>
        <v>1267875</v>
      </c>
      <c r="CE13" s="16">
        <f t="shared" si="15"/>
        <v>1267875</v>
      </c>
      <c r="CF13" s="16">
        <f>SUM(CF14:CF16)</f>
        <v>0</v>
      </c>
      <c r="CG13" s="16">
        <f t="shared" si="15"/>
        <v>0</v>
      </c>
      <c r="CH13" s="16">
        <f t="shared" si="15"/>
        <v>0</v>
      </c>
      <c r="CI13" s="16">
        <f t="shared" si="15"/>
        <v>0</v>
      </c>
      <c r="CJ13" s="16">
        <f t="shared" si="15"/>
        <v>0</v>
      </c>
      <c r="CK13" s="16">
        <f t="shared" si="15"/>
        <v>0</v>
      </c>
      <c r="CL13" s="16">
        <f t="shared" si="15"/>
        <v>0</v>
      </c>
      <c r="CM13" s="16">
        <f>SUM(CM14:CM16)</f>
        <v>0</v>
      </c>
      <c r="CN13" s="16">
        <f t="shared" si="15"/>
        <v>0</v>
      </c>
      <c r="CO13" s="16">
        <f t="shared" si="15"/>
        <v>0</v>
      </c>
      <c r="CP13" s="16">
        <f t="shared" si="15"/>
        <v>0</v>
      </c>
      <c r="CQ13" s="16">
        <f>SUM(CR13)</f>
        <v>0</v>
      </c>
      <c r="CR13" s="16"/>
      <c r="CS13" s="16">
        <f t="shared" si="15"/>
        <v>0</v>
      </c>
      <c r="CT13" s="16">
        <f t="shared" si="15"/>
        <v>0</v>
      </c>
      <c r="CU13" s="16">
        <f t="shared" si="15"/>
        <v>0</v>
      </c>
      <c r="CV13" s="16">
        <f t="shared" si="15"/>
        <v>0</v>
      </c>
      <c r="CW13" s="17">
        <f t="shared" si="15"/>
        <v>0</v>
      </c>
      <c r="CX13" s="40"/>
    </row>
    <row r="14" spans="1:102" ht="15.75" hidden="1" x14ac:dyDescent="0.25">
      <c r="A14" s="13" t="s">
        <v>1</v>
      </c>
      <c r="B14" s="14" t="s">
        <v>1</v>
      </c>
      <c r="C14" s="14" t="s">
        <v>9</v>
      </c>
      <c r="D14" s="30" t="s">
        <v>10</v>
      </c>
      <c r="E14" s="15">
        <f>SUM(F14+BY14+CT14)</f>
        <v>26690585</v>
      </c>
      <c r="F14" s="16">
        <f>SUM(G14+BA14)</f>
        <v>24498869</v>
      </c>
      <c r="G14" s="16">
        <f>SUM(H14+I14+J14+Q14+T14+U14+V14+AE14)</f>
        <v>22107177</v>
      </c>
      <c r="H14" s="16">
        <v>13873375</v>
      </c>
      <c r="I14" s="16">
        <v>3336840</v>
      </c>
      <c r="J14" s="16">
        <f t="shared" si="4"/>
        <v>2271467</v>
      </c>
      <c r="K14" s="16">
        <v>0</v>
      </c>
      <c r="L14" s="16">
        <v>0</v>
      </c>
      <c r="M14" s="16">
        <v>0</v>
      </c>
      <c r="N14" s="16">
        <v>0</v>
      </c>
      <c r="O14" s="16">
        <v>1658609</v>
      </c>
      <c r="P14" s="16">
        <v>612858</v>
      </c>
      <c r="Q14" s="16">
        <f t="shared" si="5"/>
        <v>640000</v>
      </c>
      <c r="R14" s="16">
        <v>0</v>
      </c>
      <c r="S14" s="16">
        <v>640000</v>
      </c>
      <c r="T14" s="16">
        <v>0</v>
      </c>
      <c r="U14" s="16">
        <v>797759</v>
      </c>
      <c r="V14" s="16">
        <f>SUM(W14:AD14)</f>
        <v>2882</v>
      </c>
      <c r="W14" s="16">
        <v>0</v>
      </c>
      <c r="X14" s="16">
        <v>0</v>
      </c>
      <c r="Y14" s="16">
        <v>1548</v>
      </c>
      <c r="Z14" s="16">
        <v>964</v>
      </c>
      <c r="AA14" s="16">
        <v>370</v>
      </c>
      <c r="AB14" s="16">
        <v>0</v>
      </c>
      <c r="AC14" s="16">
        <v>0</v>
      </c>
      <c r="AD14" s="16">
        <v>0</v>
      </c>
      <c r="AE14" s="16">
        <f>SUM(AF14:AZ14)</f>
        <v>1184854</v>
      </c>
      <c r="AF14" s="16">
        <v>0</v>
      </c>
      <c r="AG14" s="16">
        <v>72672</v>
      </c>
      <c r="AH14" s="16">
        <v>100000</v>
      </c>
      <c r="AI14" s="16">
        <v>0</v>
      </c>
      <c r="AJ14" s="16">
        <v>9558</v>
      </c>
      <c r="AK14" s="16">
        <v>0</v>
      </c>
      <c r="AL14" s="16">
        <v>122572</v>
      </c>
      <c r="AM14" s="16">
        <v>62208</v>
      </c>
      <c r="AN14" s="16">
        <v>785400</v>
      </c>
      <c r="AO14" s="16">
        <v>0</v>
      </c>
      <c r="AP14" s="16">
        <v>0</v>
      </c>
      <c r="AQ14" s="16">
        <v>0</v>
      </c>
      <c r="AR14" s="16">
        <v>13008</v>
      </c>
      <c r="AS14" s="16">
        <v>15842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3594</v>
      </c>
      <c r="BA14" s="16">
        <f>SUM(BB14+BF14+BI14+BK14+BM14)</f>
        <v>2391692</v>
      </c>
      <c r="BB14" s="16">
        <f>SUM(BC14:BE14)</f>
        <v>0</v>
      </c>
      <c r="BC14" s="16">
        <v>0</v>
      </c>
      <c r="BD14" s="16">
        <v>0</v>
      </c>
      <c r="BE14" s="16">
        <v>0</v>
      </c>
      <c r="BF14" s="16">
        <f t="shared" si="6"/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f t="shared" si="7"/>
        <v>0</v>
      </c>
      <c r="BL14" s="16">
        <v>0</v>
      </c>
      <c r="BM14" s="16">
        <f t="shared" si="8"/>
        <v>2391692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2391692</v>
      </c>
      <c r="BX14" s="16">
        <v>0</v>
      </c>
      <c r="BY14" s="16">
        <f>SUM(BZ14+CS14)</f>
        <v>2191716</v>
      </c>
      <c r="BZ14" s="16">
        <f>SUM(CA14+CD14+CK14)</f>
        <v>2191716</v>
      </c>
      <c r="CA14" s="16">
        <f t="shared" si="9"/>
        <v>1225716</v>
      </c>
      <c r="CB14" s="16">
        <v>0</v>
      </c>
      <c r="CC14" s="16">
        <v>1225716</v>
      </c>
      <c r="CD14" s="16">
        <f t="shared" si="10"/>
        <v>966000</v>
      </c>
      <c r="CE14" s="16">
        <v>966000</v>
      </c>
      <c r="CF14" s="16"/>
      <c r="CG14" s="16">
        <v>0</v>
      </c>
      <c r="CH14" s="16">
        <v>0</v>
      </c>
      <c r="CI14" s="16">
        <v>0</v>
      </c>
      <c r="CJ14" s="16">
        <v>0</v>
      </c>
      <c r="CK14" s="16">
        <f t="shared" si="11"/>
        <v>0</v>
      </c>
      <c r="CL14" s="16">
        <v>0</v>
      </c>
      <c r="CM14" s="16">
        <v>0</v>
      </c>
      <c r="CN14" s="16">
        <v>0</v>
      </c>
      <c r="CO14" s="16">
        <v>0</v>
      </c>
      <c r="CP14" s="16">
        <v>0</v>
      </c>
      <c r="CQ14" s="16">
        <f>SUM(CR14)</f>
        <v>0</v>
      </c>
      <c r="CR14" s="16">
        <v>0</v>
      </c>
      <c r="CS14" s="16">
        <v>0</v>
      </c>
      <c r="CT14" s="16">
        <f t="shared" si="12"/>
        <v>0</v>
      </c>
      <c r="CU14" s="16">
        <f t="shared" si="13"/>
        <v>0</v>
      </c>
      <c r="CV14" s="16">
        <v>0</v>
      </c>
      <c r="CW14" s="17">
        <v>0</v>
      </c>
      <c r="CX14" s="40"/>
    </row>
    <row r="15" spans="1:102" ht="15.75" hidden="1" x14ac:dyDescent="0.25">
      <c r="A15" s="13" t="s">
        <v>1</v>
      </c>
      <c r="B15" s="14" t="s">
        <v>1</v>
      </c>
      <c r="C15" s="14" t="s">
        <v>11</v>
      </c>
      <c r="D15" s="30" t="s">
        <v>12</v>
      </c>
      <c r="E15" s="15">
        <f>SUM(F15+BY15+CT15)</f>
        <v>10783642</v>
      </c>
      <c r="F15" s="16">
        <f>SUM(G15+BA15)</f>
        <v>10139599</v>
      </c>
      <c r="G15" s="16">
        <f>SUM(H15+I15+J15+Q15+T15+U15+V15+AE15)</f>
        <v>10132324</v>
      </c>
      <c r="H15" s="16">
        <v>7005911</v>
      </c>
      <c r="I15" s="16">
        <v>1667464</v>
      </c>
      <c r="J15" s="16">
        <f t="shared" si="4"/>
        <v>851847</v>
      </c>
      <c r="K15" s="16">
        <v>0</v>
      </c>
      <c r="L15" s="16">
        <v>87018</v>
      </c>
      <c r="M15" s="16">
        <v>0</v>
      </c>
      <c r="N15" s="16">
        <v>0</v>
      </c>
      <c r="O15" s="16">
        <v>422661</v>
      </c>
      <c r="P15" s="16">
        <v>342168</v>
      </c>
      <c r="Q15" s="16">
        <f t="shared" si="5"/>
        <v>65755</v>
      </c>
      <c r="R15" s="16">
        <v>0</v>
      </c>
      <c r="S15" s="16">
        <v>65755</v>
      </c>
      <c r="T15" s="16">
        <v>0</v>
      </c>
      <c r="U15" s="16">
        <v>110927</v>
      </c>
      <c r="V15" s="16">
        <f>SUM(W15:AD15)</f>
        <v>73046</v>
      </c>
      <c r="W15" s="16">
        <f>16979-13373</f>
        <v>3606</v>
      </c>
      <c r="X15" s="16">
        <v>12125</v>
      </c>
      <c r="Y15" s="16">
        <f>40799-180-3983</f>
        <v>36636</v>
      </c>
      <c r="Z15" s="16">
        <v>6334</v>
      </c>
      <c r="AA15" s="16">
        <v>4786</v>
      </c>
      <c r="AB15" s="16">
        <v>648</v>
      </c>
      <c r="AC15" s="16">
        <v>0</v>
      </c>
      <c r="AD15" s="16">
        <v>8911</v>
      </c>
      <c r="AE15" s="16">
        <f>SUM(AF15:AZ15)</f>
        <v>357374</v>
      </c>
      <c r="AF15" s="16">
        <v>0</v>
      </c>
      <c r="AG15" s="16">
        <v>13978</v>
      </c>
      <c r="AH15" s="16">
        <v>15587</v>
      </c>
      <c r="AI15" s="16">
        <v>0</v>
      </c>
      <c r="AJ15" s="16">
        <v>30937</v>
      </c>
      <c r="AK15" s="16">
        <v>0</v>
      </c>
      <c r="AL15" s="16">
        <v>104472</v>
      </c>
      <c r="AM15" s="16">
        <v>0</v>
      </c>
      <c r="AN15" s="16">
        <v>100680</v>
      </c>
      <c r="AO15" s="16">
        <v>0</v>
      </c>
      <c r="AP15" s="16">
        <v>0</v>
      </c>
      <c r="AQ15" s="16">
        <v>0</v>
      </c>
      <c r="AR15" s="16">
        <v>0</v>
      </c>
      <c r="AS15" s="16">
        <v>11200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80520</v>
      </c>
      <c r="BA15" s="16">
        <f>SUM(BB15+BF15+BI15+BK15+BM15)</f>
        <v>7275</v>
      </c>
      <c r="BB15" s="16">
        <f>SUM(BC15:BE15)</f>
        <v>0</v>
      </c>
      <c r="BC15" s="16">
        <v>0</v>
      </c>
      <c r="BD15" s="16">
        <v>0</v>
      </c>
      <c r="BE15" s="16">
        <v>0</v>
      </c>
      <c r="BF15" s="16">
        <f t="shared" si="6"/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f t="shared" si="7"/>
        <v>0</v>
      </c>
      <c r="BL15" s="16">
        <v>0</v>
      </c>
      <c r="BM15" s="16">
        <f t="shared" si="8"/>
        <v>7275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7275</v>
      </c>
      <c r="BX15" s="16">
        <v>0</v>
      </c>
      <c r="BY15" s="16">
        <f>SUM(BZ15+CS15)</f>
        <v>644043</v>
      </c>
      <c r="BZ15" s="16">
        <f>SUM(CA15+CD15+CK15)</f>
        <v>644043</v>
      </c>
      <c r="CA15" s="16">
        <f t="shared" si="9"/>
        <v>342168</v>
      </c>
      <c r="CB15" s="16">
        <v>0</v>
      </c>
      <c r="CC15" s="16">
        <v>342168</v>
      </c>
      <c r="CD15" s="16">
        <f t="shared" si="10"/>
        <v>301875</v>
      </c>
      <c r="CE15" s="16">
        <v>301875</v>
      </c>
      <c r="CF15" s="16"/>
      <c r="CG15" s="16">
        <v>0</v>
      </c>
      <c r="CH15" s="16">
        <v>0</v>
      </c>
      <c r="CI15" s="16">
        <v>0</v>
      </c>
      <c r="CJ15" s="16">
        <v>0</v>
      </c>
      <c r="CK15" s="16">
        <f t="shared" si="11"/>
        <v>0</v>
      </c>
      <c r="CL15" s="16">
        <v>0</v>
      </c>
      <c r="CM15" s="16">
        <v>0</v>
      </c>
      <c r="CN15" s="16">
        <v>0</v>
      </c>
      <c r="CO15" s="16">
        <v>0</v>
      </c>
      <c r="CP15" s="16">
        <v>0</v>
      </c>
      <c r="CQ15" s="16">
        <v>0</v>
      </c>
      <c r="CR15" s="16">
        <v>0</v>
      </c>
      <c r="CS15" s="16">
        <v>0</v>
      </c>
      <c r="CT15" s="16">
        <f t="shared" si="12"/>
        <v>0</v>
      </c>
      <c r="CU15" s="16">
        <f t="shared" si="13"/>
        <v>0</v>
      </c>
      <c r="CV15" s="16">
        <v>0</v>
      </c>
      <c r="CW15" s="17">
        <v>0</v>
      </c>
      <c r="CX15" s="40"/>
    </row>
    <row r="16" spans="1:102" ht="31.5" hidden="1" x14ac:dyDescent="0.25">
      <c r="A16" s="13" t="s">
        <v>1</v>
      </c>
      <c r="B16" s="14" t="s">
        <v>1</v>
      </c>
      <c r="C16" s="14" t="s">
        <v>13</v>
      </c>
      <c r="D16" s="30" t="s">
        <v>14</v>
      </c>
      <c r="E16" s="15">
        <f>SUM(F16+BY16+CT16)</f>
        <v>1597432</v>
      </c>
      <c r="F16" s="16">
        <f>SUM(G16+BA16)</f>
        <v>1576844</v>
      </c>
      <c r="G16" s="16">
        <f>SUM(H16+I16+J16+Q16+T16+U16+V16+AE16)</f>
        <v>1571093</v>
      </c>
      <c r="H16" s="16">
        <v>1095772</v>
      </c>
      <c r="I16" s="16">
        <v>264337</v>
      </c>
      <c r="J16" s="16">
        <f t="shared" si="4"/>
        <v>70581</v>
      </c>
      <c r="K16" s="16">
        <v>0</v>
      </c>
      <c r="L16" s="16">
        <v>0</v>
      </c>
      <c r="M16" s="16">
        <v>0</v>
      </c>
      <c r="N16" s="16">
        <v>0</v>
      </c>
      <c r="O16" s="16">
        <v>54373</v>
      </c>
      <c r="P16" s="16">
        <v>16208</v>
      </c>
      <c r="Q16" s="16">
        <f t="shared" si="5"/>
        <v>14247</v>
      </c>
      <c r="R16" s="16">
        <v>0</v>
      </c>
      <c r="S16" s="16">
        <f>15043-796</f>
        <v>14247</v>
      </c>
      <c r="T16" s="16">
        <v>0</v>
      </c>
      <c r="U16" s="16">
        <v>61999</v>
      </c>
      <c r="V16" s="16">
        <f>SUM(W16:AD16)</f>
        <v>7115</v>
      </c>
      <c r="W16" s="16">
        <v>0</v>
      </c>
      <c r="X16" s="16">
        <v>2835</v>
      </c>
      <c r="Y16" s="16">
        <v>3720</v>
      </c>
      <c r="Z16" s="16">
        <v>560</v>
      </c>
      <c r="AA16" s="16">
        <v>0</v>
      </c>
      <c r="AB16" s="16">
        <v>0</v>
      </c>
      <c r="AC16" s="16">
        <v>0</v>
      </c>
      <c r="AD16" s="16">
        <v>0</v>
      </c>
      <c r="AE16" s="16">
        <f>SUM(AF16:AZ16)</f>
        <v>57042</v>
      </c>
      <c r="AF16" s="16">
        <v>0</v>
      </c>
      <c r="AG16" s="16">
        <v>1102</v>
      </c>
      <c r="AH16" s="16">
        <v>1226</v>
      </c>
      <c r="AI16" s="16">
        <v>0</v>
      </c>
      <c r="AJ16" s="16">
        <v>0</v>
      </c>
      <c r="AK16" s="16">
        <v>0</v>
      </c>
      <c r="AL16" s="16">
        <v>0</v>
      </c>
      <c r="AM16" s="16">
        <v>7956</v>
      </c>
      <c r="AN16" s="16">
        <v>17613</v>
      </c>
      <c r="AO16" s="16">
        <v>0</v>
      </c>
      <c r="AP16" s="16">
        <v>0</v>
      </c>
      <c r="AQ16" s="16">
        <v>0</v>
      </c>
      <c r="AR16" s="16">
        <v>29145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  <c r="AZ16" s="16">
        <v>0</v>
      </c>
      <c r="BA16" s="16">
        <f>SUM(BB16+BF16+BI16+BK16+BM16)</f>
        <v>5751</v>
      </c>
      <c r="BB16" s="16">
        <f>SUM(BC16:BE16)</f>
        <v>0</v>
      </c>
      <c r="BC16" s="16">
        <v>0</v>
      </c>
      <c r="BD16" s="16">
        <v>0</v>
      </c>
      <c r="BE16" s="16">
        <v>0</v>
      </c>
      <c r="BF16" s="16">
        <f t="shared" si="6"/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f t="shared" si="7"/>
        <v>0</v>
      </c>
      <c r="BL16" s="16">
        <v>0</v>
      </c>
      <c r="BM16" s="16">
        <f t="shared" si="8"/>
        <v>5751</v>
      </c>
      <c r="BN16" s="16">
        <v>0</v>
      </c>
      <c r="BO16" s="16">
        <v>0</v>
      </c>
      <c r="BP16" s="16">
        <v>0</v>
      </c>
      <c r="BQ16" s="16">
        <v>0</v>
      </c>
      <c r="BR16" s="16">
        <v>0</v>
      </c>
      <c r="BS16" s="16">
        <v>0</v>
      </c>
      <c r="BT16" s="16">
        <v>0</v>
      </c>
      <c r="BU16" s="16">
        <v>0</v>
      </c>
      <c r="BV16" s="16">
        <v>0</v>
      </c>
      <c r="BW16" s="16">
        <v>5751</v>
      </c>
      <c r="BX16" s="16">
        <v>0</v>
      </c>
      <c r="BY16" s="16">
        <f>SUM(BZ16+CS16)</f>
        <v>20588</v>
      </c>
      <c r="BZ16" s="16">
        <f>SUM(CA16+CD16+CK16)</f>
        <v>20588</v>
      </c>
      <c r="CA16" s="16">
        <f t="shared" si="9"/>
        <v>20588</v>
      </c>
      <c r="CB16" s="16">
        <v>0</v>
      </c>
      <c r="CC16" s="16">
        <v>20588</v>
      </c>
      <c r="CD16" s="16">
        <f t="shared" si="10"/>
        <v>0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16">
        <f t="shared" si="11"/>
        <v>0</v>
      </c>
      <c r="CL16" s="16">
        <v>0</v>
      </c>
      <c r="CM16" s="16">
        <v>0</v>
      </c>
      <c r="CN16" s="16">
        <v>0</v>
      </c>
      <c r="CO16" s="16">
        <v>0</v>
      </c>
      <c r="CP16" s="16">
        <v>0</v>
      </c>
      <c r="CQ16" s="16">
        <v>0</v>
      </c>
      <c r="CR16" s="16">
        <v>0</v>
      </c>
      <c r="CS16" s="16">
        <v>0</v>
      </c>
      <c r="CT16" s="16">
        <f t="shared" si="12"/>
        <v>0</v>
      </c>
      <c r="CU16" s="16">
        <f t="shared" si="13"/>
        <v>0</v>
      </c>
      <c r="CV16" s="16">
        <v>0</v>
      </c>
      <c r="CW16" s="17">
        <v>0</v>
      </c>
      <c r="CX16" s="40"/>
    </row>
    <row r="17" spans="1:102" ht="31.5" hidden="1" x14ac:dyDescent="0.25">
      <c r="A17" s="13" t="s">
        <v>3</v>
      </c>
      <c r="B17" s="14" t="s">
        <v>15</v>
      </c>
      <c r="C17" s="14" t="s">
        <v>1</v>
      </c>
      <c r="D17" s="30" t="s">
        <v>16</v>
      </c>
      <c r="E17" s="15">
        <f>SUM(E18:E33)</f>
        <v>86949744</v>
      </c>
      <c r="F17" s="16">
        <f t="shared" ref="F17:BS17" si="16">SUM(F18:F33)</f>
        <v>81701909</v>
      </c>
      <c r="G17" s="16">
        <f t="shared" si="16"/>
        <v>81155163</v>
      </c>
      <c r="H17" s="16">
        <f t="shared" si="16"/>
        <v>57968274</v>
      </c>
      <c r="I17" s="16">
        <f t="shared" si="16"/>
        <v>13099556</v>
      </c>
      <c r="J17" s="16">
        <f t="shared" si="16"/>
        <v>3388360</v>
      </c>
      <c r="K17" s="16">
        <f t="shared" si="16"/>
        <v>0</v>
      </c>
      <c r="L17" s="16">
        <f t="shared" si="16"/>
        <v>145393</v>
      </c>
      <c r="M17" s="16">
        <f t="shared" si="16"/>
        <v>0</v>
      </c>
      <c r="N17" s="16">
        <f t="shared" si="16"/>
        <v>0</v>
      </c>
      <c r="O17" s="16">
        <f t="shared" si="16"/>
        <v>2409030</v>
      </c>
      <c r="P17" s="16">
        <f t="shared" si="16"/>
        <v>833937</v>
      </c>
      <c r="Q17" s="16">
        <f t="shared" si="16"/>
        <v>1118720</v>
      </c>
      <c r="R17" s="16">
        <f t="shared" si="16"/>
        <v>15447</v>
      </c>
      <c r="S17" s="16">
        <f t="shared" si="16"/>
        <v>1103273</v>
      </c>
      <c r="T17" s="16">
        <f t="shared" si="16"/>
        <v>0</v>
      </c>
      <c r="U17" s="16">
        <f t="shared" si="16"/>
        <v>2152198</v>
      </c>
      <c r="V17" s="16">
        <f t="shared" si="16"/>
        <v>808918</v>
      </c>
      <c r="W17" s="16">
        <f t="shared" si="16"/>
        <v>126311</v>
      </c>
      <c r="X17" s="16">
        <f t="shared" si="16"/>
        <v>244742</v>
      </c>
      <c r="Y17" s="16">
        <f t="shared" si="16"/>
        <v>320961</v>
      </c>
      <c r="Z17" s="16">
        <f t="shared" si="16"/>
        <v>37834</v>
      </c>
      <c r="AA17" s="16">
        <f t="shared" si="16"/>
        <v>58205</v>
      </c>
      <c r="AB17" s="16">
        <f t="shared" si="16"/>
        <v>0</v>
      </c>
      <c r="AC17" s="16">
        <f t="shared" si="16"/>
        <v>0</v>
      </c>
      <c r="AD17" s="16">
        <f t="shared" si="16"/>
        <v>20865</v>
      </c>
      <c r="AE17" s="16">
        <f t="shared" si="16"/>
        <v>2619137</v>
      </c>
      <c r="AF17" s="16">
        <f t="shared" si="16"/>
        <v>0</v>
      </c>
      <c r="AG17" s="16">
        <f t="shared" si="16"/>
        <v>112930</v>
      </c>
      <c r="AH17" s="16">
        <f t="shared" si="16"/>
        <v>159835</v>
      </c>
      <c r="AI17" s="16">
        <f t="shared" si="16"/>
        <v>0</v>
      </c>
      <c r="AJ17" s="16">
        <f t="shared" si="16"/>
        <v>32233</v>
      </c>
      <c r="AK17" s="16">
        <f t="shared" si="16"/>
        <v>0</v>
      </c>
      <c r="AL17" s="16">
        <f t="shared" si="16"/>
        <v>496058</v>
      </c>
      <c r="AM17" s="16">
        <f t="shared" si="16"/>
        <v>205946</v>
      </c>
      <c r="AN17" s="16">
        <f t="shared" si="16"/>
        <v>409989</v>
      </c>
      <c r="AO17" s="16">
        <f t="shared" si="16"/>
        <v>113362</v>
      </c>
      <c r="AP17" s="16">
        <f>SUM(AP18:AP33)</f>
        <v>0</v>
      </c>
      <c r="AQ17" s="16">
        <f t="shared" si="16"/>
        <v>0</v>
      </c>
      <c r="AR17" s="16">
        <f t="shared" si="16"/>
        <v>454967</v>
      </c>
      <c r="AS17" s="16">
        <f t="shared" si="16"/>
        <v>60047</v>
      </c>
      <c r="AT17" s="16">
        <f t="shared" si="16"/>
        <v>0</v>
      </c>
      <c r="AU17" s="16">
        <f t="shared" si="16"/>
        <v>0</v>
      </c>
      <c r="AV17" s="16">
        <f t="shared" si="16"/>
        <v>0</v>
      </c>
      <c r="AW17" s="16">
        <f t="shared" si="16"/>
        <v>93469</v>
      </c>
      <c r="AX17" s="16">
        <f t="shared" si="16"/>
        <v>0</v>
      </c>
      <c r="AY17" s="16">
        <f t="shared" si="16"/>
        <v>0</v>
      </c>
      <c r="AZ17" s="16">
        <f t="shared" si="16"/>
        <v>480301</v>
      </c>
      <c r="BA17" s="16">
        <f t="shared" si="16"/>
        <v>546746</v>
      </c>
      <c r="BB17" s="16">
        <f t="shared" si="16"/>
        <v>0</v>
      </c>
      <c r="BC17" s="16">
        <f t="shared" si="16"/>
        <v>0</v>
      </c>
      <c r="BD17" s="16">
        <f t="shared" si="16"/>
        <v>0</v>
      </c>
      <c r="BE17" s="16">
        <f t="shared" si="16"/>
        <v>0</v>
      </c>
      <c r="BF17" s="16">
        <f t="shared" si="16"/>
        <v>0</v>
      </c>
      <c r="BG17" s="16">
        <f t="shared" si="16"/>
        <v>0</v>
      </c>
      <c r="BH17" s="16">
        <f t="shared" si="16"/>
        <v>0</v>
      </c>
      <c r="BI17" s="16">
        <f t="shared" si="16"/>
        <v>0</v>
      </c>
      <c r="BJ17" s="16">
        <f t="shared" si="16"/>
        <v>0</v>
      </c>
      <c r="BK17" s="16">
        <f t="shared" si="16"/>
        <v>0</v>
      </c>
      <c r="BL17" s="16">
        <f t="shared" si="16"/>
        <v>0</v>
      </c>
      <c r="BM17" s="16">
        <f t="shared" si="16"/>
        <v>546746</v>
      </c>
      <c r="BN17" s="16">
        <f t="shared" si="16"/>
        <v>0</v>
      </c>
      <c r="BO17" s="16">
        <f t="shared" si="16"/>
        <v>0</v>
      </c>
      <c r="BP17" s="16">
        <f t="shared" si="16"/>
        <v>0</v>
      </c>
      <c r="BQ17" s="16">
        <f t="shared" si="16"/>
        <v>0</v>
      </c>
      <c r="BR17" s="16">
        <f t="shared" si="16"/>
        <v>0</v>
      </c>
      <c r="BS17" s="16">
        <f t="shared" si="16"/>
        <v>0</v>
      </c>
      <c r="BT17" s="16">
        <f t="shared" ref="BT17:CW17" si="17">SUM(BT18:BT33)</f>
        <v>0</v>
      </c>
      <c r="BU17" s="16">
        <f t="shared" si="17"/>
        <v>0</v>
      </c>
      <c r="BV17" s="16">
        <f t="shared" si="17"/>
        <v>0</v>
      </c>
      <c r="BW17" s="16">
        <f t="shared" si="17"/>
        <v>546746</v>
      </c>
      <c r="BX17" s="16">
        <f t="shared" si="17"/>
        <v>0</v>
      </c>
      <c r="BY17" s="16">
        <f t="shared" si="17"/>
        <v>5247835</v>
      </c>
      <c r="BZ17" s="16">
        <f t="shared" si="17"/>
        <v>5247835</v>
      </c>
      <c r="CA17" s="16">
        <f t="shared" si="17"/>
        <v>1287835</v>
      </c>
      <c r="CB17" s="16">
        <f t="shared" si="17"/>
        <v>0</v>
      </c>
      <c r="CC17" s="16">
        <f t="shared" si="17"/>
        <v>1287835</v>
      </c>
      <c r="CD17" s="16">
        <f t="shared" si="17"/>
        <v>3960000</v>
      </c>
      <c r="CE17" s="16">
        <f t="shared" si="17"/>
        <v>0</v>
      </c>
      <c r="CF17" s="16">
        <f>SUM(CF18:CF33)</f>
        <v>0</v>
      </c>
      <c r="CG17" s="16">
        <f t="shared" si="17"/>
        <v>0</v>
      </c>
      <c r="CH17" s="16">
        <f t="shared" si="17"/>
        <v>3960000</v>
      </c>
      <c r="CI17" s="16">
        <f t="shared" si="17"/>
        <v>0</v>
      </c>
      <c r="CJ17" s="16">
        <f t="shared" si="17"/>
        <v>0</v>
      </c>
      <c r="CK17" s="16">
        <f t="shared" si="17"/>
        <v>0</v>
      </c>
      <c r="CL17" s="16">
        <f t="shared" si="17"/>
        <v>0</v>
      </c>
      <c r="CM17" s="16">
        <f>SUM(CM18:CM33)</f>
        <v>0</v>
      </c>
      <c r="CN17" s="16">
        <f t="shared" si="17"/>
        <v>0</v>
      </c>
      <c r="CO17" s="16">
        <f t="shared" si="17"/>
        <v>0</v>
      </c>
      <c r="CP17" s="16">
        <f t="shared" si="17"/>
        <v>0</v>
      </c>
      <c r="CQ17" s="16">
        <f t="shared" si="17"/>
        <v>0</v>
      </c>
      <c r="CR17" s="16">
        <f t="shared" si="17"/>
        <v>0</v>
      </c>
      <c r="CS17" s="16">
        <f t="shared" si="17"/>
        <v>0</v>
      </c>
      <c r="CT17" s="16">
        <f t="shared" si="17"/>
        <v>0</v>
      </c>
      <c r="CU17" s="16">
        <f t="shared" si="17"/>
        <v>0</v>
      </c>
      <c r="CV17" s="16">
        <f t="shared" si="17"/>
        <v>0</v>
      </c>
      <c r="CW17" s="17">
        <f t="shared" si="17"/>
        <v>0</v>
      </c>
      <c r="CX17" s="40"/>
    </row>
    <row r="18" spans="1:102" ht="31.5" hidden="1" x14ac:dyDescent="0.25">
      <c r="A18" s="13" t="s">
        <v>1</v>
      </c>
      <c r="B18" s="14" t="s">
        <v>1</v>
      </c>
      <c r="C18" s="14" t="s">
        <v>17</v>
      </c>
      <c r="D18" s="30" t="s">
        <v>18</v>
      </c>
      <c r="E18" s="15">
        <f t="shared" ref="E18:E33" si="18">SUM(F18+BY18+CT18)</f>
        <v>15171431</v>
      </c>
      <c r="F18" s="16">
        <f t="shared" ref="F18:F33" si="19">SUM(G18+BA18)</f>
        <v>14961919</v>
      </c>
      <c r="G18" s="16">
        <f t="shared" ref="G18:G33" si="20">SUM(H18+I18+J18+Q18+T18+U18+V18+AE18)</f>
        <v>14937381</v>
      </c>
      <c r="H18" s="16">
        <f>10618629-40230</f>
        <v>10578399</v>
      </c>
      <c r="I18" s="16">
        <f>2500339-10058</f>
        <v>2490281</v>
      </c>
      <c r="J18" s="16">
        <f t="shared" si="4"/>
        <v>686643</v>
      </c>
      <c r="K18" s="16">
        <v>0</v>
      </c>
      <c r="L18" s="16">
        <v>0</v>
      </c>
      <c r="M18" s="16">
        <v>0</v>
      </c>
      <c r="N18" s="16">
        <v>0</v>
      </c>
      <c r="O18" s="16">
        <v>567038</v>
      </c>
      <c r="P18" s="16">
        <f>121755-2150</f>
        <v>119605</v>
      </c>
      <c r="Q18" s="16">
        <f t="shared" si="5"/>
        <v>129260</v>
      </c>
      <c r="R18" s="16">
        <v>0</v>
      </c>
      <c r="S18" s="16">
        <v>129260</v>
      </c>
      <c r="T18" s="16">
        <v>0</v>
      </c>
      <c r="U18" s="16">
        <v>358366</v>
      </c>
      <c r="V18" s="16">
        <f t="shared" ref="V18:V33" si="21">SUM(W18:AD18)</f>
        <v>200188</v>
      </c>
      <c r="W18" s="16">
        <v>9330</v>
      </c>
      <c r="X18" s="16">
        <v>48559</v>
      </c>
      <c r="Y18" s="16">
        <v>110760</v>
      </c>
      <c r="Z18" s="16">
        <v>9104</v>
      </c>
      <c r="AA18" s="16">
        <v>12913</v>
      </c>
      <c r="AB18" s="16">
        <v>0</v>
      </c>
      <c r="AC18" s="16">
        <v>0</v>
      </c>
      <c r="AD18" s="16">
        <v>9522</v>
      </c>
      <c r="AE18" s="16">
        <f t="shared" ref="AE18:AE33" si="22">SUM(AF18:AZ18)</f>
        <v>494244</v>
      </c>
      <c r="AF18" s="16">
        <v>0</v>
      </c>
      <c r="AG18" s="16">
        <v>21659</v>
      </c>
      <c r="AH18" s="16">
        <v>20105</v>
      </c>
      <c r="AI18" s="16">
        <v>0</v>
      </c>
      <c r="AJ18" s="16">
        <v>1591</v>
      </c>
      <c r="AK18" s="16">
        <v>0</v>
      </c>
      <c r="AL18" s="16">
        <v>53093</v>
      </c>
      <c r="AM18" s="16">
        <v>45000</v>
      </c>
      <c r="AN18" s="16">
        <v>45674</v>
      </c>
      <c r="AO18" s="16">
        <v>0</v>
      </c>
      <c r="AP18" s="16">
        <v>0</v>
      </c>
      <c r="AQ18" s="16">
        <v>0</v>
      </c>
      <c r="AR18" s="16">
        <v>182054</v>
      </c>
      <c r="AS18" s="16">
        <v>10600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f>114611-143</f>
        <v>114468</v>
      </c>
      <c r="BA18" s="16">
        <f t="shared" ref="BA18:BA33" si="23">SUM(BB18+BF18+BI18+BK18+BM18)</f>
        <v>24538</v>
      </c>
      <c r="BB18" s="16">
        <f t="shared" ref="BB18:BB33" si="24">SUM(BC18:BE18)</f>
        <v>0</v>
      </c>
      <c r="BC18" s="16">
        <v>0</v>
      </c>
      <c r="BD18" s="16">
        <v>0</v>
      </c>
      <c r="BE18" s="16">
        <v>0</v>
      </c>
      <c r="BF18" s="16">
        <f t="shared" si="6"/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f t="shared" si="7"/>
        <v>0</v>
      </c>
      <c r="BL18" s="16">
        <v>0</v>
      </c>
      <c r="BM18" s="16">
        <f t="shared" si="8"/>
        <v>24538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24538</v>
      </c>
      <c r="BX18" s="16">
        <v>0</v>
      </c>
      <c r="BY18" s="16">
        <f t="shared" ref="BY18:BY33" si="25">SUM(BZ18+CS18)</f>
        <v>209512</v>
      </c>
      <c r="BZ18" s="16">
        <f t="shared" ref="BZ18:BZ33" si="26">SUM(CA18+CD18+CK18)</f>
        <v>209512</v>
      </c>
      <c r="CA18" s="16">
        <f t="shared" si="9"/>
        <v>209512</v>
      </c>
      <c r="CB18" s="16">
        <v>0</v>
      </c>
      <c r="CC18" s="16">
        <f>212373-2861</f>
        <v>209512</v>
      </c>
      <c r="CD18" s="16">
        <f t="shared" si="10"/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f t="shared" si="11"/>
        <v>0</v>
      </c>
      <c r="CL18" s="16">
        <v>0</v>
      </c>
      <c r="CM18" s="16">
        <v>0</v>
      </c>
      <c r="CN18" s="16">
        <v>0</v>
      </c>
      <c r="CO18" s="16">
        <v>0</v>
      </c>
      <c r="CP18" s="16">
        <v>0</v>
      </c>
      <c r="CQ18" s="16">
        <v>0</v>
      </c>
      <c r="CR18" s="16">
        <v>0</v>
      </c>
      <c r="CS18" s="16">
        <v>0</v>
      </c>
      <c r="CT18" s="16">
        <f t="shared" si="12"/>
        <v>0</v>
      </c>
      <c r="CU18" s="16">
        <f t="shared" si="13"/>
        <v>0</v>
      </c>
      <c r="CV18" s="16">
        <v>0</v>
      </c>
      <c r="CW18" s="17">
        <v>0</v>
      </c>
      <c r="CX18" s="40"/>
    </row>
    <row r="19" spans="1:102" ht="31.5" hidden="1" x14ac:dyDescent="0.25">
      <c r="A19" s="13" t="s">
        <v>1</v>
      </c>
      <c r="B19" s="14" t="s">
        <v>1</v>
      </c>
      <c r="C19" s="14" t="s">
        <v>19</v>
      </c>
      <c r="D19" s="30" t="s">
        <v>20</v>
      </c>
      <c r="E19" s="15">
        <f t="shared" si="18"/>
        <v>5914007</v>
      </c>
      <c r="F19" s="16">
        <f t="shared" si="19"/>
        <v>5831189</v>
      </c>
      <c r="G19" s="16">
        <f t="shared" si="20"/>
        <v>5823904</v>
      </c>
      <c r="H19" s="16">
        <v>4140900</v>
      </c>
      <c r="I19" s="16">
        <v>1035760</v>
      </c>
      <c r="J19" s="16">
        <f t="shared" si="4"/>
        <v>176297</v>
      </c>
      <c r="K19" s="16">
        <v>0</v>
      </c>
      <c r="L19" s="16">
        <v>0</v>
      </c>
      <c r="M19" s="16">
        <v>0</v>
      </c>
      <c r="N19" s="16">
        <v>0</v>
      </c>
      <c r="O19" s="16">
        <v>124124</v>
      </c>
      <c r="P19" s="16">
        <f>52173</f>
        <v>52173</v>
      </c>
      <c r="Q19" s="16">
        <f t="shared" si="5"/>
        <v>45926</v>
      </c>
      <c r="R19" s="16">
        <v>0</v>
      </c>
      <c r="S19" s="16">
        <v>45926</v>
      </c>
      <c r="T19" s="16">
        <v>0</v>
      </c>
      <c r="U19" s="16">
        <v>144803</v>
      </c>
      <c r="V19" s="16">
        <f t="shared" si="21"/>
        <v>23778</v>
      </c>
      <c r="W19" s="16">
        <v>0</v>
      </c>
      <c r="X19" s="16">
        <v>10648</v>
      </c>
      <c r="Y19" s="16">
        <v>9433</v>
      </c>
      <c r="Z19" s="16">
        <v>1338</v>
      </c>
      <c r="AA19" s="16">
        <v>2359</v>
      </c>
      <c r="AB19" s="16">
        <v>0</v>
      </c>
      <c r="AC19" s="16">
        <v>0</v>
      </c>
      <c r="AD19" s="16">
        <v>0</v>
      </c>
      <c r="AE19" s="16">
        <f t="shared" si="22"/>
        <v>256440</v>
      </c>
      <c r="AF19" s="16">
        <v>0</v>
      </c>
      <c r="AG19" s="16">
        <v>1877</v>
      </c>
      <c r="AH19" s="16">
        <v>4919</v>
      </c>
      <c r="AI19" s="16">
        <v>0</v>
      </c>
      <c r="AJ19" s="16">
        <v>9925</v>
      </c>
      <c r="AK19" s="16">
        <v>0</v>
      </c>
      <c r="AL19" s="16">
        <v>41409</v>
      </c>
      <c r="AM19" s="16">
        <v>11782</v>
      </c>
      <c r="AN19" s="16">
        <v>14550</v>
      </c>
      <c r="AO19" s="16">
        <v>113362</v>
      </c>
      <c r="AP19" s="16"/>
      <c r="AQ19" s="16">
        <v>0</v>
      </c>
      <c r="AR19" s="16">
        <v>30733</v>
      </c>
      <c r="AS19" s="16">
        <v>24000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/>
      <c r="AZ19" s="16">
        <f>3883</f>
        <v>3883</v>
      </c>
      <c r="BA19" s="16">
        <f t="shared" si="23"/>
        <v>7285</v>
      </c>
      <c r="BB19" s="16">
        <f t="shared" si="24"/>
        <v>0</v>
      </c>
      <c r="BC19" s="16">
        <v>0</v>
      </c>
      <c r="BD19" s="16">
        <v>0</v>
      </c>
      <c r="BE19" s="16">
        <v>0</v>
      </c>
      <c r="BF19" s="16">
        <f t="shared" si="6"/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f t="shared" si="7"/>
        <v>0</v>
      </c>
      <c r="BL19" s="16">
        <v>0</v>
      </c>
      <c r="BM19" s="16">
        <f t="shared" si="8"/>
        <v>7285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v>0</v>
      </c>
      <c r="BU19" s="16">
        <v>0</v>
      </c>
      <c r="BV19" s="16">
        <v>0</v>
      </c>
      <c r="BW19" s="16">
        <v>7285</v>
      </c>
      <c r="BX19" s="16">
        <v>0</v>
      </c>
      <c r="BY19" s="16">
        <f t="shared" si="25"/>
        <v>82818</v>
      </c>
      <c r="BZ19" s="16">
        <f t="shared" si="26"/>
        <v>82818</v>
      </c>
      <c r="CA19" s="16">
        <f t="shared" si="9"/>
        <v>82818</v>
      </c>
      <c r="CB19" s="16">
        <v>0</v>
      </c>
      <c r="CC19" s="16">
        <f>82818</f>
        <v>82818</v>
      </c>
      <c r="CD19" s="16">
        <f t="shared" si="10"/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16">
        <f t="shared" si="11"/>
        <v>0</v>
      </c>
      <c r="CL19" s="16">
        <v>0</v>
      </c>
      <c r="CM19" s="16">
        <v>0</v>
      </c>
      <c r="CN19" s="16">
        <v>0</v>
      </c>
      <c r="CO19" s="16">
        <v>0</v>
      </c>
      <c r="CP19" s="16">
        <v>0</v>
      </c>
      <c r="CQ19" s="16"/>
      <c r="CR19" s="16"/>
      <c r="CS19" s="16">
        <v>0</v>
      </c>
      <c r="CT19" s="16">
        <f t="shared" si="12"/>
        <v>0</v>
      </c>
      <c r="CU19" s="16">
        <f t="shared" si="13"/>
        <v>0</v>
      </c>
      <c r="CV19" s="16">
        <v>0</v>
      </c>
      <c r="CW19" s="17">
        <v>0</v>
      </c>
      <c r="CX19" s="40"/>
    </row>
    <row r="20" spans="1:102" ht="18" hidden="1" customHeight="1" x14ac:dyDescent="0.25">
      <c r="A20" s="13" t="s">
        <v>1</v>
      </c>
      <c r="B20" s="14" t="s">
        <v>1</v>
      </c>
      <c r="C20" s="14" t="s">
        <v>21</v>
      </c>
      <c r="D20" s="30" t="s">
        <v>22</v>
      </c>
      <c r="E20" s="15">
        <f t="shared" si="18"/>
        <v>7359591</v>
      </c>
      <c r="F20" s="16">
        <f t="shared" si="19"/>
        <v>7109591</v>
      </c>
      <c r="G20" s="16">
        <f t="shared" si="20"/>
        <v>7103840</v>
      </c>
      <c r="H20" s="16">
        <f>5294006+10000</f>
        <v>5304006</v>
      </c>
      <c r="I20" s="16">
        <v>1256226</v>
      </c>
      <c r="J20" s="16">
        <f t="shared" si="4"/>
        <v>74654</v>
      </c>
      <c r="K20" s="16">
        <v>0</v>
      </c>
      <c r="L20" s="16">
        <v>0</v>
      </c>
      <c r="M20" s="16">
        <v>0</v>
      </c>
      <c r="N20" s="16">
        <v>0</v>
      </c>
      <c r="O20" s="16">
        <v>68809</v>
      </c>
      <c r="P20" s="16">
        <v>5845</v>
      </c>
      <c r="Q20" s="16">
        <f t="shared" si="5"/>
        <v>31830</v>
      </c>
      <c r="R20" s="16">
        <v>0</v>
      </c>
      <c r="S20" s="16">
        <v>31830</v>
      </c>
      <c r="T20" s="16">
        <v>0</v>
      </c>
      <c r="U20" s="16">
        <v>110689</v>
      </c>
      <c r="V20" s="16">
        <f t="shared" si="21"/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f t="shared" si="22"/>
        <v>326435</v>
      </c>
      <c r="AF20" s="16">
        <v>0</v>
      </c>
      <c r="AG20" s="16">
        <v>0</v>
      </c>
      <c r="AH20" s="16">
        <v>11428</v>
      </c>
      <c r="AI20" s="16">
        <v>0</v>
      </c>
      <c r="AJ20" s="16">
        <v>1591</v>
      </c>
      <c r="AK20" s="16">
        <v>0</v>
      </c>
      <c r="AL20" s="16">
        <v>52940</v>
      </c>
      <c r="AM20" s="16">
        <v>0</v>
      </c>
      <c r="AN20" s="16">
        <v>10476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250000</v>
      </c>
      <c r="BA20" s="16">
        <f t="shared" si="23"/>
        <v>5751</v>
      </c>
      <c r="BB20" s="16">
        <f t="shared" si="24"/>
        <v>0</v>
      </c>
      <c r="BC20" s="16">
        <v>0</v>
      </c>
      <c r="BD20" s="16">
        <v>0</v>
      </c>
      <c r="BE20" s="16">
        <v>0</v>
      </c>
      <c r="BF20" s="16">
        <f t="shared" si="6"/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f t="shared" si="7"/>
        <v>0</v>
      </c>
      <c r="BL20" s="16">
        <v>0</v>
      </c>
      <c r="BM20" s="16">
        <f t="shared" si="8"/>
        <v>5751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5751</v>
      </c>
      <c r="BX20" s="16">
        <v>0</v>
      </c>
      <c r="BY20" s="16">
        <f t="shared" si="25"/>
        <v>250000</v>
      </c>
      <c r="BZ20" s="16">
        <f t="shared" si="26"/>
        <v>250000</v>
      </c>
      <c r="CA20" s="16">
        <f t="shared" si="9"/>
        <v>250000</v>
      </c>
      <c r="CB20" s="16">
        <v>0</v>
      </c>
      <c r="CC20" s="16">
        <v>250000</v>
      </c>
      <c r="CD20" s="16">
        <f t="shared" si="10"/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16">
        <f t="shared" si="11"/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v>0</v>
      </c>
      <c r="CR20" s="16">
        <v>0</v>
      </c>
      <c r="CS20" s="16">
        <v>0</v>
      </c>
      <c r="CT20" s="16">
        <f t="shared" si="12"/>
        <v>0</v>
      </c>
      <c r="CU20" s="16">
        <f t="shared" si="13"/>
        <v>0</v>
      </c>
      <c r="CV20" s="16">
        <v>0</v>
      </c>
      <c r="CW20" s="17">
        <v>0</v>
      </c>
      <c r="CX20" s="40"/>
    </row>
    <row r="21" spans="1:102" ht="15.75" hidden="1" x14ac:dyDescent="0.25">
      <c r="A21" s="13" t="s">
        <v>1</v>
      </c>
      <c r="B21" s="14" t="s">
        <v>1</v>
      </c>
      <c r="C21" s="14" t="s">
        <v>23</v>
      </c>
      <c r="D21" s="30" t="s">
        <v>24</v>
      </c>
      <c r="E21" s="15">
        <f t="shared" si="18"/>
        <v>4572204</v>
      </c>
      <c r="F21" s="16">
        <f t="shared" si="19"/>
        <v>4513793</v>
      </c>
      <c r="G21" s="16">
        <f t="shared" si="20"/>
        <v>4509959</v>
      </c>
      <c r="H21" s="16">
        <f>2920544-29959+349824</f>
        <v>3240409</v>
      </c>
      <c r="I21" s="16">
        <f>696986-7106+82971</f>
        <v>772851</v>
      </c>
      <c r="J21" s="16">
        <f t="shared" si="4"/>
        <v>138022</v>
      </c>
      <c r="K21" s="16">
        <v>0</v>
      </c>
      <c r="L21" s="16">
        <v>0</v>
      </c>
      <c r="M21" s="16">
        <v>0</v>
      </c>
      <c r="N21" s="16">
        <v>0</v>
      </c>
      <c r="O21" s="16">
        <f>117440+10218</f>
        <v>127658</v>
      </c>
      <c r="P21" s="16">
        <v>10364</v>
      </c>
      <c r="Q21" s="16">
        <f t="shared" si="5"/>
        <v>50232</v>
      </c>
      <c r="R21" s="16">
        <v>0</v>
      </c>
      <c r="S21" s="16">
        <v>50232</v>
      </c>
      <c r="T21" s="16">
        <v>0</v>
      </c>
      <c r="U21" s="16">
        <f>55073+121700</f>
        <v>176773</v>
      </c>
      <c r="V21" s="16">
        <f t="shared" si="21"/>
        <v>67616</v>
      </c>
      <c r="W21" s="16">
        <v>0</v>
      </c>
      <c r="X21" s="16">
        <v>48800</v>
      </c>
      <c r="Y21" s="16">
        <v>13507</v>
      </c>
      <c r="Z21" s="16">
        <v>2048</v>
      </c>
      <c r="AA21" s="16">
        <v>3261</v>
      </c>
      <c r="AB21" s="16">
        <v>0</v>
      </c>
      <c r="AC21" s="16">
        <v>0</v>
      </c>
      <c r="AD21" s="16">
        <v>0</v>
      </c>
      <c r="AE21" s="16">
        <f t="shared" si="22"/>
        <v>64056</v>
      </c>
      <c r="AF21" s="16">
        <v>0</v>
      </c>
      <c r="AG21" s="16">
        <v>690</v>
      </c>
      <c r="AH21" s="16">
        <v>8680</v>
      </c>
      <c r="AI21" s="16">
        <v>0</v>
      </c>
      <c r="AJ21" s="16">
        <v>1591</v>
      </c>
      <c r="AK21" s="16">
        <v>0</v>
      </c>
      <c r="AL21" s="16">
        <f>29205-29205</f>
        <v>0</v>
      </c>
      <c r="AM21" s="16">
        <v>0</v>
      </c>
      <c r="AN21" s="16">
        <v>13386</v>
      </c>
      <c r="AO21" s="16">
        <v>0</v>
      </c>
      <c r="AP21" s="16">
        <v>0</v>
      </c>
      <c r="AQ21" s="16">
        <v>0</v>
      </c>
      <c r="AR21" s="16">
        <f>0+18617</f>
        <v>18617</v>
      </c>
      <c r="AS21" s="16">
        <f>0+18987</f>
        <v>18987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2105</v>
      </c>
      <c r="BA21" s="16">
        <f t="shared" si="23"/>
        <v>3834</v>
      </c>
      <c r="BB21" s="16">
        <f t="shared" si="24"/>
        <v>0</v>
      </c>
      <c r="BC21" s="16">
        <v>0</v>
      </c>
      <c r="BD21" s="16">
        <v>0</v>
      </c>
      <c r="BE21" s="16">
        <v>0</v>
      </c>
      <c r="BF21" s="16">
        <f t="shared" si="6"/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f t="shared" si="7"/>
        <v>0</v>
      </c>
      <c r="BL21" s="16">
        <v>0</v>
      </c>
      <c r="BM21" s="16">
        <f t="shared" si="8"/>
        <v>3834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3834</v>
      </c>
      <c r="BX21" s="16">
        <v>0</v>
      </c>
      <c r="BY21" s="16">
        <f t="shared" si="25"/>
        <v>58411</v>
      </c>
      <c r="BZ21" s="16">
        <f t="shared" si="26"/>
        <v>58411</v>
      </c>
      <c r="CA21" s="16">
        <f t="shared" si="9"/>
        <v>58411</v>
      </c>
      <c r="CB21" s="16">
        <v>0</v>
      </c>
      <c r="CC21" s="16">
        <v>58411</v>
      </c>
      <c r="CD21" s="16">
        <f t="shared" si="10"/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16">
        <f t="shared" si="11"/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6">
        <v>0</v>
      </c>
      <c r="CT21" s="16">
        <f t="shared" si="12"/>
        <v>0</v>
      </c>
      <c r="CU21" s="16">
        <f t="shared" si="13"/>
        <v>0</v>
      </c>
      <c r="CV21" s="16">
        <v>0</v>
      </c>
      <c r="CW21" s="17">
        <v>0</v>
      </c>
      <c r="CX21" s="40"/>
    </row>
    <row r="22" spans="1:102" ht="15.75" hidden="1" x14ac:dyDescent="0.25">
      <c r="A22" s="13" t="s">
        <v>1</v>
      </c>
      <c r="B22" s="14" t="s">
        <v>1</v>
      </c>
      <c r="C22" s="14" t="s">
        <v>25</v>
      </c>
      <c r="D22" s="30" t="s">
        <v>26</v>
      </c>
      <c r="E22" s="15">
        <f t="shared" si="18"/>
        <v>5063393</v>
      </c>
      <c r="F22" s="16">
        <f t="shared" si="19"/>
        <v>4983536</v>
      </c>
      <c r="G22" s="16">
        <f t="shared" si="20"/>
        <v>4976251</v>
      </c>
      <c r="H22" s="16">
        <v>3634112</v>
      </c>
      <c r="I22" s="16">
        <v>746860</v>
      </c>
      <c r="J22" s="16">
        <f t="shared" si="4"/>
        <v>250153</v>
      </c>
      <c r="K22" s="16">
        <v>0</v>
      </c>
      <c r="L22" s="16">
        <v>18838</v>
      </c>
      <c r="M22" s="16">
        <v>0</v>
      </c>
      <c r="N22" s="16">
        <v>0</v>
      </c>
      <c r="O22" s="16">
        <v>177504</v>
      </c>
      <c r="P22" s="16">
        <v>53811</v>
      </c>
      <c r="Q22" s="16">
        <f t="shared" si="5"/>
        <v>9295</v>
      </c>
      <c r="R22" s="16">
        <v>0</v>
      </c>
      <c r="S22" s="16">
        <v>9295</v>
      </c>
      <c r="T22" s="16">
        <v>0</v>
      </c>
      <c r="U22" s="16">
        <v>178501</v>
      </c>
      <c r="V22" s="16">
        <f t="shared" si="21"/>
        <v>46577</v>
      </c>
      <c r="W22" s="16">
        <v>6178</v>
      </c>
      <c r="X22" s="16">
        <v>11405</v>
      </c>
      <c r="Y22" s="16">
        <v>20174</v>
      </c>
      <c r="Z22" s="16">
        <v>4074</v>
      </c>
      <c r="AA22" s="16">
        <v>2508</v>
      </c>
      <c r="AB22" s="16">
        <v>0</v>
      </c>
      <c r="AC22" s="16">
        <v>0</v>
      </c>
      <c r="AD22" s="16">
        <v>2238</v>
      </c>
      <c r="AE22" s="16">
        <f t="shared" si="22"/>
        <v>110753</v>
      </c>
      <c r="AF22" s="16">
        <v>0</v>
      </c>
      <c r="AG22" s="16">
        <v>7411</v>
      </c>
      <c r="AH22" s="16">
        <v>13849</v>
      </c>
      <c r="AI22" s="16">
        <v>0</v>
      </c>
      <c r="AJ22" s="16">
        <v>1591</v>
      </c>
      <c r="AK22" s="16">
        <v>0</v>
      </c>
      <c r="AL22" s="16">
        <v>39929</v>
      </c>
      <c r="AM22" s="16">
        <v>5405</v>
      </c>
      <c r="AN22" s="16">
        <v>25026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17542</v>
      </c>
      <c r="BA22" s="16">
        <f t="shared" si="23"/>
        <v>7285</v>
      </c>
      <c r="BB22" s="16">
        <f t="shared" si="24"/>
        <v>0</v>
      </c>
      <c r="BC22" s="16">
        <v>0</v>
      </c>
      <c r="BD22" s="16">
        <v>0</v>
      </c>
      <c r="BE22" s="16">
        <v>0</v>
      </c>
      <c r="BF22" s="16">
        <f t="shared" si="6"/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f t="shared" si="7"/>
        <v>0</v>
      </c>
      <c r="BL22" s="16">
        <v>0</v>
      </c>
      <c r="BM22" s="16">
        <f t="shared" si="8"/>
        <v>7285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7285</v>
      </c>
      <c r="BX22" s="16">
        <v>0</v>
      </c>
      <c r="BY22" s="16">
        <f t="shared" si="25"/>
        <v>79857</v>
      </c>
      <c r="BZ22" s="16">
        <f t="shared" si="26"/>
        <v>79857</v>
      </c>
      <c r="CA22" s="16">
        <f t="shared" si="9"/>
        <v>79857</v>
      </c>
      <c r="CB22" s="16">
        <v>0</v>
      </c>
      <c r="CC22" s="16">
        <v>79857</v>
      </c>
      <c r="CD22" s="16">
        <f t="shared" si="10"/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f t="shared" si="11"/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f t="shared" si="12"/>
        <v>0</v>
      </c>
      <c r="CU22" s="16">
        <f t="shared" si="13"/>
        <v>0</v>
      </c>
      <c r="CV22" s="16">
        <v>0</v>
      </c>
      <c r="CW22" s="17">
        <v>0</v>
      </c>
      <c r="CX22" s="40"/>
    </row>
    <row r="23" spans="1:102" ht="21.75" hidden="1" customHeight="1" x14ac:dyDescent="0.25">
      <c r="A23" s="13" t="s">
        <v>1</v>
      </c>
      <c r="B23" s="14" t="s">
        <v>1</v>
      </c>
      <c r="C23" s="14" t="s">
        <v>27</v>
      </c>
      <c r="D23" s="30" t="s">
        <v>28</v>
      </c>
      <c r="E23" s="15">
        <f t="shared" si="18"/>
        <v>6700861</v>
      </c>
      <c r="F23" s="16">
        <f t="shared" si="19"/>
        <v>6626590</v>
      </c>
      <c r="G23" s="16">
        <f t="shared" si="20"/>
        <v>6365065</v>
      </c>
      <c r="H23" s="16">
        <v>3929040</v>
      </c>
      <c r="I23" s="16">
        <v>954496</v>
      </c>
      <c r="J23" s="16">
        <f t="shared" si="4"/>
        <v>246562</v>
      </c>
      <c r="K23" s="16">
        <v>0</v>
      </c>
      <c r="L23" s="16">
        <v>3836</v>
      </c>
      <c r="M23" s="16">
        <v>0</v>
      </c>
      <c r="N23" s="16">
        <v>0</v>
      </c>
      <c r="O23" s="16">
        <v>206852</v>
      </c>
      <c r="P23" s="16">
        <v>35874</v>
      </c>
      <c r="Q23" s="16">
        <f t="shared" si="5"/>
        <v>649674</v>
      </c>
      <c r="R23" s="16">
        <v>0</v>
      </c>
      <c r="S23" s="16">
        <v>649674</v>
      </c>
      <c r="T23" s="16">
        <v>0</v>
      </c>
      <c r="U23" s="16">
        <v>132675</v>
      </c>
      <c r="V23" s="16">
        <f t="shared" si="21"/>
        <v>64255</v>
      </c>
      <c r="W23" s="16">
        <v>43045</v>
      </c>
      <c r="X23" s="16">
        <v>0</v>
      </c>
      <c r="Y23" s="16">
        <v>11866</v>
      </c>
      <c r="Z23" s="16">
        <v>1603</v>
      </c>
      <c r="AA23" s="16">
        <v>4786</v>
      </c>
      <c r="AB23" s="16">
        <v>0</v>
      </c>
      <c r="AC23" s="16">
        <v>0</v>
      </c>
      <c r="AD23" s="16">
        <v>2955</v>
      </c>
      <c r="AE23" s="16">
        <f t="shared" si="22"/>
        <v>388363</v>
      </c>
      <c r="AF23" s="16">
        <v>0</v>
      </c>
      <c r="AG23" s="16">
        <v>4077</v>
      </c>
      <c r="AH23" s="16">
        <v>9036</v>
      </c>
      <c r="AI23" s="16">
        <v>0</v>
      </c>
      <c r="AJ23" s="16">
        <v>1625</v>
      </c>
      <c r="AK23" s="16">
        <v>0</v>
      </c>
      <c r="AL23" s="16">
        <v>39290</v>
      </c>
      <c r="AM23" s="16">
        <v>112000</v>
      </c>
      <c r="AN23" s="16">
        <v>191752</v>
      </c>
      <c r="AO23" s="16">
        <v>0</v>
      </c>
      <c r="AP23" s="16">
        <v>0</v>
      </c>
      <c r="AQ23" s="16">
        <v>0</v>
      </c>
      <c r="AR23" s="16">
        <v>8910</v>
      </c>
      <c r="AS23" s="16">
        <v>2220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19453</v>
      </c>
      <c r="BA23" s="16">
        <f t="shared" si="23"/>
        <v>261525</v>
      </c>
      <c r="BB23" s="16">
        <f t="shared" si="24"/>
        <v>0</v>
      </c>
      <c r="BC23" s="16">
        <v>0</v>
      </c>
      <c r="BD23" s="16">
        <v>0</v>
      </c>
      <c r="BE23" s="16">
        <v>0</v>
      </c>
      <c r="BF23" s="16">
        <f t="shared" si="6"/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f t="shared" si="7"/>
        <v>0</v>
      </c>
      <c r="BL23" s="16">
        <v>0</v>
      </c>
      <c r="BM23" s="16">
        <f t="shared" si="8"/>
        <v>261525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261525</v>
      </c>
      <c r="BX23" s="16">
        <v>0</v>
      </c>
      <c r="BY23" s="16">
        <f t="shared" si="25"/>
        <v>74271</v>
      </c>
      <c r="BZ23" s="16">
        <f t="shared" si="26"/>
        <v>74271</v>
      </c>
      <c r="CA23" s="16">
        <f t="shared" si="9"/>
        <v>74271</v>
      </c>
      <c r="CB23" s="16">
        <v>0</v>
      </c>
      <c r="CC23" s="16">
        <v>74271</v>
      </c>
      <c r="CD23" s="16">
        <f t="shared" si="10"/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16">
        <f t="shared" si="11"/>
        <v>0</v>
      </c>
      <c r="CL23" s="16">
        <v>0</v>
      </c>
      <c r="CM23" s="16">
        <v>0</v>
      </c>
      <c r="CN23" s="16">
        <v>0</v>
      </c>
      <c r="CO23" s="16">
        <v>0</v>
      </c>
      <c r="CP23" s="16">
        <v>0</v>
      </c>
      <c r="CQ23" s="16">
        <v>0</v>
      </c>
      <c r="CR23" s="16">
        <v>0</v>
      </c>
      <c r="CS23" s="16">
        <v>0</v>
      </c>
      <c r="CT23" s="16">
        <f t="shared" si="12"/>
        <v>0</v>
      </c>
      <c r="CU23" s="16">
        <f t="shared" si="13"/>
        <v>0</v>
      </c>
      <c r="CV23" s="16">
        <v>0</v>
      </c>
      <c r="CW23" s="17">
        <v>0</v>
      </c>
      <c r="CX23" s="40"/>
    </row>
    <row r="24" spans="1:102" ht="31.5" hidden="1" x14ac:dyDescent="0.25">
      <c r="A24" s="13" t="s">
        <v>1</v>
      </c>
      <c r="B24" s="14" t="s">
        <v>1</v>
      </c>
      <c r="C24" s="14" t="s">
        <v>29</v>
      </c>
      <c r="D24" s="30" t="s">
        <v>30</v>
      </c>
      <c r="E24" s="15">
        <f t="shared" si="18"/>
        <v>8908972</v>
      </c>
      <c r="F24" s="16">
        <f t="shared" si="19"/>
        <v>8780110</v>
      </c>
      <c r="G24" s="16">
        <f t="shared" si="20"/>
        <v>8772825</v>
      </c>
      <c r="H24" s="16">
        <v>6443099</v>
      </c>
      <c r="I24" s="16">
        <v>1537621</v>
      </c>
      <c r="J24" s="16">
        <f t="shared" si="4"/>
        <v>433608</v>
      </c>
      <c r="K24" s="16">
        <v>0</v>
      </c>
      <c r="L24" s="16">
        <v>0</v>
      </c>
      <c r="M24" s="16">
        <v>0</v>
      </c>
      <c r="N24" s="16">
        <v>0</v>
      </c>
      <c r="O24" s="16">
        <v>293511</v>
      </c>
      <c r="P24" s="16">
        <v>140097</v>
      </c>
      <c r="Q24" s="16">
        <f t="shared" si="5"/>
        <v>93575</v>
      </c>
      <c r="R24" s="16">
        <v>752</v>
      </c>
      <c r="S24" s="16">
        <v>92823</v>
      </c>
      <c r="T24" s="16">
        <v>0</v>
      </c>
      <c r="U24" s="16">
        <v>49950</v>
      </c>
      <c r="V24" s="16">
        <f t="shared" si="21"/>
        <v>93832</v>
      </c>
      <c r="W24" s="16">
        <v>0</v>
      </c>
      <c r="X24" s="16">
        <v>62908</v>
      </c>
      <c r="Y24" s="16">
        <v>20212</v>
      </c>
      <c r="Z24" s="16">
        <v>4190</v>
      </c>
      <c r="AA24" s="16">
        <v>6522</v>
      </c>
      <c r="AB24" s="16">
        <v>0</v>
      </c>
      <c r="AC24" s="16">
        <v>0</v>
      </c>
      <c r="AD24" s="16">
        <v>0</v>
      </c>
      <c r="AE24" s="16">
        <f t="shared" si="22"/>
        <v>121140</v>
      </c>
      <c r="AF24" s="16">
        <v>0</v>
      </c>
      <c r="AG24" s="16">
        <v>20000</v>
      </c>
      <c r="AH24" s="16">
        <v>17568</v>
      </c>
      <c r="AI24" s="16">
        <v>0</v>
      </c>
      <c r="AJ24" s="16">
        <v>1591</v>
      </c>
      <c r="AK24" s="16">
        <v>0</v>
      </c>
      <c r="AL24" s="16">
        <v>64431</v>
      </c>
      <c r="AM24" s="16">
        <v>0</v>
      </c>
      <c r="AN24" s="16">
        <v>14550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3000</v>
      </c>
      <c r="BA24" s="16">
        <f t="shared" si="23"/>
        <v>7285</v>
      </c>
      <c r="BB24" s="16">
        <f t="shared" si="24"/>
        <v>0</v>
      </c>
      <c r="BC24" s="16">
        <v>0</v>
      </c>
      <c r="BD24" s="16">
        <v>0</v>
      </c>
      <c r="BE24" s="16">
        <v>0</v>
      </c>
      <c r="BF24" s="16">
        <f t="shared" si="6"/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f t="shared" si="7"/>
        <v>0</v>
      </c>
      <c r="BL24" s="16">
        <v>0</v>
      </c>
      <c r="BM24" s="16">
        <f t="shared" si="8"/>
        <v>7285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7285</v>
      </c>
      <c r="BX24" s="16">
        <v>0</v>
      </c>
      <c r="BY24" s="16">
        <f t="shared" si="25"/>
        <v>128862</v>
      </c>
      <c r="BZ24" s="16">
        <f t="shared" si="26"/>
        <v>128862</v>
      </c>
      <c r="CA24" s="16">
        <f t="shared" si="9"/>
        <v>128862</v>
      </c>
      <c r="CB24" s="16">
        <v>0</v>
      </c>
      <c r="CC24" s="16">
        <v>128862</v>
      </c>
      <c r="CD24" s="16">
        <f t="shared" si="10"/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f t="shared" si="11"/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f t="shared" si="12"/>
        <v>0</v>
      </c>
      <c r="CU24" s="16">
        <f t="shared" si="13"/>
        <v>0</v>
      </c>
      <c r="CV24" s="16">
        <v>0</v>
      </c>
      <c r="CW24" s="17">
        <v>0</v>
      </c>
      <c r="CX24" s="40"/>
    </row>
    <row r="25" spans="1:102" ht="15.75" hidden="1" x14ac:dyDescent="0.25">
      <c r="A25" s="13" t="s">
        <v>1</v>
      </c>
      <c r="B25" s="14" t="s">
        <v>1</v>
      </c>
      <c r="C25" s="14" t="s">
        <v>31</v>
      </c>
      <c r="D25" s="30" t="s">
        <v>32</v>
      </c>
      <c r="E25" s="15">
        <f t="shared" si="18"/>
        <v>1176958</v>
      </c>
      <c r="F25" s="16">
        <f t="shared" si="19"/>
        <v>1158528</v>
      </c>
      <c r="G25" s="16">
        <f t="shared" si="20"/>
        <v>1153927</v>
      </c>
      <c r="H25" s="16">
        <v>862618</v>
      </c>
      <c r="I25" s="16">
        <v>203349</v>
      </c>
      <c r="J25" s="16">
        <f t="shared" si="4"/>
        <v>45964</v>
      </c>
      <c r="K25" s="16">
        <v>0</v>
      </c>
      <c r="L25" s="16">
        <v>0</v>
      </c>
      <c r="M25" s="16">
        <v>0</v>
      </c>
      <c r="N25" s="16">
        <v>0</v>
      </c>
      <c r="O25" s="16">
        <v>12540</v>
      </c>
      <c r="P25" s="16">
        <v>33424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17067</v>
      </c>
      <c r="V25" s="16">
        <f t="shared" si="21"/>
        <v>5093</v>
      </c>
      <c r="W25" s="16">
        <v>0</v>
      </c>
      <c r="X25" s="16">
        <v>2794</v>
      </c>
      <c r="Y25" s="16">
        <v>1876</v>
      </c>
      <c r="Z25" s="16">
        <v>423</v>
      </c>
      <c r="AA25" s="16">
        <v>0</v>
      </c>
      <c r="AB25" s="16">
        <v>0</v>
      </c>
      <c r="AC25" s="16">
        <v>0</v>
      </c>
      <c r="AD25" s="16">
        <v>0</v>
      </c>
      <c r="AE25" s="16">
        <f t="shared" si="22"/>
        <v>19836</v>
      </c>
      <c r="AF25" s="16">
        <v>0</v>
      </c>
      <c r="AG25" s="16">
        <v>106</v>
      </c>
      <c r="AH25" s="16">
        <v>0</v>
      </c>
      <c r="AI25" s="16">
        <v>0</v>
      </c>
      <c r="AJ25" s="16">
        <v>0</v>
      </c>
      <c r="AK25" s="16">
        <v>0</v>
      </c>
      <c r="AL25" s="16">
        <v>9215</v>
      </c>
      <c r="AM25" s="16">
        <v>0</v>
      </c>
      <c r="AN25" s="16">
        <v>9894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621</v>
      </c>
      <c r="BA25" s="16">
        <f t="shared" si="23"/>
        <v>4601</v>
      </c>
      <c r="BB25" s="16">
        <f t="shared" si="24"/>
        <v>0</v>
      </c>
      <c r="BC25" s="16">
        <v>0</v>
      </c>
      <c r="BD25" s="16">
        <v>0</v>
      </c>
      <c r="BE25" s="16">
        <v>0</v>
      </c>
      <c r="BF25" s="16">
        <f t="shared" si="6"/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f t="shared" si="7"/>
        <v>0</v>
      </c>
      <c r="BL25" s="16">
        <v>0</v>
      </c>
      <c r="BM25" s="16">
        <f t="shared" si="8"/>
        <v>4601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4601</v>
      </c>
      <c r="BX25" s="16">
        <v>0</v>
      </c>
      <c r="BY25" s="16">
        <f t="shared" si="25"/>
        <v>18430</v>
      </c>
      <c r="BZ25" s="16">
        <f t="shared" si="26"/>
        <v>18430</v>
      </c>
      <c r="CA25" s="16">
        <f t="shared" si="9"/>
        <v>18430</v>
      </c>
      <c r="CB25" s="16">
        <v>0</v>
      </c>
      <c r="CC25" s="16">
        <v>18430</v>
      </c>
      <c r="CD25" s="16">
        <f t="shared" si="10"/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f t="shared" si="11"/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>
        <v>0</v>
      </c>
      <c r="CR25" s="16">
        <v>0</v>
      </c>
      <c r="CS25" s="16">
        <v>0</v>
      </c>
      <c r="CT25" s="16">
        <f t="shared" si="12"/>
        <v>0</v>
      </c>
      <c r="CU25" s="16">
        <f t="shared" si="13"/>
        <v>0</v>
      </c>
      <c r="CV25" s="16">
        <v>0</v>
      </c>
      <c r="CW25" s="17">
        <v>0</v>
      </c>
      <c r="CX25" s="40"/>
    </row>
    <row r="26" spans="1:102" ht="31.5" hidden="1" x14ac:dyDescent="0.25">
      <c r="A26" s="13" t="s">
        <v>1</v>
      </c>
      <c r="B26" s="14" t="s">
        <v>1</v>
      </c>
      <c r="C26" s="14" t="s">
        <v>33</v>
      </c>
      <c r="D26" s="30" t="s">
        <v>494</v>
      </c>
      <c r="E26" s="15">
        <f t="shared" si="18"/>
        <v>1294426</v>
      </c>
      <c r="F26" s="16">
        <f t="shared" si="19"/>
        <v>1273347</v>
      </c>
      <c r="G26" s="16">
        <f t="shared" si="20"/>
        <v>1270663</v>
      </c>
      <c r="H26" s="16">
        <v>961267</v>
      </c>
      <c r="I26" s="16">
        <v>229237</v>
      </c>
      <c r="J26" s="16">
        <f t="shared" si="4"/>
        <v>37914</v>
      </c>
      <c r="K26" s="16">
        <v>0</v>
      </c>
      <c r="L26" s="16">
        <v>0</v>
      </c>
      <c r="M26" s="16">
        <v>0</v>
      </c>
      <c r="N26" s="16">
        <v>0</v>
      </c>
      <c r="O26" s="16">
        <v>25434</v>
      </c>
      <c r="P26" s="16">
        <v>12480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24877</v>
      </c>
      <c r="V26" s="16">
        <f t="shared" si="21"/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f t="shared" si="22"/>
        <v>17368</v>
      </c>
      <c r="AF26" s="16">
        <v>0</v>
      </c>
      <c r="AG26" s="16">
        <v>0</v>
      </c>
      <c r="AH26" s="16">
        <v>0</v>
      </c>
      <c r="AI26" s="16">
        <v>0</v>
      </c>
      <c r="AJ26" s="16">
        <v>1591</v>
      </c>
      <c r="AK26" s="16">
        <v>0</v>
      </c>
      <c r="AL26" s="16">
        <v>10539</v>
      </c>
      <c r="AM26" s="16">
        <v>0</v>
      </c>
      <c r="AN26" s="16">
        <v>5238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f t="shared" si="23"/>
        <v>2684</v>
      </c>
      <c r="BB26" s="16">
        <f t="shared" si="24"/>
        <v>0</v>
      </c>
      <c r="BC26" s="16">
        <v>0</v>
      </c>
      <c r="BD26" s="16">
        <v>0</v>
      </c>
      <c r="BE26" s="16">
        <v>0</v>
      </c>
      <c r="BF26" s="16">
        <f t="shared" si="6"/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f t="shared" si="7"/>
        <v>0</v>
      </c>
      <c r="BL26" s="16">
        <v>0</v>
      </c>
      <c r="BM26" s="16">
        <f t="shared" si="8"/>
        <v>2684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2684</v>
      </c>
      <c r="BX26" s="16">
        <v>0</v>
      </c>
      <c r="BY26" s="16">
        <f t="shared" si="25"/>
        <v>21079</v>
      </c>
      <c r="BZ26" s="16">
        <f t="shared" si="26"/>
        <v>21079</v>
      </c>
      <c r="CA26" s="16">
        <f t="shared" si="9"/>
        <v>21079</v>
      </c>
      <c r="CB26" s="16">
        <v>0</v>
      </c>
      <c r="CC26" s="16">
        <v>21079</v>
      </c>
      <c r="CD26" s="16">
        <f t="shared" si="10"/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f t="shared" si="11"/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f t="shared" si="12"/>
        <v>0</v>
      </c>
      <c r="CU26" s="16">
        <f t="shared" si="13"/>
        <v>0</v>
      </c>
      <c r="CV26" s="16">
        <v>0</v>
      </c>
      <c r="CW26" s="17">
        <v>0</v>
      </c>
      <c r="CX26" s="40"/>
    </row>
    <row r="27" spans="1:102" ht="31.5" hidden="1" x14ac:dyDescent="0.25">
      <c r="A27" s="13" t="s">
        <v>1</v>
      </c>
      <c r="B27" s="14" t="s">
        <v>1</v>
      </c>
      <c r="C27" s="14" t="s">
        <v>34</v>
      </c>
      <c r="D27" s="30" t="s">
        <v>35</v>
      </c>
      <c r="E27" s="15">
        <f t="shared" si="18"/>
        <v>2337692</v>
      </c>
      <c r="F27" s="16">
        <f t="shared" si="19"/>
        <v>2309853</v>
      </c>
      <c r="G27" s="16">
        <f t="shared" si="20"/>
        <v>2306083</v>
      </c>
      <c r="H27" s="16">
        <v>1610574</v>
      </c>
      <c r="I27" s="16">
        <v>379734</v>
      </c>
      <c r="J27" s="16">
        <f t="shared" si="4"/>
        <v>161648</v>
      </c>
      <c r="K27" s="16">
        <v>0</v>
      </c>
      <c r="L27" s="16">
        <v>0</v>
      </c>
      <c r="M27" s="16">
        <v>0</v>
      </c>
      <c r="N27" s="16">
        <v>0</v>
      </c>
      <c r="O27" s="16">
        <v>134320</v>
      </c>
      <c r="P27" s="16">
        <v>27328</v>
      </c>
      <c r="Q27" s="16">
        <f t="shared" si="5"/>
        <v>35844</v>
      </c>
      <c r="R27" s="16">
        <v>0</v>
      </c>
      <c r="S27" s="16">
        <v>35844</v>
      </c>
      <c r="T27" s="16">
        <v>0</v>
      </c>
      <c r="U27" s="16">
        <v>41898</v>
      </c>
      <c r="V27" s="16">
        <f t="shared" si="21"/>
        <v>35579</v>
      </c>
      <c r="W27" s="16">
        <v>0</v>
      </c>
      <c r="X27" s="16">
        <v>21473</v>
      </c>
      <c r="Y27" s="16">
        <v>11824</v>
      </c>
      <c r="Z27" s="16">
        <v>1279</v>
      </c>
      <c r="AA27" s="16">
        <v>1003</v>
      </c>
      <c r="AB27" s="16">
        <v>0</v>
      </c>
      <c r="AC27" s="16">
        <v>0</v>
      </c>
      <c r="AD27" s="16">
        <v>0</v>
      </c>
      <c r="AE27" s="16">
        <f t="shared" si="22"/>
        <v>40806</v>
      </c>
      <c r="AF27" s="16">
        <v>0</v>
      </c>
      <c r="AG27" s="16">
        <v>4200</v>
      </c>
      <c r="AH27" s="16">
        <v>4235</v>
      </c>
      <c r="AI27" s="16">
        <v>0</v>
      </c>
      <c r="AJ27" s="16">
        <v>1591</v>
      </c>
      <c r="AK27" s="16">
        <v>0</v>
      </c>
      <c r="AL27" s="16">
        <v>14050</v>
      </c>
      <c r="AM27" s="16">
        <v>0</v>
      </c>
      <c r="AN27" s="16">
        <v>8730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8000</v>
      </c>
      <c r="BA27" s="16">
        <f t="shared" si="23"/>
        <v>3770</v>
      </c>
      <c r="BB27" s="16">
        <f t="shared" si="24"/>
        <v>0</v>
      </c>
      <c r="BC27" s="16">
        <v>0</v>
      </c>
      <c r="BD27" s="16">
        <v>0</v>
      </c>
      <c r="BE27" s="16">
        <v>0</v>
      </c>
      <c r="BF27" s="16">
        <f t="shared" si="6"/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f t="shared" si="7"/>
        <v>0</v>
      </c>
      <c r="BL27" s="16">
        <v>0</v>
      </c>
      <c r="BM27" s="16">
        <f t="shared" si="8"/>
        <v>3770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3770</v>
      </c>
      <c r="BX27" s="16">
        <v>0</v>
      </c>
      <c r="BY27" s="16">
        <f t="shared" si="25"/>
        <v>27839</v>
      </c>
      <c r="BZ27" s="16">
        <f t="shared" si="26"/>
        <v>27839</v>
      </c>
      <c r="CA27" s="16">
        <f t="shared" si="9"/>
        <v>27839</v>
      </c>
      <c r="CB27" s="16">
        <v>0</v>
      </c>
      <c r="CC27" s="16">
        <v>27839</v>
      </c>
      <c r="CD27" s="16">
        <f t="shared" si="10"/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f t="shared" si="11"/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f t="shared" si="12"/>
        <v>0</v>
      </c>
      <c r="CU27" s="16">
        <f t="shared" si="13"/>
        <v>0</v>
      </c>
      <c r="CV27" s="16">
        <v>0</v>
      </c>
      <c r="CW27" s="17">
        <v>0</v>
      </c>
      <c r="CX27" s="40"/>
    </row>
    <row r="28" spans="1:102" ht="15.75" hidden="1" x14ac:dyDescent="0.25">
      <c r="A28" s="13" t="s">
        <v>1</v>
      </c>
      <c r="B28" s="14" t="s">
        <v>1</v>
      </c>
      <c r="C28" s="14" t="s">
        <v>36</v>
      </c>
      <c r="D28" s="30" t="s">
        <v>37</v>
      </c>
      <c r="E28" s="15">
        <f t="shared" si="18"/>
        <v>3060309</v>
      </c>
      <c r="F28" s="16">
        <f t="shared" si="19"/>
        <v>3021855</v>
      </c>
      <c r="G28" s="16">
        <f t="shared" si="20"/>
        <v>3021855</v>
      </c>
      <c r="H28" s="16">
        <v>2051344</v>
      </c>
      <c r="I28" s="16">
        <v>484749</v>
      </c>
      <c r="J28" s="16">
        <f t="shared" si="4"/>
        <v>88857</v>
      </c>
      <c r="K28" s="16">
        <v>0</v>
      </c>
      <c r="L28" s="16">
        <v>0</v>
      </c>
      <c r="M28" s="16">
        <v>0</v>
      </c>
      <c r="N28" s="16">
        <v>0</v>
      </c>
      <c r="O28" s="16">
        <v>65936</v>
      </c>
      <c r="P28" s="16">
        <v>22921</v>
      </c>
      <c r="Q28" s="16">
        <f t="shared" si="5"/>
        <v>12361</v>
      </c>
      <c r="R28" s="16">
        <v>12361</v>
      </c>
      <c r="S28" s="16">
        <v>0</v>
      </c>
      <c r="T28" s="16">
        <v>0</v>
      </c>
      <c r="U28" s="16">
        <v>166058</v>
      </c>
      <c r="V28" s="16">
        <f t="shared" si="21"/>
        <v>52782</v>
      </c>
      <c r="W28" s="16">
        <v>0</v>
      </c>
      <c r="X28" s="16">
        <v>19249</v>
      </c>
      <c r="Y28" s="16">
        <v>27513</v>
      </c>
      <c r="Z28" s="16">
        <v>2759</v>
      </c>
      <c r="AA28" s="16">
        <v>3261</v>
      </c>
      <c r="AB28" s="16">
        <v>0</v>
      </c>
      <c r="AC28" s="16">
        <v>0</v>
      </c>
      <c r="AD28" s="16">
        <v>0</v>
      </c>
      <c r="AE28" s="16">
        <f t="shared" si="22"/>
        <v>165704</v>
      </c>
      <c r="AF28" s="16">
        <v>0</v>
      </c>
      <c r="AG28" s="16">
        <v>2211</v>
      </c>
      <c r="AH28" s="16">
        <v>6860</v>
      </c>
      <c r="AI28" s="16">
        <v>0</v>
      </c>
      <c r="AJ28" s="16">
        <v>1591</v>
      </c>
      <c r="AK28" s="16">
        <v>0</v>
      </c>
      <c r="AL28" s="16">
        <v>19227</v>
      </c>
      <c r="AM28" s="16">
        <v>0</v>
      </c>
      <c r="AN28" s="16">
        <v>16878</v>
      </c>
      <c r="AO28" s="16">
        <v>0</v>
      </c>
      <c r="AP28" s="16">
        <v>0</v>
      </c>
      <c r="AQ28" s="16">
        <v>0</v>
      </c>
      <c r="AR28" s="16">
        <v>118614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323</v>
      </c>
      <c r="BA28" s="16">
        <f t="shared" si="23"/>
        <v>0</v>
      </c>
      <c r="BB28" s="16">
        <f t="shared" si="24"/>
        <v>0</v>
      </c>
      <c r="BC28" s="16">
        <v>0</v>
      </c>
      <c r="BD28" s="16">
        <v>0</v>
      </c>
      <c r="BE28" s="16">
        <v>0</v>
      </c>
      <c r="BF28" s="16">
        <f t="shared" si="6"/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f t="shared" si="7"/>
        <v>0</v>
      </c>
      <c r="BL28" s="16">
        <v>0</v>
      </c>
      <c r="BM28" s="16">
        <f t="shared" si="8"/>
        <v>0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f t="shared" si="25"/>
        <v>38454</v>
      </c>
      <c r="BZ28" s="16">
        <f t="shared" si="26"/>
        <v>38454</v>
      </c>
      <c r="CA28" s="16">
        <f t="shared" si="9"/>
        <v>38454</v>
      </c>
      <c r="CB28" s="16">
        <v>0</v>
      </c>
      <c r="CC28" s="16">
        <v>38454</v>
      </c>
      <c r="CD28" s="16">
        <f t="shared" si="10"/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f t="shared" si="11"/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f t="shared" si="12"/>
        <v>0</v>
      </c>
      <c r="CU28" s="16">
        <f t="shared" si="13"/>
        <v>0</v>
      </c>
      <c r="CV28" s="16">
        <v>0</v>
      </c>
      <c r="CW28" s="17">
        <v>0</v>
      </c>
      <c r="CX28" s="40"/>
    </row>
    <row r="29" spans="1:102" ht="31.5" hidden="1" x14ac:dyDescent="0.25">
      <c r="A29" s="13" t="s">
        <v>1</v>
      </c>
      <c r="B29" s="14" t="s">
        <v>1</v>
      </c>
      <c r="C29" s="14" t="s">
        <v>38</v>
      </c>
      <c r="D29" s="30" t="s">
        <v>495</v>
      </c>
      <c r="E29" s="15">
        <f t="shared" si="18"/>
        <v>1919208</v>
      </c>
      <c r="F29" s="16">
        <f t="shared" si="19"/>
        <v>1890541</v>
      </c>
      <c r="G29" s="16">
        <f t="shared" si="20"/>
        <v>1885940</v>
      </c>
      <c r="H29" s="16">
        <v>1354535</v>
      </c>
      <c r="I29" s="16">
        <v>325500</v>
      </c>
      <c r="J29" s="16">
        <f t="shared" si="4"/>
        <v>40264</v>
      </c>
      <c r="K29" s="16">
        <v>0</v>
      </c>
      <c r="L29" s="16">
        <v>0</v>
      </c>
      <c r="M29" s="16">
        <v>0</v>
      </c>
      <c r="N29" s="16">
        <v>0</v>
      </c>
      <c r="O29" s="16">
        <v>26957</v>
      </c>
      <c r="P29" s="16">
        <v>13307</v>
      </c>
      <c r="Q29" s="16">
        <f t="shared" si="5"/>
        <v>12870</v>
      </c>
      <c r="R29" s="16">
        <v>0</v>
      </c>
      <c r="S29" s="16">
        <v>12870</v>
      </c>
      <c r="T29" s="16">
        <v>0</v>
      </c>
      <c r="U29" s="16">
        <v>25798</v>
      </c>
      <c r="V29" s="16">
        <f t="shared" si="21"/>
        <v>19311</v>
      </c>
      <c r="W29" s="16">
        <v>0</v>
      </c>
      <c r="X29" s="16">
        <v>10871</v>
      </c>
      <c r="Y29" s="16">
        <v>3599</v>
      </c>
      <c r="Z29" s="16">
        <v>1065</v>
      </c>
      <c r="AA29" s="16">
        <v>3776</v>
      </c>
      <c r="AB29" s="16">
        <v>0</v>
      </c>
      <c r="AC29" s="16">
        <v>0</v>
      </c>
      <c r="AD29" s="16">
        <v>0</v>
      </c>
      <c r="AE29" s="16">
        <f t="shared" si="22"/>
        <v>107662</v>
      </c>
      <c r="AF29" s="16">
        <v>0</v>
      </c>
      <c r="AG29" s="16">
        <v>2218</v>
      </c>
      <c r="AH29" s="16">
        <v>5147</v>
      </c>
      <c r="AI29" s="16">
        <v>0</v>
      </c>
      <c r="AJ29" s="16">
        <v>1591</v>
      </c>
      <c r="AK29" s="16">
        <v>0</v>
      </c>
      <c r="AL29" s="16">
        <v>14334</v>
      </c>
      <c r="AM29" s="16">
        <v>0</v>
      </c>
      <c r="AN29" s="16">
        <v>8730</v>
      </c>
      <c r="AO29" s="16">
        <v>0</v>
      </c>
      <c r="AP29" s="16">
        <v>0</v>
      </c>
      <c r="AQ29" s="16">
        <v>0</v>
      </c>
      <c r="AR29" s="16">
        <v>75642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0</v>
      </c>
      <c r="BA29" s="16">
        <f t="shared" si="23"/>
        <v>4601</v>
      </c>
      <c r="BB29" s="16">
        <f t="shared" si="24"/>
        <v>0</v>
      </c>
      <c r="BC29" s="16">
        <v>0</v>
      </c>
      <c r="BD29" s="16">
        <v>0</v>
      </c>
      <c r="BE29" s="16">
        <v>0</v>
      </c>
      <c r="BF29" s="16">
        <f t="shared" si="6"/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f t="shared" si="7"/>
        <v>0</v>
      </c>
      <c r="BL29" s="16">
        <v>0</v>
      </c>
      <c r="BM29" s="16">
        <f t="shared" si="8"/>
        <v>4601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4601</v>
      </c>
      <c r="BX29" s="16">
        <v>0</v>
      </c>
      <c r="BY29" s="16">
        <f t="shared" si="25"/>
        <v>28667</v>
      </c>
      <c r="BZ29" s="16">
        <f t="shared" si="26"/>
        <v>28667</v>
      </c>
      <c r="CA29" s="16">
        <f t="shared" si="9"/>
        <v>28667</v>
      </c>
      <c r="CB29" s="16">
        <v>0</v>
      </c>
      <c r="CC29" s="16">
        <v>28667</v>
      </c>
      <c r="CD29" s="16">
        <f t="shared" si="10"/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f t="shared" si="11"/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f t="shared" si="12"/>
        <v>0</v>
      </c>
      <c r="CU29" s="16">
        <f t="shared" si="13"/>
        <v>0</v>
      </c>
      <c r="CV29" s="16">
        <v>0</v>
      </c>
      <c r="CW29" s="17">
        <v>0</v>
      </c>
      <c r="CX29" s="40"/>
    </row>
    <row r="30" spans="1:102" ht="31.5" hidden="1" x14ac:dyDescent="0.25">
      <c r="A30" s="13" t="s">
        <v>1</v>
      </c>
      <c r="B30" s="14" t="s">
        <v>1</v>
      </c>
      <c r="C30" s="14" t="s">
        <v>39</v>
      </c>
      <c r="D30" s="30" t="s">
        <v>40</v>
      </c>
      <c r="E30" s="15">
        <f t="shared" si="18"/>
        <v>3800962</v>
      </c>
      <c r="F30" s="16">
        <f t="shared" si="19"/>
        <v>3759435</v>
      </c>
      <c r="G30" s="16">
        <f t="shared" si="20"/>
        <v>3759435</v>
      </c>
      <c r="H30" s="16">
        <f>2433251+196643</f>
        <v>2629894</v>
      </c>
      <c r="I30" s="16">
        <f>590797+52032</f>
        <v>642829</v>
      </c>
      <c r="J30" s="16">
        <f t="shared" si="4"/>
        <v>402238</v>
      </c>
      <c r="K30" s="16">
        <v>0</v>
      </c>
      <c r="L30" s="16">
        <v>0</v>
      </c>
      <c r="M30" s="16">
        <v>0</v>
      </c>
      <c r="N30" s="16">
        <v>0</v>
      </c>
      <c r="O30" s="16">
        <v>315388</v>
      </c>
      <c r="P30" s="16">
        <f>96005-9155</f>
        <v>86850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26719</v>
      </c>
      <c r="V30" s="16">
        <f t="shared" si="21"/>
        <v>11621</v>
      </c>
      <c r="W30" s="16">
        <v>0</v>
      </c>
      <c r="X30" s="16">
        <v>1547</v>
      </c>
      <c r="Y30" s="16">
        <v>6817</v>
      </c>
      <c r="Z30" s="16">
        <v>360</v>
      </c>
      <c r="AA30" s="16">
        <f>3261-364</f>
        <v>2897</v>
      </c>
      <c r="AB30" s="16">
        <v>0</v>
      </c>
      <c r="AC30" s="16">
        <v>0</v>
      </c>
      <c r="AD30" s="16">
        <v>0</v>
      </c>
      <c r="AE30" s="16">
        <f t="shared" si="22"/>
        <v>46134</v>
      </c>
      <c r="AF30" s="16">
        <v>0</v>
      </c>
      <c r="AG30" s="16">
        <v>397</v>
      </c>
      <c r="AH30" s="16">
        <v>6020</v>
      </c>
      <c r="AI30" s="16">
        <v>0</v>
      </c>
      <c r="AJ30" s="16">
        <v>1591</v>
      </c>
      <c r="AK30" s="16">
        <v>0</v>
      </c>
      <c r="AL30" s="16">
        <v>23547</v>
      </c>
      <c r="AM30" s="16">
        <v>0</v>
      </c>
      <c r="AN30" s="16">
        <v>8730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5849</v>
      </c>
      <c r="BA30" s="16">
        <f t="shared" si="23"/>
        <v>0</v>
      </c>
      <c r="BB30" s="16">
        <f t="shared" si="24"/>
        <v>0</v>
      </c>
      <c r="BC30" s="16">
        <v>0</v>
      </c>
      <c r="BD30" s="16">
        <v>0</v>
      </c>
      <c r="BE30" s="16">
        <v>0</v>
      </c>
      <c r="BF30" s="16">
        <f t="shared" si="6"/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f t="shared" si="7"/>
        <v>0</v>
      </c>
      <c r="BL30" s="16">
        <v>0</v>
      </c>
      <c r="BM30" s="16">
        <f t="shared" si="8"/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f t="shared" si="25"/>
        <v>41527</v>
      </c>
      <c r="BZ30" s="16">
        <f t="shared" si="26"/>
        <v>41527</v>
      </c>
      <c r="CA30" s="16">
        <f t="shared" si="9"/>
        <v>41527</v>
      </c>
      <c r="CB30" s="16">
        <v>0</v>
      </c>
      <c r="CC30" s="16">
        <f>47095-5568</f>
        <v>41527</v>
      </c>
      <c r="CD30" s="16">
        <f t="shared" si="10"/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f t="shared" si="11"/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f t="shared" si="12"/>
        <v>0</v>
      </c>
      <c r="CU30" s="16">
        <f t="shared" si="13"/>
        <v>0</v>
      </c>
      <c r="CV30" s="16">
        <v>0</v>
      </c>
      <c r="CW30" s="17">
        <v>0</v>
      </c>
      <c r="CX30" s="40"/>
    </row>
    <row r="31" spans="1:102" ht="20.25" hidden="1" customHeight="1" x14ac:dyDescent="0.25">
      <c r="A31" s="13" t="s">
        <v>1</v>
      </c>
      <c r="B31" s="14" t="s">
        <v>1</v>
      </c>
      <c r="C31" s="14" t="s">
        <v>41</v>
      </c>
      <c r="D31" s="30" t="s">
        <v>42</v>
      </c>
      <c r="E31" s="15">
        <f t="shared" si="18"/>
        <v>936818</v>
      </c>
      <c r="F31" s="16">
        <f t="shared" si="19"/>
        <v>921007</v>
      </c>
      <c r="G31" s="16">
        <f t="shared" si="20"/>
        <v>916406</v>
      </c>
      <c r="H31" s="16">
        <v>645800</v>
      </c>
      <c r="I31" s="16">
        <v>152523</v>
      </c>
      <c r="J31" s="16">
        <f t="shared" si="4"/>
        <v>48606</v>
      </c>
      <c r="K31" s="16">
        <v>0</v>
      </c>
      <c r="L31" s="16">
        <v>0</v>
      </c>
      <c r="M31" s="16">
        <v>0</v>
      </c>
      <c r="N31" s="16">
        <v>0</v>
      </c>
      <c r="O31" s="16">
        <v>40381</v>
      </c>
      <c r="P31" s="16">
        <v>8225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21536</v>
      </c>
      <c r="V31" s="16">
        <f t="shared" si="21"/>
        <v>4324</v>
      </c>
      <c r="W31" s="16">
        <v>0</v>
      </c>
      <c r="X31" s="16">
        <v>1979</v>
      </c>
      <c r="Y31" s="16">
        <v>1500</v>
      </c>
      <c r="Z31" s="16">
        <v>273</v>
      </c>
      <c r="AA31" s="16">
        <v>572</v>
      </c>
      <c r="AB31" s="16">
        <v>0</v>
      </c>
      <c r="AC31" s="16">
        <v>0</v>
      </c>
      <c r="AD31" s="16">
        <v>0</v>
      </c>
      <c r="AE31" s="16">
        <f t="shared" si="22"/>
        <v>43617</v>
      </c>
      <c r="AF31" s="16">
        <v>0</v>
      </c>
      <c r="AG31" s="16">
        <v>3200</v>
      </c>
      <c r="AH31" s="16">
        <v>21766</v>
      </c>
      <c r="AI31" s="16">
        <v>0</v>
      </c>
      <c r="AJ31" s="16">
        <v>1591</v>
      </c>
      <c r="AK31" s="16">
        <v>0</v>
      </c>
      <c r="AL31" s="16">
        <v>7906</v>
      </c>
      <c r="AM31" s="16">
        <v>0</v>
      </c>
      <c r="AN31" s="16">
        <v>8730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424</v>
      </c>
      <c r="BA31" s="16">
        <f t="shared" si="23"/>
        <v>4601</v>
      </c>
      <c r="BB31" s="16">
        <f t="shared" si="24"/>
        <v>0</v>
      </c>
      <c r="BC31" s="16">
        <v>0</v>
      </c>
      <c r="BD31" s="16">
        <v>0</v>
      </c>
      <c r="BE31" s="16">
        <v>0</v>
      </c>
      <c r="BF31" s="16">
        <f t="shared" si="6"/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f t="shared" si="7"/>
        <v>0</v>
      </c>
      <c r="BL31" s="16">
        <v>0</v>
      </c>
      <c r="BM31" s="16">
        <f t="shared" si="8"/>
        <v>4601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4601</v>
      </c>
      <c r="BX31" s="16">
        <v>0</v>
      </c>
      <c r="BY31" s="16">
        <f t="shared" si="25"/>
        <v>15811</v>
      </c>
      <c r="BZ31" s="16">
        <f t="shared" si="26"/>
        <v>15811</v>
      </c>
      <c r="CA31" s="16">
        <f t="shared" si="9"/>
        <v>15811</v>
      </c>
      <c r="CB31" s="16">
        <v>0</v>
      </c>
      <c r="CC31" s="16">
        <v>15811</v>
      </c>
      <c r="CD31" s="16">
        <f t="shared" si="10"/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f t="shared" si="11"/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f t="shared" si="12"/>
        <v>0</v>
      </c>
      <c r="CU31" s="16">
        <f t="shared" si="13"/>
        <v>0</v>
      </c>
      <c r="CV31" s="16">
        <v>0</v>
      </c>
      <c r="CW31" s="17">
        <v>0</v>
      </c>
      <c r="CX31" s="40"/>
    </row>
    <row r="32" spans="1:102" ht="15.75" hidden="1" x14ac:dyDescent="0.25">
      <c r="A32" s="13" t="s">
        <v>1</v>
      </c>
      <c r="B32" s="14" t="s">
        <v>1</v>
      </c>
      <c r="C32" s="14" t="s">
        <v>43</v>
      </c>
      <c r="D32" s="30" t="s">
        <v>44</v>
      </c>
      <c r="E32" s="15">
        <f t="shared" si="18"/>
        <v>16539003</v>
      </c>
      <c r="F32" s="16">
        <f t="shared" si="19"/>
        <v>12398800</v>
      </c>
      <c r="G32" s="16">
        <f t="shared" si="20"/>
        <v>12192498</v>
      </c>
      <c r="H32" s="16">
        <v>9010147</v>
      </c>
      <c r="I32" s="16">
        <v>1509958</v>
      </c>
      <c r="J32" s="16">
        <f t="shared" si="4"/>
        <v>475447</v>
      </c>
      <c r="K32" s="16">
        <v>0</v>
      </c>
      <c r="L32" s="16">
        <v>122719</v>
      </c>
      <c r="M32" s="16">
        <v>0</v>
      </c>
      <c r="N32" s="16">
        <v>0</v>
      </c>
      <c r="O32" s="16">
        <v>180842</v>
      </c>
      <c r="P32" s="16">
        <v>171886</v>
      </c>
      <c r="Q32" s="16">
        <f t="shared" si="5"/>
        <v>40108</v>
      </c>
      <c r="R32" s="16">
        <v>2334</v>
      </c>
      <c r="S32" s="16">
        <v>37774</v>
      </c>
      <c r="T32" s="16">
        <v>0</v>
      </c>
      <c r="U32" s="16">
        <v>634642</v>
      </c>
      <c r="V32" s="16">
        <f t="shared" si="21"/>
        <v>174017</v>
      </c>
      <c r="W32" s="16">
        <v>67758</v>
      </c>
      <c r="X32" s="16">
        <v>0</v>
      </c>
      <c r="Y32" s="16">
        <v>77172</v>
      </c>
      <c r="Z32" s="16">
        <v>8590</v>
      </c>
      <c r="AA32" s="16">
        <v>14347</v>
      </c>
      <c r="AB32" s="16">
        <v>0</v>
      </c>
      <c r="AC32" s="16">
        <v>0</v>
      </c>
      <c r="AD32" s="16">
        <v>6150</v>
      </c>
      <c r="AE32" s="16">
        <f t="shared" si="22"/>
        <v>348179</v>
      </c>
      <c r="AF32" s="16">
        <v>0</v>
      </c>
      <c r="AG32" s="16">
        <v>43997</v>
      </c>
      <c r="AH32" s="16">
        <v>30222</v>
      </c>
      <c r="AI32" s="16">
        <v>0</v>
      </c>
      <c r="AJ32" s="16">
        <v>1591</v>
      </c>
      <c r="AK32" s="16">
        <v>0</v>
      </c>
      <c r="AL32" s="16">
        <v>90101</v>
      </c>
      <c r="AM32" s="16">
        <v>11759</v>
      </c>
      <c r="AN32" s="16">
        <v>22407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93469</v>
      </c>
      <c r="AX32" s="16">
        <v>0</v>
      </c>
      <c r="AY32" s="16">
        <v>0</v>
      </c>
      <c r="AZ32" s="16">
        <v>54633</v>
      </c>
      <c r="BA32" s="16">
        <f t="shared" si="23"/>
        <v>206302</v>
      </c>
      <c r="BB32" s="16">
        <f t="shared" si="24"/>
        <v>0</v>
      </c>
      <c r="BC32" s="16">
        <v>0</v>
      </c>
      <c r="BD32" s="16">
        <v>0</v>
      </c>
      <c r="BE32" s="16">
        <v>0</v>
      </c>
      <c r="BF32" s="16">
        <f t="shared" si="6"/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f t="shared" si="7"/>
        <v>0</v>
      </c>
      <c r="BL32" s="16">
        <v>0</v>
      </c>
      <c r="BM32" s="16">
        <f t="shared" si="8"/>
        <v>206302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206302</v>
      </c>
      <c r="BX32" s="16">
        <v>0</v>
      </c>
      <c r="BY32" s="16">
        <f t="shared" si="25"/>
        <v>4140203</v>
      </c>
      <c r="BZ32" s="16">
        <f t="shared" si="26"/>
        <v>4140203</v>
      </c>
      <c r="CA32" s="16">
        <f t="shared" si="9"/>
        <v>180203</v>
      </c>
      <c r="CB32" s="16">
        <v>0</v>
      </c>
      <c r="CC32" s="16">
        <v>180203</v>
      </c>
      <c r="CD32" s="16">
        <f t="shared" si="10"/>
        <v>3960000</v>
      </c>
      <c r="CE32" s="16">
        <v>0</v>
      </c>
      <c r="CF32" s="16">
        <v>0</v>
      </c>
      <c r="CG32" s="16">
        <v>0</v>
      </c>
      <c r="CH32" s="16">
        <v>3960000</v>
      </c>
      <c r="CI32" s="16">
        <v>0</v>
      </c>
      <c r="CJ32" s="16">
        <v>0</v>
      </c>
      <c r="CK32" s="16">
        <f t="shared" si="11"/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f t="shared" si="12"/>
        <v>0</v>
      </c>
      <c r="CU32" s="16">
        <f t="shared" si="13"/>
        <v>0</v>
      </c>
      <c r="CV32" s="16">
        <v>0</v>
      </c>
      <c r="CW32" s="17">
        <v>0</v>
      </c>
      <c r="CX32" s="40"/>
    </row>
    <row r="33" spans="1:102" ht="15.75" hidden="1" x14ac:dyDescent="0.25">
      <c r="A33" s="13" t="s">
        <v>1</v>
      </c>
      <c r="B33" s="14" t="s">
        <v>1</v>
      </c>
      <c r="C33" s="14" t="s">
        <v>45</v>
      </c>
      <c r="D33" s="30" t="s">
        <v>46</v>
      </c>
      <c r="E33" s="15">
        <f t="shared" si="18"/>
        <v>2193909</v>
      </c>
      <c r="F33" s="16">
        <f t="shared" si="19"/>
        <v>2161815</v>
      </c>
      <c r="G33" s="16">
        <f t="shared" si="20"/>
        <v>2159131</v>
      </c>
      <c r="H33" s="16">
        <v>1572130</v>
      </c>
      <c r="I33" s="16">
        <v>377582</v>
      </c>
      <c r="J33" s="16">
        <f t="shared" si="4"/>
        <v>81483</v>
      </c>
      <c r="K33" s="16">
        <v>0</v>
      </c>
      <c r="L33" s="16">
        <v>0</v>
      </c>
      <c r="M33" s="16">
        <v>0</v>
      </c>
      <c r="N33" s="16">
        <v>0</v>
      </c>
      <c r="O33" s="16">
        <v>41736</v>
      </c>
      <c r="P33" s="16">
        <v>39747</v>
      </c>
      <c r="Q33" s="16">
        <f t="shared" si="5"/>
        <v>7745</v>
      </c>
      <c r="R33" s="16">
        <v>0</v>
      </c>
      <c r="S33" s="16">
        <v>7745</v>
      </c>
      <c r="T33" s="16">
        <v>0</v>
      </c>
      <c r="U33" s="16">
        <v>41846</v>
      </c>
      <c r="V33" s="16">
        <f t="shared" si="21"/>
        <v>9945</v>
      </c>
      <c r="W33" s="16">
        <v>0</v>
      </c>
      <c r="X33" s="16">
        <v>4509</v>
      </c>
      <c r="Y33" s="16">
        <v>4708</v>
      </c>
      <c r="Z33" s="16">
        <v>728</v>
      </c>
      <c r="AA33" s="16">
        <v>0</v>
      </c>
      <c r="AB33" s="16">
        <v>0</v>
      </c>
      <c r="AC33" s="16">
        <v>0</v>
      </c>
      <c r="AD33" s="16">
        <v>0</v>
      </c>
      <c r="AE33" s="16">
        <f t="shared" si="22"/>
        <v>68400</v>
      </c>
      <c r="AF33" s="16">
        <v>0</v>
      </c>
      <c r="AG33" s="16">
        <v>887</v>
      </c>
      <c r="AH33" s="16">
        <v>0</v>
      </c>
      <c r="AI33" s="16">
        <v>0</v>
      </c>
      <c r="AJ33" s="16">
        <v>1591</v>
      </c>
      <c r="AK33" s="16">
        <v>0</v>
      </c>
      <c r="AL33" s="16">
        <v>16047</v>
      </c>
      <c r="AM33" s="16">
        <v>20000</v>
      </c>
      <c r="AN33" s="16">
        <v>5238</v>
      </c>
      <c r="AO33" s="16">
        <v>0</v>
      </c>
      <c r="AP33" s="16">
        <v>0</v>
      </c>
      <c r="AQ33" s="16">
        <v>0</v>
      </c>
      <c r="AR33" s="16">
        <v>20397</v>
      </c>
      <c r="AS33" s="16">
        <v>4240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f t="shared" si="23"/>
        <v>2684</v>
      </c>
      <c r="BB33" s="16">
        <f t="shared" si="24"/>
        <v>0</v>
      </c>
      <c r="BC33" s="16">
        <v>0</v>
      </c>
      <c r="BD33" s="16">
        <v>0</v>
      </c>
      <c r="BE33" s="16">
        <v>0</v>
      </c>
      <c r="BF33" s="16">
        <f t="shared" si="6"/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f t="shared" si="7"/>
        <v>0</v>
      </c>
      <c r="BL33" s="16">
        <v>0</v>
      </c>
      <c r="BM33" s="16">
        <f t="shared" si="8"/>
        <v>2684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2684</v>
      </c>
      <c r="BX33" s="16">
        <v>0</v>
      </c>
      <c r="BY33" s="16">
        <f t="shared" si="25"/>
        <v>32094</v>
      </c>
      <c r="BZ33" s="16">
        <f t="shared" si="26"/>
        <v>32094</v>
      </c>
      <c r="CA33" s="16">
        <f t="shared" si="9"/>
        <v>32094</v>
      </c>
      <c r="CB33" s="16">
        <v>0</v>
      </c>
      <c r="CC33" s="16">
        <v>32094</v>
      </c>
      <c r="CD33" s="16">
        <f t="shared" si="10"/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16">
        <f t="shared" si="11"/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f t="shared" si="12"/>
        <v>0</v>
      </c>
      <c r="CU33" s="16">
        <f t="shared" si="13"/>
        <v>0</v>
      </c>
      <c r="CV33" s="16">
        <v>0</v>
      </c>
      <c r="CW33" s="17">
        <v>0</v>
      </c>
      <c r="CX33" s="40"/>
    </row>
    <row r="34" spans="1:102" ht="31.5" hidden="1" x14ac:dyDescent="0.25">
      <c r="A34" s="13" t="s">
        <v>3</v>
      </c>
      <c r="B34" s="14" t="s">
        <v>47</v>
      </c>
      <c r="C34" s="14" t="s">
        <v>1</v>
      </c>
      <c r="D34" s="30" t="s">
        <v>48</v>
      </c>
      <c r="E34" s="15">
        <f>SUM(E35)</f>
        <v>29408143</v>
      </c>
      <c r="F34" s="16">
        <f t="shared" ref="F34:BS34" si="27">SUM(F35)</f>
        <v>28995586</v>
      </c>
      <c r="G34" s="16">
        <f t="shared" si="27"/>
        <v>26893186</v>
      </c>
      <c r="H34" s="16">
        <f t="shared" si="27"/>
        <v>20627829</v>
      </c>
      <c r="I34" s="16">
        <f t="shared" si="27"/>
        <v>1873770</v>
      </c>
      <c r="J34" s="16">
        <f t="shared" si="27"/>
        <v>1756385</v>
      </c>
      <c r="K34" s="16">
        <f t="shared" si="27"/>
        <v>0</v>
      </c>
      <c r="L34" s="16">
        <f t="shared" si="27"/>
        <v>1207905</v>
      </c>
      <c r="M34" s="16">
        <f t="shared" si="27"/>
        <v>0</v>
      </c>
      <c r="N34" s="16">
        <f t="shared" si="27"/>
        <v>0</v>
      </c>
      <c r="O34" s="16">
        <f t="shared" si="27"/>
        <v>408447</v>
      </c>
      <c r="P34" s="16">
        <f t="shared" si="27"/>
        <v>140033</v>
      </c>
      <c r="Q34" s="16">
        <f t="shared" si="27"/>
        <v>109111</v>
      </c>
      <c r="R34" s="16">
        <f t="shared" si="27"/>
        <v>0</v>
      </c>
      <c r="S34" s="16">
        <f t="shared" si="27"/>
        <v>109111</v>
      </c>
      <c r="T34" s="16">
        <f t="shared" si="27"/>
        <v>0</v>
      </c>
      <c r="U34" s="16">
        <f t="shared" si="27"/>
        <v>652056</v>
      </c>
      <c r="V34" s="16">
        <f t="shared" si="27"/>
        <v>152164</v>
      </c>
      <c r="W34" s="16">
        <f t="shared" si="27"/>
        <v>31312</v>
      </c>
      <c r="X34" s="16">
        <f t="shared" si="27"/>
        <v>44014</v>
      </c>
      <c r="Y34" s="16">
        <f t="shared" si="27"/>
        <v>55992</v>
      </c>
      <c r="Z34" s="16">
        <f t="shared" si="27"/>
        <v>8125</v>
      </c>
      <c r="AA34" s="16">
        <f t="shared" si="27"/>
        <v>8380</v>
      </c>
      <c r="AB34" s="16">
        <f t="shared" si="27"/>
        <v>0</v>
      </c>
      <c r="AC34" s="16">
        <f t="shared" si="27"/>
        <v>0</v>
      </c>
      <c r="AD34" s="16">
        <f t="shared" si="27"/>
        <v>4341</v>
      </c>
      <c r="AE34" s="16">
        <f t="shared" si="27"/>
        <v>1721871</v>
      </c>
      <c r="AF34" s="16">
        <f t="shared" si="27"/>
        <v>0</v>
      </c>
      <c r="AG34" s="16">
        <f t="shared" si="27"/>
        <v>98435</v>
      </c>
      <c r="AH34" s="16">
        <f t="shared" si="27"/>
        <v>37587</v>
      </c>
      <c r="AI34" s="16">
        <f t="shared" si="27"/>
        <v>0</v>
      </c>
      <c r="AJ34" s="16">
        <f t="shared" si="27"/>
        <v>22276</v>
      </c>
      <c r="AK34" s="16">
        <f t="shared" si="27"/>
        <v>0</v>
      </c>
      <c r="AL34" s="16">
        <f t="shared" si="27"/>
        <v>206278</v>
      </c>
      <c r="AM34" s="16">
        <f t="shared" si="27"/>
        <v>37436</v>
      </c>
      <c r="AN34" s="16">
        <f t="shared" si="27"/>
        <v>0</v>
      </c>
      <c r="AO34" s="16">
        <f t="shared" si="27"/>
        <v>0</v>
      </c>
      <c r="AP34" s="16">
        <f t="shared" si="27"/>
        <v>0</v>
      </c>
      <c r="AQ34" s="16">
        <f t="shared" si="27"/>
        <v>0</v>
      </c>
      <c r="AR34" s="16">
        <f t="shared" si="27"/>
        <v>54445</v>
      </c>
      <c r="AS34" s="16">
        <f t="shared" si="27"/>
        <v>0</v>
      </c>
      <c r="AT34" s="16">
        <f t="shared" si="27"/>
        <v>0</v>
      </c>
      <c r="AU34" s="16">
        <f t="shared" si="27"/>
        <v>0</v>
      </c>
      <c r="AV34" s="16">
        <f t="shared" si="27"/>
        <v>0</v>
      </c>
      <c r="AW34" s="16">
        <f t="shared" si="27"/>
        <v>1257940</v>
      </c>
      <c r="AX34" s="16">
        <f t="shared" si="27"/>
        <v>0</v>
      </c>
      <c r="AY34" s="16">
        <f t="shared" si="27"/>
        <v>0</v>
      </c>
      <c r="AZ34" s="16">
        <f t="shared" si="27"/>
        <v>7474</v>
      </c>
      <c r="BA34" s="16">
        <f t="shared" si="27"/>
        <v>2102400</v>
      </c>
      <c r="BB34" s="16">
        <f t="shared" si="27"/>
        <v>0</v>
      </c>
      <c r="BC34" s="16">
        <f t="shared" si="27"/>
        <v>0</v>
      </c>
      <c r="BD34" s="16">
        <f t="shared" si="27"/>
        <v>0</v>
      </c>
      <c r="BE34" s="16">
        <f t="shared" si="27"/>
        <v>0</v>
      </c>
      <c r="BF34" s="16">
        <f t="shared" si="27"/>
        <v>0</v>
      </c>
      <c r="BG34" s="16">
        <f t="shared" si="27"/>
        <v>0</v>
      </c>
      <c r="BH34" s="16">
        <f t="shared" si="27"/>
        <v>0</v>
      </c>
      <c r="BI34" s="16">
        <f t="shared" si="27"/>
        <v>0</v>
      </c>
      <c r="BJ34" s="16">
        <f t="shared" si="27"/>
        <v>0</v>
      </c>
      <c r="BK34" s="16">
        <f t="shared" si="27"/>
        <v>0</v>
      </c>
      <c r="BL34" s="16">
        <f t="shared" si="27"/>
        <v>0</v>
      </c>
      <c r="BM34" s="16">
        <f t="shared" si="27"/>
        <v>2102400</v>
      </c>
      <c r="BN34" s="16">
        <f t="shared" si="27"/>
        <v>0</v>
      </c>
      <c r="BO34" s="16">
        <f t="shared" si="27"/>
        <v>0</v>
      </c>
      <c r="BP34" s="16">
        <f t="shared" si="27"/>
        <v>0</v>
      </c>
      <c r="BQ34" s="16">
        <f t="shared" si="27"/>
        <v>0</v>
      </c>
      <c r="BR34" s="16">
        <f t="shared" si="27"/>
        <v>0</v>
      </c>
      <c r="BS34" s="16">
        <f t="shared" si="27"/>
        <v>0</v>
      </c>
      <c r="BT34" s="16">
        <f t="shared" ref="BT34:CW34" si="28">SUM(BT35)</f>
        <v>0</v>
      </c>
      <c r="BU34" s="16">
        <f t="shared" si="28"/>
        <v>0</v>
      </c>
      <c r="BV34" s="16">
        <f t="shared" si="28"/>
        <v>0</v>
      </c>
      <c r="BW34" s="16">
        <f t="shared" si="28"/>
        <v>2102400</v>
      </c>
      <c r="BX34" s="16">
        <f t="shared" si="28"/>
        <v>0</v>
      </c>
      <c r="BY34" s="16">
        <f t="shared" si="28"/>
        <v>412557</v>
      </c>
      <c r="BZ34" s="16">
        <f t="shared" si="28"/>
        <v>412557</v>
      </c>
      <c r="CA34" s="16">
        <f t="shared" si="28"/>
        <v>412557</v>
      </c>
      <c r="CB34" s="16">
        <f t="shared" si="28"/>
        <v>0</v>
      </c>
      <c r="CC34" s="16">
        <f t="shared" si="28"/>
        <v>412557</v>
      </c>
      <c r="CD34" s="16">
        <f t="shared" si="28"/>
        <v>0</v>
      </c>
      <c r="CE34" s="16">
        <f t="shared" si="28"/>
        <v>0</v>
      </c>
      <c r="CF34" s="16">
        <f t="shared" si="28"/>
        <v>0</v>
      </c>
      <c r="CG34" s="16">
        <f t="shared" si="28"/>
        <v>0</v>
      </c>
      <c r="CH34" s="16">
        <f t="shared" si="28"/>
        <v>0</v>
      </c>
      <c r="CI34" s="16">
        <f t="shared" si="28"/>
        <v>0</v>
      </c>
      <c r="CJ34" s="16">
        <f t="shared" si="28"/>
        <v>0</v>
      </c>
      <c r="CK34" s="16">
        <f t="shared" si="28"/>
        <v>0</v>
      </c>
      <c r="CL34" s="16">
        <f t="shared" si="28"/>
        <v>0</v>
      </c>
      <c r="CM34" s="16">
        <f t="shared" si="28"/>
        <v>0</v>
      </c>
      <c r="CN34" s="16">
        <f t="shared" si="28"/>
        <v>0</v>
      </c>
      <c r="CO34" s="16">
        <f t="shared" si="28"/>
        <v>0</v>
      </c>
      <c r="CP34" s="16">
        <f t="shared" si="28"/>
        <v>0</v>
      </c>
      <c r="CQ34" s="16">
        <f t="shared" si="28"/>
        <v>0</v>
      </c>
      <c r="CR34" s="16">
        <f t="shared" si="28"/>
        <v>0</v>
      </c>
      <c r="CS34" s="16">
        <f t="shared" si="28"/>
        <v>0</v>
      </c>
      <c r="CT34" s="16">
        <f t="shared" si="28"/>
        <v>0</v>
      </c>
      <c r="CU34" s="16">
        <f t="shared" si="28"/>
        <v>0</v>
      </c>
      <c r="CV34" s="16">
        <f t="shared" si="28"/>
        <v>0</v>
      </c>
      <c r="CW34" s="17">
        <f t="shared" si="28"/>
        <v>0</v>
      </c>
      <c r="CX34" s="40"/>
    </row>
    <row r="35" spans="1:102" ht="15.75" hidden="1" x14ac:dyDescent="0.25">
      <c r="A35" s="13" t="s">
        <v>1</v>
      </c>
      <c r="B35" s="14" t="s">
        <v>1</v>
      </c>
      <c r="C35" s="14" t="s">
        <v>43</v>
      </c>
      <c r="D35" s="30" t="s">
        <v>49</v>
      </c>
      <c r="E35" s="15">
        <f>SUM(F35+BY35+CT35)</f>
        <v>29408143</v>
      </c>
      <c r="F35" s="16">
        <f>SUM(G35+BA35)</f>
        <v>28995586</v>
      </c>
      <c r="G35" s="16">
        <f>SUM(H35+I35+J35+Q35+T35+U35+V35+AE35)</f>
        <v>26893186</v>
      </c>
      <c r="H35" s="16">
        <v>20627829</v>
      </c>
      <c r="I35" s="16">
        <v>1873770</v>
      </c>
      <c r="J35" s="16">
        <f t="shared" si="4"/>
        <v>1756385</v>
      </c>
      <c r="K35" s="16">
        <v>0</v>
      </c>
      <c r="L35" s="16">
        <v>1207905</v>
      </c>
      <c r="M35" s="16">
        <v>0</v>
      </c>
      <c r="N35" s="16">
        <v>0</v>
      </c>
      <c r="O35" s="16">
        <v>408447</v>
      </c>
      <c r="P35" s="16">
        <v>140033</v>
      </c>
      <c r="Q35" s="16">
        <f t="shared" si="5"/>
        <v>109111</v>
      </c>
      <c r="R35" s="16">
        <v>0</v>
      </c>
      <c r="S35" s="16">
        <v>109111</v>
      </c>
      <c r="T35" s="16">
        <v>0</v>
      </c>
      <c r="U35" s="16">
        <v>652056</v>
      </c>
      <c r="V35" s="16">
        <f>SUM(W35:AD35)</f>
        <v>152164</v>
      </c>
      <c r="W35" s="16">
        <v>31312</v>
      </c>
      <c r="X35" s="16">
        <v>44014</v>
      </c>
      <c r="Y35" s="16">
        <v>55992</v>
      </c>
      <c r="Z35" s="16">
        <v>8125</v>
      </c>
      <c r="AA35" s="16">
        <v>8380</v>
      </c>
      <c r="AB35" s="16">
        <v>0</v>
      </c>
      <c r="AC35" s="16">
        <v>0</v>
      </c>
      <c r="AD35" s="16">
        <v>4341</v>
      </c>
      <c r="AE35" s="16">
        <f>SUM(AF35:AZ35)</f>
        <v>1721871</v>
      </c>
      <c r="AF35" s="16">
        <v>0</v>
      </c>
      <c r="AG35" s="16">
        <v>98435</v>
      </c>
      <c r="AH35" s="16">
        <v>37587</v>
      </c>
      <c r="AI35" s="16">
        <v>0</v>
      </c>
      <c r="AJ35" s="16">
        <v>22276</v>
      </c>
      <c r="AK35" s="16">
        <v>0</v>
      </c>
      <c r="AL35" s="16">
        <v>206278</v>
      </c>
      <c r="AM35" s="16">
        <f>19436+18000</f>
        <v>37436</v>
      </c>
      <c r="AN35" s="16">
        <v>0</v>
      </c>
      <c r="AO35" s="16">
        <v>0</v>
      </c>
      <c r="AP35" s="16">
        <v>0</v>
      </c>
      <c r="AQ35" s="16">
        <v>0</v>
      </c>
      <c r="AR35" s="16">
        <v>54445</v>
      </c>
      <c r="AS35" s="16">
        <v>0</v>
      </c>
      <c r="AT35" s="16">
        <v>0</v>
      </c>
      <c r="AU35" s="16">
        <v>0</v>
      </c>
      <c r="AV35" s="16">
        <v>0</v>
      </c>
      <c r="AW35" s="16">
        <v>1257940</v>
      </c>
      <c r="AX35" s="16">
        <v>0</v>
      </c>
      <c r="AY35" s="16">
        <v>0</v>
      </c>
      <c r="AZ35" s="16">
        <v>7474</v>
      </c>
      <c r="BA35" s="16">
        <f>SUM(BB35+BF35+BI35+BK35+BM35)</f>
        <v>2102400</v>
      </c>
      <c r="BB35" s="16">
        <f>SUM(BC35:BE35)</f>
        <v>0</v>
      </c>
      <c r="BC35" s="16">
        <v>0</v>
      </c>
      <c r="BD35" s="16">
        <v>0</v>
      </c>
      <c r="BE35" s="16">
        <v>0</v>
      </c>
      <c r="BF35" s="16">
        <f t="shared" si="6"/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f t="shared" si="7"/>
        <v>0</v>
      </c>
      <c r="BL35" s="16">
        <v>0</v>
      </c>
      <c r="BM35" s="16">
        <f t="shared" si="8"/>
        <v>2102400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2102400</v>
      </c>
      <c r="BX35" s="16">
        <v>0</v>
      </c>
      <c r="BY35" s="16">
        <f>SUM(BZ35+CS35)</f>
        <v>412557</v>
      </c>
      <c r="BZ35" s="16">
        <f>SUM(CA35+CD35+CK35)</f>
        <v>412557</v>
      </c>
      <c r="CA35" s="16">
        <f t="shared" si="9"/>
        <v>412557</v>
      </c>
      <c r="CB35" s="16">
        <v>0</v>
      </c>
      <c r="CC35" s="16">
        <v>412557</v>
      </c>
      <c r="CD35" s="16">
        <f t="shared" si="10"/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f t="shared" si="11"/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f t="shared" si="12"/>
        <v>0</v>
      </c>
      <c r="CU35" s="16">
        <f t="shared" si="13"/>
        <v>0</v>
      </c>
      <c r="CV35" s="16">
        <v>0</v>
      </c>
      <c r="CW35" s="17">
        <v>0</v>
      </c>
      <c r="CX35" s="40"/>
    </row>
    <row r="36" spans="1:102" ht="31.5" hidden="1" x14ac:dyDescent="0.25">
      <c r="A36" s="13" t="s">
        <v>3</v>
      </c>
      <c r="B36" s="14" t="s">
        <v>50</v>
      </c>
      <c r="C36" s="14" t="s">
        <v>1</v>
      </c>
      <c r="D36" s="30" t="s">
        <v>51</v>
      </c>
      <c r="E36" s="15">
        <f t="shared" ref="E36:AJ36" si="29">SUM(E37:E41)</f>
        <v>18398638</v>
      </c>
      <c r="F36" s="16">
        <f t="shared" si="29"/>
        <v>18011770</v>
      </c>
      <c r="G36" s="16">
        <f t="shared" si="29"/>
        <v>18009086</v>
      </c>
      <c r="H36" s="16">
        <f t="shared" si="29"/>
        <v>11634628</v>
      </c>
      <c r="I36" s="16">
        <f t="shared" si="29"/>
        <v>2806403</v>
      </c>
      <c r="J36" s="16">
        <f t="shared" si="29"/>
        <v>790890</v>
      </c>
      <c r="K36" s="16">
        <f t="shared" si="29"/>
        <v>0</v>
      </c>
      <c r="L36" s="16">
        <f t="shared" si="29"/>
        <v>90519</v>
      </c>
      <c r="M36" s="16">
        <f t="shared" si="29"/>
        <v>0</v>
      </c>
      <c r="N36" s="16">
        <f t="shared" si="29"/>
        <v>0</v>
      </c>
      <c r="O36" s="16">
        <f t="shared" si="29"/>
        <v>329485</v>
      </c>
      <c r="P36" s="16">
        <f t="shared" si="29"/>
        <v>370886</v>
      </c>
      <c r="Q36" s="16">
        <f t="shared" si="29"/>
        <v>484745</v>
      </c>
      <c r="R36" s="16">
        <f t="shared" si="29"/>
        <v>934</v>
      </c>
      <c r="S36" s="16">
        <f t="shared" si="29"/>
        <v>483811</v>
      </c>
      <c r="T36" s="16">
        <f t="shared" si="29"/>
        <v>0</v>
      </c>
      <c r="U36" s="16">
        <f t="shared" si="29"/>
        <v>465182</v>
      </c>
      <c r="V36" s="16">
        <f t="shared" si="29"/>
        <v>779024</v>
      </c>
      <c r="W36" s="16">
        <f t="shared" si="29"/>
        <v>88417</v>
      </c>
      <c r="X36" s="16">
        <f t="shared" si="29"/>
        <v>42545</v>
      </c>
      <c r="Y36" s="16">
        <f t="shared" si="29"/>
        <v>48143</v>
      </c>
      <c r="Z36" s="16">
        <f t="shared" si="29"/>
        <v>5709</v>
      </c>
      <c r="AA36" s="16">
        <f t="shared" si="29"/>
        <v>5272</v>
      </c>
      <c r="AB36" s="16">
        <f t="shared" si="29"/>
        <v>584816</v>
      </c>
      <c r="AC36" s="16">
        <f t="shared" si="29"/>
        <v>0</v>
      </c>
      <c r="AD36" s="16">
        <f t="shared" ref="AD36" si="30">SUM(AD37:AD41)</f>
        <v>4122</v>
      </c>
      <c r="AE36" s="16">
        <f t="shared" si="29"/>
        <v>1048214</v>
      </c>
      <c r="AF36" s="16">
        <f t="shared" si="29"/>
        <v>0</v>
      </c>
      <c r="AG36" s="16">
        <f t="shared" si="29"/>
        <v>93180</v>
      </c>
      <c r="AH36" s="16">
        <f t="shared" si="29"/>
        <v>165142</v>
      </c>
      <c r="AI36" s="16">
        <f t="shared" si="29"/>
        <v>0</v>
      </c>
      <c r="AJ36" s="16">
        <f t="shared" si="29"/>
        <v>22661</v>
      </c>
      <c r="AK36" s="16">
        <f t="shared" ref="AK36:CV36" si="31">SUM(AK37:AK41)</f>
        <v>0</v>
      </c>
      <c r="AL36" s="16">
        <f t="shared" si="31"/>
        <v>110973</v>
      </c>
      <c r="AM36" s="16">
        <f t="shared" si="31"/>
        <v>251553</v>
      </c>
      <c r="AN36" s="16">
        <f t="shared" si="31"/>
        <v>7566</v>
      </c>
      <c r="AO36" s="16">
        <f t="shared" si="31"/>
        <v>0</v>
      </c>
      <c r="AP36" s="16">
        <f t="shared" si="31"/>
        <v>0</v>
      </c>
      <c r="AQ36" s="16">
        <f t="shared" si="31"/>
        <v>0</v>
      </c>
      <c r="AR36" s="16">
        <f t="shared" si="31"/>
        <v>18164</v>
      </c>
      <c r="AS36" s="16">
        <f t="shared" si="31"/>
        <v>7728</v>
      </c>
      <c r="AT36" s="16">
        <f t="shared" si="31"/>
        <v>0</v>
      </c>
      <c r="AU36" s="16">
        <f t="shared" si="31"/>
        <v>0</v>
      </c>
      <c r="AV36" s="16">
        <f t="shared" si="31"/>
        <v>0</v>
      </c>
      <c r="AW36" s="16">
        <f t="shared" si="31"/>
        <v>0</v>
      </c>
      <c r="AX36" s="16">
        <f t="shared" si="31"/>
        <v>0</v>
      </c>
      <c r="AY36" s="16">
        <f t="shared" si="31"/>
        <v>40000</v>
      </c>
      <c r="AZ36" s="16">
        <f t="shared" si="31"/>
        <v>331247</v>
      </c>
      <c r="BA36" s="16">
        <f t="shared" si="31"/>
        <v>2684</v>
      </c>
      <c r="BB36" s="16">
        <f t="shared" si="31"/>
        <v>0</v>
      </c>
      <c r="BC36" s="16">
        <f t="shared" si="31"/>
        <v>0</v>
      </c>
      <c r="BD36" s="16">
        <f t="shared" si="31"/>
        <v>0</v>
      </c>
      <c r="BE36" s="16">
        <f t="shared" si="31"/>
        <v>0</v>
      </c>
      <c r="BF36" s="16">
        <f t="shared" si="31"/>
        <v>0</v>
      </c>
      <c r="BG36" s="16">
        <f t="shared" si="31"/>
        <v>0</v>
      </c>
      <c r="BH36" s="16">
        <f t="shared" si="31"/>
        <v>0</v>
      </c>
      <c r="BI36" s="16">
        <f t="shared" si="31"/>
        <v>0</v>
      </c>
      <c r="BJ36" s="16">
        <f t="shared" si="31"/>
        <v>0</v>
      </c>
      <c r="BK36" s="16">
        <f t="shared" si="31"/>
        <v>0</v>
      </c>
      <c r="BL36" s="16">
        <f t="shared" si="31"/>
        <v>0</v>
      </c>
      <c r="BM36" s="16">
        <f t="shared" si="31"/>
        <v>2684</v>
      </c>
      <c r="BN36" s="16">
        <f t="shared" si="31"/>
        <v>0</v>
      </c>
      <c r="BO36" s="16">
        <f t="shared" si="31"/>
        <v>0</v>
      </c>
      <c r="BP36" s="16">
        <f t="shared" si="31"/>
        <v>0</v>
      </c>
      <c r="BQ36" s="16">
        <f t="shared" si="31"/>
        <v>0</v>
      </c>
      <c r="BR36" s="16">
        <f t="shared" si="31"/>
        <v>0</v>
      </c>
      <c r="BS36" s="16">
        <f t="shared" si="31"/>
        <v>0</v>
      </c>
      <c r="BT36" s="16">
        <f t="shared" si="31"/>
        <v>0</v>
      </c>
      <c r="BU36" s="16">
        <f t="shared" si="31"/>
        <v>0</v>
      </c>
      <c r="BV36" s="16">
        <f t="shared" si="31"/>
        <v>0</v>
      </c>
      <c r="BW36" s="16">
        <f t="shared" si="31"/>
        <v>2684</v>
      </c>
      <c r="BX36" s="16">
        <f t="shared" si="31"/>
        <v>0</v>
      </c>
      <c r="BY36" s="16">
        <f t="shared" si="31"/>
        <v>386868</v>
      </c>
      <c r="BZ36" s="16">
        <f t="shared" si="31"/>
        <v>386868</v>
      </c>
      <c r="CA36" s="16">
        <f t="shared" si="31"/>
        <v>386868</v>
      </c>
      <c r="CB36" s="16">
        <f t="shared" si="31"/>
        <v>0</v>
      </c>
      <c r="CC36" s="16">
        <f t="shared" si="31"/>
        <v>386868</v>
      </c>
      <c r="CD36" s="16">
        <f t="shared" si="31"/>
        <v>0</v>
      </c>
      <c r="CE36" s="16">
        <f t="shared" si="31"/>
        <v>0</v>
      </c>
      <c r="CF36" s="16">
        <f t="shared" si="31"/>
        <v>0</v>
      </c>
      <c r="CG36" s="16">
        <f t="shared" si="31"/>
        <v>0</v>
      </c>
      <c r="CH36" s="16">
        <f t="shared" si="31"/>
        <v>0</v>
      </c>
      <c r="CI36" s="16">
        <f t="shared" si="31"/>
        <v>0</v>
      </c>
      <c r="CJ36" s="16">
        <f t="shared" si="31"/>
        <v>0</v>
      </c>
      <c r="CK36" s="16">
        <f t="shared" si="31"/>
        <v>0</v>
      </c>
      <c r="CL36" s="16">
        <f t="shared" si="31"/>
        <v>0</v>
      </c>
      <c r="CM36" s="16">
        <f t="shared" si="31"/>
        <v>0</v>
      </c>
      <c r="CN36" s="16">
        <f t="shared" si="31"/>
        <v>0</v>
      </c>
      <c r="CO36" s="16">
        <f t="shared" si="31"/>
        <v>0</v>
      </c>
      <c r="CP36" s="16">
        <f t="shared" si="31"/>
        <v>0</v>
      </c>
      <c r="CQ36" s="16">
        <f t="shared" si="31"/>
        <v>0</v>
      </c>
      <c r="CR36" s="16">
        <f t="shared" si="31"/>
        <v>0</v>
      </c>
      <c r="CS36" s="16">
        <f t="shared" si="31"/>
        <v>0</v>
      </c>
      <c r="CT36" s="16">
        <f t="shared" si="31"/>
        <v>0</v>
      </c>
      <c r="CU36" s="16">
        <f t="shared" si="31"/>
        <v>0</v>
      </c>
      <c r="CV36" s="16">
        <f t="shared" si="31"/>
        <v>0</v>
      </c>
      <c r="CW36" s="17">
        <f t="shared" ref="CW36" si="32">SUM(CW37:CW41)</f>
        <v>0</v>
      </c>
      <c r="CX36" s="40"/>
    </row>
    <row r="37" spans="1:102" ht="15.75" hidden="1" x14ac:dyDescent="0.25">
      <c r="A37" s="13" t="s">
        <v>1</v>
      </c>
      <c r="B37" s="14" t="s">
        <v>1</v>
      </c>
      <c r="C37" s="14" t="s">
        <v>17</v>
      </c>
      <c r="D37" s="30" t="s">
        <v>497</v>
      </c>
      <c r="E37" s="15">
        <f>SUM(F37+BY37+CT37)</f>
        <v>1704703</v>
      </c>
      <c r="F37" s="16">
        <f>SUM(G37+BA37)</f>
        <v>1570401</v>
      </c>
      <c r="G37" s="16">
        <f>SUM(H37+I37+J37+Q37+T37+U37+V37+AE37)</f>
        <v>1570401</v>
      </c>
      <c r="H37" s="16">
        <v>743964</v>
      </c>
      <c r="I37" s="16">
        <v>175748</v>
      </c>
      <c r="J37" s="16">
        <f t="shared" si="4"/>
        <v>98120</v>
      </c>
      <c r="K37" s="16">
        <v>0</v>
      </c>
      <c r="L37" s="16">
        <v>0</v>
      </c>
      <c r="M37" s="16">
        <v>0</v>
      </c>
      <c r="N37" s="16">
        <v>0</v>
      </c>
      <c r="O37" s="16">
        <v>25511</v>
      </c>
      <c r="P37" s="16">
        <f>33163+39446</f>
        <v>72609</v>
      </c>
      <c r="Q37" s="16">
        <f t="shared" si="5"/>
        <v>37548</v>
      </c>
      <c r="R37" s="16">
        <v>0</v>
      </c>
      <c r="S37" s="16">
        <f>150192-112644</f>
        <v>37548</v>
      </c>
      <c r="T37" s="16">
        <v>0</v>
      </c>
      <c r="U37" s="16">
        <v>104374</v>
      </c>
      <c r="V37" s="16">
        <f>SUM(W37:AD37)</f>
        <v>190000</v>
      </c>
      <c r="W37" s="16">
        <v>0</v>
      </c>
      <c r="X37" s="16">
        <v>0</v>
      </c>
      <c r="Y37" s="16">
        <v>10000</v>
      </c>
      <c r="Z37" s="16">
        <v>0</v>
      </c>
      <c r="AA37" s="16">
        <v>0</v>
      </c>
      <c r="AB37" s="16">
        <v>180000</v>
      </c>
      <c r="AC37" s="16">
        <v>0</v>
      </c>
      <c r="AD37" s="16">
        <v>0</v>
      </c>
      <c r="AE37" s="16">
        <f>SUM(AF37:AZ37)</f>
        <v>220647</v>
      </c>
      <c r="AF37" s="16">
        <v>0</v>
      </c>
      <c r="AG37" s="16">
        <v>0</v>
      </c>
      <c r="AH37" s="16">
        <v>0</v>
      </c>
      <c r="AI37" s="16">
        <v>0</v>
      </c>
      <c r="AJ37" s="16">
        <v>1591</v>
      </c>
      <c r="AK37" s="16">
        <v>0</v>
      </c>
      <c r="AL37" s="16">
        <v>0</v>
      </c>
      <c r="AM37" s="16">
        <v>100000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f>0+40000</f>
        <v>40000</v>
      </c>
      <c r="AZ37" s="16">
        <f>68756+10300</f>
        <v>79056</v>
      </c>
      <c r="BA37" s="16">
        <f>SUM(BB37+BF37+BI37+BK37+BM37)</f>
        <v>0</v>
      </c>
      <c r="BB37" s="16">
        <f>SUM(BC37:BE37)</f>
        <v>0</v>
      </c>
      <c r="BC37" s="16">
        <v>0</v>
      </c>
      <c r="BD37" s="16">
        <v>0</v>
      </c>
      <c r="BE37" s="16">
        <v>0</v>
      </c>
      <c r="BF37" s="16">
        <f t="shared" si="6"/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f t="shared" si="7"/>
        <v>0</v>
      </c>
      <c r="BL37" s="16">
        <v>0</v>
      </c>
      <c r="BM37" s="16">
        <f t="shared" si="8"/>
        <v>0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f>SUM(BZ37+CS37)</f>
        <v>134302</v>
      </c>
      <c r="BZ37" s="16">
        <f>SUM(CA37+CD37+CK37)</f>
        <v>134302</v>
      </c>
      <c r="CA37" s="16">
        <f t="shared" si="9"/>
        <v>134302</v>
      </c>
      <c r="CB37" s="16">
        <v>0</v>
      </c>
      <c r="CC37" s="16">
        <f>111404+22898</f>
        <v>134302</v>
      </c>
      <c r="CD37" s="16">
        <f t="shared" si="10"/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f t="shared" si="11"/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f t="shared" si="12"/>
        <v>0</v>
      </c>
      <c r="CU37" s="16">
        <f t="shared" si="13"/>
        <v>0</v>
      </c>
      <c r="CV37" s="16">
        <v>0</v>
      </c>
      <c r="CW37" s="17">
        <v>0</v>
      </c>
      <c r="CX37" s="40"/>
    </row>
    <row r="38" spans="1:102" ht="31.5" hidden="1" x14ac:dyDescent="0.25">
      <c r="A38" s="13" t="s">
        <v>1</v>
      </c>
      <c r="B38" s="14" t="s">
        <v>1</v>
      </c>
      <c r="C38" s="14" t="s">
        <v>17</v>
      </c>
      <c r="D38" s="30" t="s">
        <v>496</v>
      </c>
      <c r="E38" s="15">
        <f>SUM(F38+BY38+CT38)</f>
        <v>2763702</v>
      </c>
      <c r="F38" s="16">
        <f>SUM(G38+BA38)</f>
        <v>2718098</v>
      </c>
      <c r="G38" s="16">
        <f>SUM(H38+I38+J38+Q38+T38+U38+V38+AE38)</f>
        <v>2718098</v>
      </c>
      <c r="H38" s="16">
        <f>1180211+71000</f>
        <v>1251211</v>
      </c>
      <c r="I38" s="16">
        <f>295053+17750</f>
        <v>312803</v>
      </c>
      <c r="J38" s="16">
        <f>SUM(K38:P38)</f>
        <v>155461</v>
      </c>
      <c r="K38" s="16">
        <v>0</v>
      </c>
      <c r="L38" s="16">
        <v>0</v>
      </c>
      <c r="M38" s="16">
        <v>0</v>
      </c>
      <c r="N38" s="16">
        <v>0</v>
      </c>
      <c r="O38" s="16">
        <f>64825+25000</f>
        <v>89825</v>
      </c>
      <c r="P38" s="16">
        <v>65636</v>
      </c>
      <c r="Q38" s="16">
        <f>SUM(R38:S38)</f>
        <v>431244</v>
      </c>
      <c r="R38" s="16">
        <v>0</v>
      </c>
      <c r="S38" s="16">
        <v>431244</v>
      </c>
      <c r="T38" s="16">
        <v>0</v>
      </c>
      <c r="U38" s="16">
        <v>15511</v>
      </c>
      <c r="V38" s="16">
        <f>SUM(W38:AD38)</f>
        <v>330132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330132</v>
      </c>
      <c r="AC38" s="16">
        <v>0</v>
      </c>
      <c r="AD38" s="16">
        <v>0</v>
      </c>
      <c r="AE38" s="16">
        <f>SUM(AF38:AZ38)</f>
        <v>221736</v>
      </c>
      <c r="AF38" s="16">
        <v>0</v>
      </c>
      <c r="AG38" s="16">
        <v>2310</v>
      </c>
      <c r="AH38" s="16">
        <v>1549</v>
      </c>
      <c r="AI38" s="16">
        <v>0</v>
      </c>
      <c r="AJ38" s="16">
        <v>1591</v>
      </c>
      <c r="AK38" s="16">
        <v>0</v>
      </c>
      <c r="AL38" s="16">
        <v>11802</v>
      </c>
      <c r="AM38" s="16">
        <v>120000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7728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f>68756+8000</f>
        <v>76756</v>
      </c>
      <c r="BA38" s="16">
        <f>SUM(BB38+BF38+BI38+BK38+BM38)</f>
        <v>0</v>
      </c>
      <c r="BB38" s="16">
        <f>SUM(BC38:BE38)</f>
        <v>0</v>
      </c>
      <c r="BC38" s="16">
        <v>0</v>
      </c>
      <c r="BD38" s="16">
        <v>0</v>
      </c>
      <c r="BE38" s="16">
        <v>0</v>
      </c>
      <c r="BF38" s="16">
        <f>SUM(BG38:BH38)</f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f>SUM(BL38)</f>
        <v>0</v>
      </c>
      <c r="BL38" s="16">
        <v>0</v>
      </c>
      <c r="BM38" s="16">
        <f>SUM(BN38:BX38)</f>
        <v>0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0</v>
      </c>
      <c r="BX38" s="16">
        <v>0</v>
      </c>
      <c r="BY38" s="16">
        <f>SUM(BZ38+CS38)</f>
        <v>45604</v>
      </c>
      <c r="BZ38" s="16">
        <f>SUM(CA38+CD38+CK38)</f>
        <v>45604</v>
      </c>
      <c r="CA38" s="16">
        <f>SUM(CB38:CC38)</f>
        <v>45604</v>
      </c>
      <c r="CB38" s="16">
        <v>0</v>
      </c>
      <c r="CC38" s="16">
        <f>23604+22000</f>
        <v>45604</v>
      </c>
      <c r="CD38" s="16">
        <f>SUM(CE38:CI38)</f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16">
        <f>SUM(CL38:CP38)</f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f>SUM(CU38)</f>
        <v>0</v>
      </c>
      <c r="CU38" s="16">
        <f>SUM(CV38:CW38)</f>
        <v>0</v>
      </c>
      <c r="CV38" s="16">
        <v>0</v>
      </c>
      <c r="CW38" s="17">
        <v>0</v>
      </c>
      <c r="CX38" s="40"/>
    </row>
    <row r="39" spans="1:102" ht="15.75" hidden="1" x14ac:dyDescent="0.25">
      <c r="A39" s="13" t="s">
        <v>1</v>
      </c>
      <c r="B39" s="14" t="s">
        <v>1</v>
      </c>
      <c r="C39" s="14" t="s">
        <v>17</v>
      </c>
      <c r="D39" s="30" t="s">
        <v>498</v>
      </c>
      <c r="E39" s="15">
        <f>SUM(F39+BY39+CT39)</f>
        <v>217401</v>
      </c>
      <c r="F39" s="16">
        <f>SUM(G39+BA39)</f>
        <v>207498</v>
      </c>
      <c r="G39" s="16">
        <f>SUM(H39+I39+J39+Q39+T39+U39+V39+AE39)</f>
        <v>207498</v>
      </c>
      <c r="H39" s="16">
        <f>71660+71660</f>
        <v>143320</v>
      </c>
      <c r="I39" s="16">
        <f>17033+17033</f>
        <v>34066</v>
      </c>
      <c r="J39" s="16">
        <f t="shared" si="4"/>
        <v>5755</v>
      </c>
      <c r="K39" s="16">
        <v>0</v>
      </c>
      <c r="L39" s="16">
        <v>0</v>
      </c>
      <c r="M39" s="16">
        <v>0</v>
      </c>
      <c r="N39" s="16">
        <v>0</v>
      </c>
      <c r="O39" s="16">
        <v>2551</v>
      </c>
      <c r="P39" s="16">
        <v>3204</v>
      </c>
      <c r="Q39" s="16">
        <f t="shared" si="5"/>
        <v>15019</v>
      </c>
      <c r="R39" s="16">
        <v>0</v>
      </c>
      <c r="S39" s="16">
        <v>15019</v>
      </c>
      <c r="T39" s="16">
        <v>0</v>
      </c>
      <c r="U39" s="16">
        <v>1205</v>
      </c>
      <c r="V39" s="16">
        <f>SUM(W39:AD39)</f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f>SUM(AF39:AZ39)</f>
        <v>8133</v>
      </c>
      <c r="AF39" s="16">
        <v>0</v>
      </c>
      <c r="AG39" s="16">
        <v>457</v>
      </c>
      <c r="AH39" s="16">
        <v>0</v>
      </c>
      <c r="AI39" s="16">
        <v>0</v>
      </c>
      <c r="AJ39" s="16">
        <v>159</v>
      </c>
      <c r="AK39" s="16">
        <v>0</v>
      </c>
      <c r="AL39" s="16">
        <v>641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6876</v>
      </c>
      <c r="BA39" s="16">
        <f>SUM(BB39+BF39+BI39+BK39+BM39)</f>
        <v>0</v>
      </c>
      <c r="BB39" s="16">
        <f>SUM(BC39:BE39)</f>
        <v>0</v>
      </c>
      <c r="BC39" s="16">
        <v>0</v>
      </c>
      <c r="BD39" s="16">
        <v>0</v>
      </c>
      <c r="BE39" s="16">
        <v>0</v>
      </c>
      <c r="BF39" s="16">
        <f t="shared" si="6"/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f t="shared" si="7"/>
        <v>0</v>
      </c>
      <c r="BL39" s="16">
        <v>0</v>
      </c>
      <c r="BM39" s="16">
        <f t="shared" si="8"/>
        <v>0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0</v>
      </c>
      <c r="BX39" s="16">
        <v>0</v>
      </c>
      <c r="BY39" s="16">
        <f>SUM(BZ39+CS39)</f>
        <v>9903</v>
      </c>
      <c r="BZ39" s="16">
        <f>SUM(CA39+CD39+CK39)</f>
        <v>9903</v>
      </c>
      <c r="CA39" s="16">
        <f t="shared" si="9"/>
        <v>9903</v>
      </c>
      <c r="CB39" s="16">
        <v>0</v>
      </c>
      <c r="CC39" s="16">
        <v>9903</v>
      </c>
      <c r="CD39" s="16">
        <f t="shared" si="10"/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f t="shared" si="11"/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f t="shared" si="12"/>
        <v>0</v>
      </c>
      <c r="CU39" s="16">
        <f t="shared" si="13"/>
        <v>0</v>
      </c>
      <c r="CV39" s="16">
        <v>0</v>
      </c>
      <c r="CW39" s="17">
        <v>0</v>
      </c>
      <c r="CX39" s="40"/>
    </row>
    <row r="40" spans="1:102" ht="15.75" hidden="1" x14ac:dyDescent="0.25">
      <c r="A40" s="13" t="s">
        <v>1</v>
      </c>
      <c r="B40" s="14" t="s">
        <v>1</v>
      </c>
      <c r="C40" s="14" t="s">
        <v>25</v>
      </c>
      <c r="D40" s="30" t="s">
        <v>52</v>
      </c>
      <c r="E40" s="15">
        <f>SUM(F40+BY40+CT40)</f>
        <v>8522507</v>
      </c>
      <c r="F40" s="16">
        <f>SUM(G40+BA40)</f>
        <v>8390920</v>
      </c>
      <c r="G40" s="16">
        <f>SUM(H40+I40+J40+Q40+T40+U40+V40+AE40)</f>
        <v>8388236</v>
      </c>
      <c r="H40" s="16">
        <v>5957760</v>
      </c>
      <c r="I40" s="16">
        <v>1423100</v>
      </c>
      <c r="J40" s="16">
        <f t="shared" si="4"/>
        <v>290917</v>
      </c>
      <c r="K40" s="16">
        <v>0</v>
      </c>
      <c r="L40" s="16">
        <v>90519</v>
      </c>
      <c r="M40" s="16">
        <v>0</v>
      </c>
      <c r="N40" s="16">
        <v>0</v>
      </c>
      <c r="O40" s="16">
        <f>33502+25000</f>
        <v>58502</v>
      </c>
      <c r="P40" s="16">
        <f>141673+223</f>
        <v>141896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195026</v>
      </c>
      <c r="V40" s="16">
        <f>SUM(W40:AD40)</f>
        <v>188499</v>
      </c>
      <c r="W40" s="16">
        <f>97870-9453</f>
        <v>88417</v>
      </c>
      <c r="X40" s="16">
        <v>18837</v>
      </c>
      <c r="Y40" s="16">
        <v>30949</v>
      </c>
      <c r="Z40" s="16">
        <v>4421</v>
      </c>
      <c r="AA40" s="16">
        <f>6259-2718</f>
        <v>3541</v>
      </c>
      <c r="AB40" s="16">
        <f>39067-544</f>
        <v>38523</v>
      </c>
      <c r="AC40" s="16">
        <v>0</v>
      </c>
      <c r="AD40" s="16">
        <v>3811</v>
      </c>
      <c r="AE40" s="16">
        <f>SUM(AF40:AZ40)</f>
        <v>332934</v>
      </c>
      <c r="AF40" s="16">
        <v>0</v>
      </c>
      <c r="AG40" s="16">
        <f>33037+12549</f>
        <v>45586</v>
      </c>
      <c r="AH40" s="16">
        <f>18114+136388</f>
        <v>154502</v>
      </c>
      <c r="AI40" s="16">
        <v>0</v>
      </c>
      <c r="AJ40" s="16">
        <f>3182+5000</f>
        <v>8182</v>
      </c>
      <c r="AK40" s="16">
        <v>0</v>
      </c>
      <c r="AL40" s="16">
        <v>65794</v>
      </c>
      <c r="AM40" s="16">
        <f>40000-8447</f>
        <v>31553</v>
      </c>
      <c r="AN40" s="16">
        <v>7566</v>
      </c>
      <c r="AO40" s="16">
        <v>0</v>
      </c>
      <c r="AP40" s="16">
        <v>0</v>
      </c>
      <c r="AQ40" s="16">
        <v>0</v>
      </c>
      <c r="AR40" s="16">
        <v>18164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1587</v>
      </c>
      <c r="BA40" s="16">
        <f>SUM(BB40+BF40+BI40+BJ40+BK40+BM40)</f>
        <v>2684</v>
      </c>
      <c r="BB40" s="16">
        <f>SUM(BC40:BE40)</f>
        <v>0</v>
      </c>
      <c r="BC40" s="16">
        <v>0</v>
      </c>
      <c r="BD40" s="16">
        <v>0</v>
      </c>
      <c r="BE40" s="16">
        <v>0</v>
      </c>
      <c r="BF40" s="16">
        <f t="shared" si="6"/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f t="shared" si="7"/>
        <v>0</v>
      </c>
      <c r="BL40" s="16">
        <v>0</v>
      </c>
      <c r="BM40" s="16">
        <f t="shared" si="8"/>
        <v>2684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2684</v>
      </c>
      <c r="BX40" s="16">
        <v>0</v>
      </c>
      <c r="BY40" s="16">
        <f>SUM(BZ40+CS40)</f>
        <v>131587</v>
      </c>
      <c r="BZ40" s="16">
        <f>SUM(CA40+CD40+CK40)</f>
        <v>131587</v>
      </c>
      <c r="CA40" s="16">
        <f t="shared" si="9"/>
        <v>131587</v>
      </c>
      <c r="CB40" s="16">
        <v>0</v>
      </c>
      <c r="CC40" s="16">
        <v>131587</v>
      </c>
      <c r="CD40" s="16">
        <f t="shared" si="10"/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16">
        <f t="shared" si="11"/>
        <v>0</v>
      </c>
      <c r="CL40" s="16">
        <v>0</v>
      </c>
      <c r="CM40" s="16">
        <v>0</v>
      </c>
      <c r="CN40" s="16">
        <v>0</v>
      </c>
      <c r="CO40" s="16">
        <v>0</v>
      </c>
      <c r="CP40" s="16">
        <v>0</v>
      </c>
      <c r="CQ40" s="16">
        <v>0</v>
      </c>
      <c r="CR40" s="16">
        <v>0</v>
      </c>
      <c r="CS40" s="16">
        <v>0</v>
      </c>
      <c r="CT40" s="16">
        <f t="shared" si="12"/>
        <v>0</v>
      </c>
      <c r="CU40" s="16">
        <f t="shared" si="13"/>
        <v>0</v>
      </c>
      <c r="CV40" s="16">
        <v>0</v>
      </c>
      <c r="CW40" s="17">
        <v>0</v>
      </c>
      <c r="CX40" s="40"/>
    </row>
    <row r="41" spans="1:102" ht="31.5" hidden="1" x14ac:dyDescent="0.25">
      <c r="A41" s="13" t="s">
        <v>1</v>
      </c>
      <c r="B41" s="14" t="s">
        <v>1</v>
      </c>
      <c r="C41" s="14" t="s">
        <v>29</v>
      </c>
      <c r="D41" s="30" t="s">
        <v>53</v>
      </c>
      <c r="E41" s="15">
        <f>SUM(F41+BY41+CT41)</f>
        <v>5190325</v>
      </c>
      <c r="F41" s="16">
        <f>SUM(G41+BA41)</f>
        <v>5124853</v>
      </c>
      <c r="G41" s="16">
        <f>SUM(H41+I41+J41+Q41+T41+U41+V41+AE41)</f>
        <v>5124853</v>
      </c>
      <c r="H41" s="16">
        <f>3299880+238493</f>
        <v>3538373</v>
      </c>
      <c r="I41" s="16">
        <f>804640+56046</f>
        <v>860686</v>
      </c>
      <c r="J41" s="16">
        <f t="shared" si="4"/>
        <v>240637</v>
      </c>
      <c r="K41" s="16">
        <v>0</v>
      </c>
      <c r="L41" s="16">
        <v>0</v>
      </c>
      <c r="M41" s="16">
        <v>0</v>
      </c>
      <c r="N41" s="16">
        <v>0</v>
      </c>
      <c r="O41" s="16">
        <v>153096</v>
      </c>
      <c r="P41" s="16">
        <v>87541</v>
      </c>
      <c r="Q41" s="16">
        <f t="shared" si="5"/>
        <v>934</v>
      </c>
      <c r="R41" s="16">
        <v>934</v>
      </c>
      <c r="S41" s="16">
        <v>0</v>
      </c>
      <c r="T41" s="16">
        <v>0</v>
      </c>
      <c r="U41" s="16">
        <v>149066</v>
      </c>
      <c r="V41" s="16">
        <f>SUM(W41:AD41)</f>
        <v>70393</v>
      </c>
      <c r="W41" s="16">
        <v>0</v>
      </c>
      <c r="X41" s="16">
        <v>23708</v>
      </c>
      <c r="Y41" s="16">
        <v>7194</v>
      </c>
      <c r="Z41" s="16">
        <v>1288</v>
      </c>
      <c r="AA41" s="16">
        <v>1731</v>
      </c>
      <c r="AB41" s="16">
        <v>36161</v>
      </c>
      <c r="AC41" s="16">
        <v>0</v>
      </c>
      <c r="AD41" s="16">
        <f>0+311</f>
        <v>311</v>
      </c>
      <c r="AE41" s="16">
        <f>SUM(AF41:AZ41)</f>
        <v>264764</v>
      </c>
      <c r="AF41" s="16">
        <v>0</v>
      </c>
      <c r="AG41" s="16">
        <v>44827</v>
      </c>
      <c r="AH41" s="16">
        <v>9091</v>
      </c>
      <c r="AI41" s="16">
        <v>0</v>
      </c>
      <c r="AJ41" s="16">
        <v>11138</v>
      </c>
      <c r="AK41" s="16">
        <v>0</v>
      </c>
      <c r="AL41" s="16">
        <v>32736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  <c r="AZ41" s="16">
        <v>166972</v>
      </c>
      <c r="BA41" s="16">
        <f>SUM(BB41+BF41+BI41+BJ41+BK41+BM41)</f>
        <v>0</v>
      </c>
      <c r="BB41" s="16">
        <f>SUM(BC41:BE41)</f>
        <v>0</v>
      </c>
      <c r="BC41" s="16">
        <v>0</v>
      </c>
      <c r="BD41" s="16">
        <v>0</v>
      </c>
      <c r="BE41" s="16">
        <v>0</v>
      </c>
      <c r="BF41" s="16">
        <f t="shared" si="6"/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f t="shared" si="7"/>
        <v>0</v>
      </c>
      <c r="BL41" s="16">
        <v>0</v>
      </c>
      <c r="BM41" s="16">
        <f t="shared" si="8"/>
        <v>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0</v>
      </c>
      <c r="BX41" s="16">
        <v>0</v>
      </c>
      <c r="BY41" s="16">
        <f>SUM(BZ41+CS41)</f>
        <v>65472</v>
      </c>
      <c r="BZ41" s="16">
        <f>SUM(CA41+CD41+CK41)</f>
        <v>65472</v>
      </c>
      <c r="CA41" s="16">
        <f t="shared" si="9"/>
        <v>65472</v>
      </c>
      <c r="CB41" s="16">
        <v>0</v>
      </c>
      <c r="CC41" s="16">
        <v>65472</v>
      </c>
      <c r="CD41" s="16">
        <f t="shared" si="10"/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f t="shared" si="11"/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f t="shared" si="12"/>
        <v>0</v>
      </c>
      <c r="CU41" s="16">
        <f t="shared" si="13"/>
        <v>0</v>
      </c>
      <c r="CV41" s="16">
        <v>0</v>
      </c>
      <c r="CW41" s="17">
        <v>0</v>
      </c>
      <c r="CX41" s="40"/>
    </row>
    <row r="42" spans="1:102" ht="15.75" hidden="1" x14ac:dyDescent="0.25">
      <c r="A42" s="13" t="s">
        <v>3</v>
      </c>
      <c r="B42" s="14" t="s">
        <v>54</v>
      </c>
      <c r="C42" s="14" t="s">
        <v>1</v>
      </c>
      <c r="D42" s="30" t="s">
        <v>55</v>
      </c>
      <c r="E42" s="15">
        <f>SUM(E43)</f>
        <v>2882955</v>
      </c>
      <c r="F42" s="16">
        <f t="shared" ref="F42:BS42" si="33">SUM(F43)</f>
        <v>2841243</v>
      </c>
      <c r="G42" s="16">
        <f t="shared" si="33"/>
        <v>2841243</v>
      </c>
      <c r="H42" s="16">
        <f t="shared" si="33"/>
        <v>2163119</v>
      </c>
      <c r="I42" s="16">
        <f t="shared" si="33"/>
        <v>519380</v>
      </c>
      <c r="J42" s="16">
        <f t="shared" si="33"/>
        <v>9514</v>
      </c>
      <c r="K42" s="16">
        <f t="shared" si="33"/>
        <v>0</v>
      </c>
      <c r="L42" s="16">
        <f t="shared" si="33"/>
        <v>0</v>
      </c>
      <c r="M42" s="16">
        <f t="shared" si="33"/>
        <v>0</v>
      </c>
      <c r="N42" s="16">
        <f t="shared" si="33"/>
        <v>0</v>
      </c>
      <c r="O42" s="16">
        <f t="shared" si="33"/>
        <v>0</v>
      </c>
      <c r="P42" s="16">
        <f t="shared" si="33"/>
        <v>9514</v>
      </c>
      <c r="Q42" s="16">
        <f t="shared" si="33"/>
        <v>2622</v>
      </c>
      <c r="R42" s="16">
        <f t="shared" si="33"/>
        <v>2622</v>
      </c>
      <c r="S42" s="16">
        <f t="shared" si="33"/>
        <v>0</v>
      </c>
      <c r="T42" s="16">
        <f t="shared" si="33"/>
        <v>0</v>
      </c>
      <c r="U42" s="16">
        <f t="shared" si="33"/>
        <v>92704</v>
      </c>
      <c r="V42" s="16">
        <f t="shared" si="33"/>
        <v>18668</v>
      </c>
      <c r="W42" s="16">
        <f t="shared" si="33"/>
        <v>3189</v>
      </c>
      <c r="X42" s="16">
        <f t="shared" si="33"/>
        <v>5925</v>
      </c>
      <c r="Y42" s="16">
        <f t="shared" si="33"/>
        <v>4381</v>
      </c>
      <c r="Z42" s="16">
        <f t="shared" si="33"/>
        <v>1102</v>
      </c>
      <c r="AA42" s="16">
        <f t="shared" si="33"/>
        <v>4071</v>
      </c>
      <c r="AB42" s="16">
        <f t="shared" si="33"/>
        <v>0</v>
      </c>
      <c r="AC42" s="16">
        <f t="shared" si="33"/>
        <v>0</v>
      </c>
      <c r="AD42" s="16">
        <f t="shared" si="33"/>
        <v>0</v>
      </c>
      <c r="AE42" s="16">
        <f t="shared" si="33"/>
        <v>35236</v>
      </c>
      <c r="AF42" s="16">
        <f t="shared" si="33"/>
        <v>0</v>
      </c>
      <c r="AG42" s="16">
        <f t="shared" si="33"/>
        <v>1242</v>
      </c>
      <c r="AH42" s="16">
        <f t="shared" si="33"/>
        <v>2000</v>
      </c>
      <c r="AI42" s="16">
        <f t="shared" si="33"/>
        <v>0</v>
      </c>
      <c r="AJ42" s="16">
        <f t="shared" si="33"/>
        <v>11138</v>
      </c>
      <c r="AK42" s="16">
        <f t="shared" si="33"/>
        <v>0</v>
      </c>
      <c r="AL42" s="16">
        <f t="shared" si="33"/>
        <v>20856</v>
      </c>
      <c r="AM42" s="16">
        <f t="shared" si="33"/>
        <v>0</v>
      </c>
      <c r="AN42" s="16">
        <f t="shared" si="33"/>
        <v>0</v>
      </c>
      <c r="AO42" s="16">
        <f t="shared" si="33"/>
        <v>0</v>
      </c>
      <c r="AP42" s="16">
        <f t="shared" si="33"/>
        <v>0</v>
      </c>
      <c r="AQ42" s="16">
        <f t="shared" si="33"/>
        <v>0</v>
      </c>
      <c r="AR42" s="16">
        <f t="shared" si="33"/>
        <v>0</v>
      </c>
      <c r="AS42" s="16">
        <f t="shared" si="33"/>
        <v>0</v>
      </c>
      <c r="AT42" s="16">
        <f t="shared" si="33"/>
        <v>0</v>
      </c>
      <c r="AU42" s="16">
        <f t="shared" si="33"/>
        <v>0</v>
      </c>
      <c r="AV42" s="16">
        <f t="shared" si="33"/>
        <v>0</v>
      </c>
      <c r="AW42" s="16">
        <f t="shared" si="33"/>
        <v>0</v>
      </c>
      <c r="AX42" s="16">
        <f t="shared" si="33"/>
        <v>0</v>
      </c>
      <c r="AY42" s="16">
        <f t="shared" si="33"/>
        <v>0</v>
      </c>
      <c r="AZ42" s="16">
        <f t="shared" si="33"/>
        <v>0</v>
      </c>
      <c r="BA42" s="16">
        <f t="shared" si="33"/>
        <v>0</v>
      </c>
      <c r="BB42" s="16">
        <f t="shared" si="33"/>
        <v>0</v>
      </c>
      <c r="BC42" s="16">
        <f t="shared" si="33"/>
        <v>0</v>
      </c>
      <c r="BD42" s="16">
        <f t="shared" si="33"/>
        <v>0</v>
      </c>
      <c r="BE42" s="16">
        <f t="shared" si="33"/>
        <v>0</v>
      </c>
      <c r="BF42" s="16">
        <f t="shared" si="33"/>
        <v>0</v>
      </c>
      <c r="BG42" s="16">
        <f t="shared" si="33"/>
        <v>0</v>
      </c>
      <c r="BH42" s="16">
        <f t="shared" si="33"/>
        <v>0</v>
      </c>
      <c r="BI42" s="16">
        <f t="shared" si="33"/>
        <v>0</v>
      </c>
      <c r="BJ42" s="16">
        <f t="shared" si="33"/>
        <v>0</v>
      </c>
      <c r="BK42" s="16">
        <f t="shared" si="33"/>
        <v>0</v>
      </c>
      <c r="BL42" s="16">
        <f t="shared" si="33"/>
        <v>0</v>
      </c>
      <c r="BM42" s="16">
        <f t="shared" si="33"/>
        <v>0</v>
      </c>
      <c r="BN42" s="16">
        <f t="shared" si="33"/>
        <v>0</v>
      </c>
      <c r="BO42" s="16">
        <f t="shared" si="33"/>
        <v>0</v>
      </c>
      <c r="BP42" s="16">
        <f t="shared" si="33"/>
        <v>0</v>
      </c>
      <c r="BQ42" s="16">
        <f t="shared" si="33"/>
        <v>0</v>
      </c>
      <c r="BR42" s="16">
        <f t="shared" si="33"/>
        <v>0</v>
      </c>
      <c r="BS42" s="16">
        <f t="shared" si="33"/>
        <v>0</v>
      </c>
      <c r="BT42" s="16">
        <f t="shared" ref="BT42:CW42" si="34">SUM(BT43)</f>
        <v>0</v>
      </c>
      <c r="BU42" s="16">
        <f t="shared" si="34"/>
        <v>0</v>
      </c>
      <c r="BV42" s="16">
        <f t="shared" si="34"/>
        <v>0</v>
      </c>
      <c r="BW42" s="16">
        <f t="shared" si="34"/>
        <v>0</v>
      </c>
      <c r="BX42" s="16">
        <f t="shared" si="34"/>
        <v>0</v>
      </c>
      <c r="BY42" s="16">
        <f t="shared" si="34"/>
        <v>41712</v>
      </c>
      <c r="BZ42" s="16">
        <f t="shared" si="34"/>
        <v>41712</v>
      </c>
      <c r="CA42" s="16">
        <f t="shared" si="34"/>
        <v>41712</v>
      </c>
      <c r="CB42" s="16">
        <f t="shared" si="34"/>
        <v>0</v>
      </c>
      <c r="CC42" s="16">
        <f t="shared" si="34"/>
        <v>41712</v>
      </c>
      <c r="CD42" s="16">
        <f t="shared" si="34"/>
        <v>0</v>
      </c>
      <c r="CE42" s="16">
        <f t="shared" si="34"/>
        <v>0</v>
      </c>
      <c r="CF42" s="16">
        <f t="shared" si="34"/>
        <v>0</v>
      </c>
      <c r="CG42" s="16">
        <f t="shared" si="34"/>
        <v>0</v>
      </c>
      <c r="CH42" s="16">
        <f t="shared" si="34"/>
        <v>0</v>
      </c>
      <c r="CI42" s="16">
        <f t="shared" si="34"/>
        <v>0</v>
      </c>
      <c r="CJ42" s="16">
        <f t="shared" si="34"/>
        <v>0</v>
      </c>
      <c r="CK42" s="16">
        <f t="shared" si="34"/>
        <v>0</v>
      </c>
      <c r="CL42" s="16">
        <f t="shared" si="34"/>
        <v>0</v>
      </c>
      <c r="CM42" s="16">
        <f t="shared" si="34"/>
        <v>0</v>
      </c>
      <c r="CN42" s="16">
        <f t="shared" si="34"/>
        <v>0</v>
      </c>
      <c r="CO42" s="16">
        <f t="shared" si="34"/>
        <v>0</v>
      </c>
      <c r="CP42" s="16">
        <f t="shared" si="34"/>
        <v>0</v>
      </c>
      <c r="CQ42" s="16">
        <f t="shared" si="34"/>
        <v>0</v>
      </c>
      <c r="CR42" s="16">
        <f t="shared" si="34"/>
        <v>0</v>
      </c>
      <c r="CS42" s="16">
        <f t="shared" si="34"/>
        <v>0</v>
      </c>
      <c r="CT42" s="16">
        <f t="shared" si="34"/>
        <v>0</v>
      </c>
      <c r="CU42" s="16">
        <f t="shared" si="34"/>
        <v>0</v>
      </c>
      <c r="CV42" s="16">
        <f t="shared" si="34"/>
        <v>0</v>
      </c>
      <c r="CW42" s="17">
        <f t="shared" si="34"/>
        <v>0</v>
      </c>
      <c r="CX42" s="40"/>
    </row>
    <row r="43" spans="1:102" ht="31.5" hidden="1" x14ac:dyDescent="0.25">
      <c r="A43" s="13" t="s">
        <v>1</v>
      </c>
      <c r="B43" s="14" t="s">
        <v>1</v>
      </c>
      <c r="C43" s="14" t="s">
        <v>45</v>
      </c>
      <c r="D43" s="30" t="s">
        <v>56</v>
      </c>
      <c r="E43" s="15">
        <f>SUM(F43+BY43+CT43)</f>
        <v>2882955</v>
      </c>
      <c r="F43" s="16">
        <f>SUM(G43+BA43)</f>
        <v>2841243</v>
      </c>
      <c r="G43" s="16">
        <f>SUM(H43+I43+J43+Q43+T43+U43+V43+AE43)</f>
        <v>2841243</v>
      </c>
      <c r="H43" s="16">
        <v>2163119</v>
      </c>
      <c r="I43" s="16">
        <v>519380</v>
      </c>
      <c r="J43" s="16">
        <f t="shared" si="4"/>
        <v>9514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9514</v>
      </c>
      <c r="Q43" s="16">
        <f t="shared" si="5"/>
        <v>2622</v>
      </c>
      <c r="R43" s="16">
        <v>2622</v>
      </c>
      <c r="S43" s="16">
        <v>0</v>
      </c>
      <c r="T43" s="16">
        <v>0</v>
      </c>
      <c r="U43" s="16">
        <f>103667-10963</f>
        <v>92704</v>
      </c>
      <c r="V43" s="16">
        <f>SUM(W43:AD43)</f>
        <v>18668</v>
      </c>
      <c r="W43" s="16">
        <v>3189</v>
      </c>
      <c r="X43" s="16">
        <v>5925</v>
      </c>
      <c r="Y43" s="16">
        <v>4381</v>
      </c>
      <c r="Z43" s="16">
        <v>1102</v>
      </c>
      <c r="AA43" s="16">
        <v>4071</v>
      </c>
      <c r="AB43" s="16">
        <v>0</v>
      </c>
      <c r="AC43" s="16">
        <v>0</v>
      </c>
      <c r="AD43" s="16">
        <v>0</v>
      </c>
      <c r="AE43" s="16">
        <f>SUM(AF43:AZ43)</f>
        <v>35236</v>
      </c>
      <c r="AF43" s="16">
        <v>0</v>
      </c>
      <c r="AG43" s="16">
        <v>1242</v>
      </c>
      <c r="AH43" s="16">
        <v>2000</v>
      </c>
      <c r="AI43" s="16">
        <v>0</v>
      </c>
      <c r="AJ43" s="16">
        <v>11138</v>
      </c>
      <c r="AK43" s="16">
        <v>0</v>
      </c>
      <c r="AL43" s="16">
        <v>20856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  <c r="AZ43" s="16">
        <v>0</v>
      </c>
      <c r="BA43" s="16">
        <f>SUM(BB43+BF43+BI43+BJ43+BK43+BM43)</f>
        <v>0</v>
      </c>
      <c r="BB43" s="16">
        <f>SUM(BC43:BE43)</f>
        <v>0</v>
      </c>
      <c r="BC43" s="16">
        <v>0</v>
      </c>
      <c r="BD43" s="16">
        <v>0</v>
      </c>
      <c r="BE43" s="16">
        <v>0</v>
      </c>
      <c r="BF43" s="16">
        <f t="shared" si="6"/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f t="shared" si="7"/>
        <v>0</v>
      </c>
      <c r="BL43" s="16">
        <v>0</v>
      </c>
      <c r="BM43" s="16">
        <f t="shared" si="8"/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f>SUM(BZ43+CS43)</f>
        <v>41712</v>
      </c>
      <c r="BZ43" s="16">
        <f>SUM(CA43+CD43+CK43)</f>
        <v>41712</v>
      </c>
      <c r="CA43" s="16">
        <f t="shared" si="9"/>
        <v>41712</v>
      </c>
      <c r="CB43" s="16">
        <v>0</v>
      </c>
      <c r="CC43" s="16">
        <v>41712</v>
      </c>
      <c r="CD43" s="16">
        <f t="shared" si="10"/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16">
        <f t="shared" si="11"/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0</v>
      </c>
      <c r="CS43" s="16">
        <v>0</v>
      </c>
      <c r="CT43" s="16">
        <f t="shared" si="12"/>
        <v>0</v>
      </c>
      <c r="CU43" s="16">
        <f t="shared" si="13"/>
        <v>0</v>
      </c>
      <c r="CV43" s="16">
        <v>0</v>
      </c>
      <c r="CW43" s="17">
        <v>0</v>
      </c>
      <c r="CX43" s="40"/>
    </row>
    <row r="44" spans="1:102" ht="15.75" hidden="1" x14ac:dyDescent="0.25">
      <c r="A44" s="13" t="s">
        <v>3</v>
      </c>
      <c r="B44" s="14" t="s">
        <v>57</v>
      </c>
      <c r="C44" s="14" t="s">
        <v>1</v>
      </c>
      <c r="D44" s="30" t="s">
        <v>58</v>
      </c>
      <c r="E44" s="15">
        <f t="shared" ref="E44:BP44" si="35">SUM(E45)</f>
        <v>9839237</v>
      </c>
      <c r="F44" s="16">
        <f t="shared" si="35"/>
        <v>9021832</v>
      </c>
      <c r="G44" s="16">
        <f t="shared" si="35"/>
        <v>9004196</v>
      </c>
      <c r="H44" s="16">
        <f t="shared" si="35"/>
        <v>5122823</v>
      </c>
      <c r="I44" s="16">
        <f t="shared" si="35"/>
        <v>1315145</v>
      </c>
      <c r="J44" s="16">
        <f t="shared" si="35"/>
        <v>462331</v>
      </c>
      <c r="K44" s="16">
        <f t="shared" si="35"/>
        <v>0</v>
      </c>
      <c r="L44" s="16">
        <f t="shared" si="35"/>
        <v>0</v>
      </c>
      <c r="M44" s="16">
        <f t="shared" si="35"/>
        <v>0</v>
      </c>
      <c r="N44" s="16">
        <f t="shared" si="35"/>
        <v>0</v>
      </c>
      <c r="O44" s="16">
        <f t="shared" si="35"/>
        <v>300000</v>
      </c>
      <c r="P44" s="16">
        <f t="shared" si="35"/>
        <v>162331</v>
      </c>
      <c r="Q44" s="16">
        <f t="shared" si="35"/>
        <v>460994</v>
      </c>
      <c r="R44" s="16">
        <f t="shared" si="35"/>
        <v>0</v>
      </c>
      <c r="S44" s="16">
        <f t="shared" si="35"/>
        <v>460994</v>
      </c>
      <c r="T44" s="16">
        <f t="shared" si="35"/>
        <v>0</v>
      </c>
      <c r="U44" s="16">
        <f t="shared" si="35"/>
        <v>391832</v>
      </c>
      <c r="V44" s="16">
        <f t="shared" si="35"/>
        <v>503179</v>
      </c>
      <c r="W44" s="16">
        <f t="shared" si="35"/>
        <v>320324</v>
      </c>
      <c r="X44" s="16">
        <f t="shared" si="35"/>
        <v>85862</v>
      </c>
      <c r="Y44" s="16">
        <f t="shared" si="35"/>
        <v>69707</v>
      </c>
      <c r="Z44" s="16">
        <f t="shared" si="35"/>
        <v>14243</v>
      </c>
      <c r="AA44" s="16">
        <f t="shared" si="35"/>
        <v>13043</v>
      </c>
      <c r="AB44" s="16">
        <f t="shared" si="35"/>
        <v>0</v>
      </c>
      <c r="AC44" s="16">
        <f t="shared" si="35"/>
        <v>0</v>
      </c>
      <c r="AD44" s="16">
        <f t="shared" si="35"/>
        <v>0</v>
      </c>
      <c r="AE44" s="16">
        <f t="shared" si="35"/>
        <v>747892</v>
      </c>
      <c r="AF44" s="16">
        <f t="shared" si="35"/>
        <v>0</v>
      </c>
      <c r="AG44" s="16">
        <f t="shared" si="35"/>
        <v>27183</v>
      </c>
      <c r="AH44" s="16">
        <f t="shared" si="35"/>
        <v>37672</v>
      </c>
      <c r="AI44" s="16">
        <f t="shared" si="35"/>
        <v>0</v>
      </c>
      <c r="AJ44" s="16">
        <f t="shared" si="35"/>
        <v>1591</v>
      </c>
      <c r="AK44" s="16">
        <f t="shared" si="35"/>
        <v>20166</v>
      </c>
      <c r="AL44" s="16">
        <f t="shared" si="35"/>
        <v>46750</v>
      </c>
      <c r="AM44" s="16">
        <f t="shared" si="35"/>
        <v>0</v>
      </c>
      <c r="AN44" s="16">
        <f t="shared" si="35"/>
        <v>277213</v>
      </c>
      <c r="AO44" s="16">
        <f t="shared" si="35"/>
        <v>0</v>
      </c>
      <c r="AP44" s="16">
        <f t="shared" si="35"/>
        <v>0</v>
      </c>
      <c r="AQ44" s="16">
        <f t="shared" si="35"/>
        <v>0</v>
      </c>
      <c r="AR44" s="16">
        <f t="shared" si="35"/>
        <v>0</v>
      </c>
      <c r="AS44" s="16">
        <f t="shared" si="35"/>
        <v>14122</v>
      </c>
      <c r="AT44" s="16">
        <f t="shared" si="35"/>
        <v>0</v>
      </c>
      <c r="AU44" s="16">
        <f t="shared" si="35"/>
        <v>0</v>
      </c>
      <c r="AV44" s="16">
        <f t="shared" si="35"/>
        <v>0</v>
      </c>
      <c r="AW44" s="16">
        <f t="shared" si="35"/>
        <v>0</v>
      </c>
      <c r="AX44" s="16">
        <f t="shared" si="35"/>
        <v>0</v>
      </c>
      <c r="AY44" s="16">
        <f t="shared" si="35"/>
        <v>3660</v>
      </c>
      <c r="AZ44" s="16">
        <f t="shared" si="35"/>
        <v>319535</v>
      </c>
      <c r="BA44" s="16">
        <f t="shared" si="35"/>
        <v>17636</v>
      </c>
      <c r="BB44" s="16">
        <f t="shared" si="35"/>
        <v>0</v>
      </c>
      <c r="BC44" s="16">
        <f t="shared" si="35"/>
        <v>0</v>
      </c>
      <c r="BD44" s="16">
        <f t="shared" si="35"/>
        <v>0</v>
      </c>
      <c r="BE44" s="16">
        <f t="shared" si="35"/>
        <v>0</v>
      </c>
      <c r="BF44" s="16">
        <f t="shared" si="35"/>
        <v>0</v>
      </c>
      <c r="BG44" s="16">
        <f t="shared" si="35"/>
        <v>0</v>
      </c>
      <c r="BH44" s="16">
        <f t="shared" si="35"/>
        <v>0</v>
      </c>
      <c r="BI44" s="16">
        <f t="shared" si="35"/>
        <v>0</v>
      </c>
      <c r="BJ44" s="16">
        <f t="shared" si="35"/>
        <v>0</v>
      </c>
      <c r="BK44" s="16">
        <f t="shared" si="35"/>
        <v>0</v>
      </c>
      <c r="BL44" s="16">
        <f t="shared" si="35"/>
        <v>0</v>
      </c>
      <c r="BM44" s="16">
        <f t="shared" si="35"/>
        <v>17636</v>
      </c>
      <c r="BN44" s="16">
        <f t="shared" si="35"/>
        <v>0</v>
      </c>
      <c r="BO44" s="16">
        <f t="shared" si="35"/>
        <v>0</v>
      </c>
      <c r="BP44" s="16">
        <f t="shared" si="35"/>
        <v>0</v>
      </c>
      <c r="BQ44" s="16">
        <f t="shared" ref="BQ44:CW44" si="36">SUM(BQ45)</f>
        <v>0</v>
      </c>
      <c r="BR44" s="16">
        <f t="shared" si="36"/>
        <v>0</v>
      </c>
      <c r="BS44" s="16">
        <f t="shared" si="36"/>
        <v>0</v>
      </c>
      <c r="BT44" s="16">
        <f t="shared" si="36"/>
        <v>0</v>
      </c>
      <c r="BU44" s="16">
        <f t="shared" si="36"/>
        <v>0</v>
      </c>
      <c r="BV44" s="16">
        <f t="shared" si="36"/>
        <v>0</v>
      </c>
      <c r="BW44" s="16">
        <f t="shared" si="36"/>
        <v>17636</v>
      </c>
      <c r="BX44" s="16">
        <f t="shared" si="36"/>
        <v>0</v>
      </c>
      <c r="BY44" s="16">
        <f t="shared" si="36"/>
        <v>817405</v>
      </c>
      <c r="BZ44" s="16">
        <f t="shared" si="36"/>
        <v>817405</v>
      </c>
      <c r="CA44" s="16">
        <f t="shared" si="36"/>
        <v>93500</v>
      </c>
      <c r="CB44" s="16">
        <f t="shared" si="36"/>
        <v>0</v>
      </c>
      <c r="CC44" s="16">
        <f t="shared" si="36"/>
        <v>93500</v>
      </c>
      <c r="CD44" s="16">
        <f t="shared" si="36"/>
        <v>0</v>
      </c>
      <c r="CE44" s="16">
        <f t="shared" si="36"/>
        <v>0</v>
      </c>
      <c r="CF44" s="16">
        <f t="shared" si="36"/>
        <v>0</v>
      </c>
      <c r="CG44" s="16">
        <f t="shared" si="36"/>
        <v>0</v>
      </c>
      <c r="CH44" s="16">
        <f t="shared" si="36"/>
        <v>0</v>
      </c>
      <c r="CI44" s="16">
        <f t="shared" si="36"/>
        <v>0</v>
      </c>
      <c r="CJ44" s="16">
        <f t="shared" si="36"/>
        <v>0</v>
      </c>
      <c r="CK44" s="16">
        <f t="shared" si="36"/>
        <v>723905</v>
      </c>
      <c r="CL44" s="16">
        <f t="shared" si="36"/>
        <v>0</v>
      </c>
      <c r="CM44" s="16">
        <f t="shared" si="36"/>
        <v>0</v>
      </c>
      <c r="CN44" s="16">
        <f t="shared" si="36"/>
        <v>0</v>
      </c>
      <c r="CO44" s="16">
        <f t="shared" si="36"/>
        <v>723905</v>
      </c>
      <c r="CP44" s="16">
        <f t="shared" si="36"/>
        <v>0</v>
      </c>
      <c r="CQ44" s="16">
        <f t="shared" si="36"/>
        <v>0</v>
      </c>
      <c r="CR44" s="16">
        <f t="shared" si="36"/>
        <v>0</v>
      </c>
      <c r="CS44" s="16">
        <f t="shared" si="36"/>
        <v>0</v>
      </c>
      <c r="CT44" s="16">
        <f t="shared" si="36"/>
        <v>0</v>
      </c>
      <c r="CU44" s="16">
        <f t="shared" si="36"/>
        <v>0</v>
      </c>
      <c r="CV44" s="16">
        <f t="shared" si="36"/>
        <v>0</v>
      </c>
      <c r="CW44" s="17">
        <f t="shared" si="36"/>
        <v>0</v>
      </c>
      <c r="CX44" s="40"/>
    </row>
    <row r="45" spans="1:102" ht="15.75" hidden="1" x14ac:dyDescent="0.25">
      <c r="A45" s="13" t="s">
        <v>1</v>
      </c>
      <c r="B45" s="14" t="s">
        <v>1</v>
      </c>
      <c r="C45" s="14" t="s">
        <v>59</v>
      </c>
      <c r="D45" s="30" t="s">
        <v>60</v>
      </c>
      <c r="E45" s="15">
        <f>SUM(F45+BY45+CT45)</f>
        <v>9839237</v>
      </c>
      <c r="F45" s="16">
        <f>SUM(G45+BA45)</f>
        <v>9021832</v>
      </c>
      <c r="G45" s="16">
        <f>SUM(H45+I45+J45+Q45+T45+U45+V45+AE45)</f>
        <v>9004196</v>
      </c>
      <c r="H45" s="16">
        <f>4674986+447837</f>
        <v>5122823</v>
      </c>
      <c r="I45" s="16">
        <f>1168746+146399</f>
        <v>1315145</v>
      </c>
      <c r="J45" s="16">
        <f t="shared" si="4"/>
        <v>462331</v>
      </c>
      <c r="K45" s="16">
        <v>0</v>
      </c>
      <c r="L45" s="16">
        <v>0</v>
      </c>
      <c r="M45" s="16">
        <v>0</v>
      </c>
      <c r="N45" s="16">
        <v>0</v>
      </c>
      <c r="O45" s="16">
        <v>300000</v>
      </c>
      <c r="P45" s="16">
        <v>162331</v>
      </c>
      <c r="Q45" s="16">
        <f t="shared" si="5"/>
        <v>460994</v>
      </c>
      <c r="R45" s="16">
        <v>0</v>
      </c>
      <c r="S45" s="16">
        <v>460994</v>
      </c>
      <c r="T45" s="16">
        <v>0</v>
      </c>
      <c r="U45" s="16">
        <v>391832</v>
      </c>
      <c r="V45" s="16">
        <f>SUM(W45:AD45)</f>
        <v>503179</v>
      </c>
      <c r="W45" s="16">
        <f>25450+294874</f>
        <v>320324</v>
      </c>
      <c r="X45" s="16">
        <v>85862</v>
      </c>
      <c r="Y45" s="16">
        <v>69707</v>
      </c>
      <c r="Z45" s="16">
        <v>14243</v>
      </c>
      <c r="AA45" s="16">
        <v>13043</v>
      </c>
      <c r="AB45" s="16">
        <v>0</v>
      </c>
      <c r="AC45" s="16">
        <v>0</v>
      </c>
      <c r="AD45" s="16">
        <v>0</v>
      </c>
      <c r="AE45" s="16">
        <f>SUM(AF45:AZ45)</f>
        <v>747892</v>
      </c>
      <c r="AF45" s="16">
        <v>0</v>
      </c>
      <c r="AG45" s="16">
        <f>20950+6233</f>
        <v>27183</v>
      </c>
      <c r="AH45" s="16">
        <v>37672</v>
      </c>
      <c r="AI45" s="16">
        <v>0</v>
      </c>
      <c r="AJ45" s="16">
        <v>1591</v>
      </c>
      <c r="AK45" s="16">
        <v>20166</v>
      </c>
      <c r="AL45" s="16">
        <v>46750</v>
      </c>
      <c r="AM45" s="16">
        <v>0</v>
      </c>
      <c r="AN45" s="16">
        <f>237315+39898</f>
        <v>277213</v>
      </c>
      <c r="AO45" s="16">
        <v>0</v>
      </c>
      <c r="AP45" s="16">
        <v>0</v>
      </c>
      <c r="AQ45" s="16">
        <v>0</v>
      </c>
      <c r="AR45" s="16">
        <v>0</v>
      </c>
      <c r="AS45" s="16">
        <f>6840+7282</f>
        <v>14122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f>0+3660</f>
        <v>3660</v>
      </c>
      <c r="AZ45" s="16">
        <f>323195-3660</f>
        <v>319535</v>
      </c>
      <c r="BA45" s="16">
        <f>SUM(BB45+BF45+BI45+BJ45+BK45+BM45)</f>
        <v>17636</v>
      </c>
      <c r="BB45" s="16">
        <f>SUM(BC45:BE45)</f>
        <v>0</v>
      </c>
      <c r="BC45" s="16">
        <v>0</v>
      </c>
      <c r="BD45" s="16">
        <v>0</v>
      </c>
      <c r="BE45" s="16">
        <v>0</v>
      </c>
      <c r="BF45" s="16">
        <f t="shared" si="6"/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f t="shared" si="7"/>
        <v>0</v>
      </c>
      <c r="BL45" s="16">
        <v>0</v>
      </c>
      <c r="BM45" s="16">
        <f t="shared" si="8"/>
        <v>17636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17636</v>
      </c>
      <c r="BX45" s="16">
        <v>0</v>
      </c>
      <c r="BY45" s="16">
        <f>SUM(BZ45+CS45)</f>
        <v>817405</v>
      </c>
      <c r="BZ45" s="16">
        <f>SUM(CA45+CD45+CK45)</f>
        <v>817405</v>
      </c>
      <c r="CA45" s="16">
        <f t="shared" si="9"/>
        <v>93500</v>
      </c>
      <c r="CB45" s="16">
        <v>0</v>
      </c>
      <c r="CC45" s="16">
        <v>93500</v>
      </c>
      <c r="CD45" s="16">
        <f t="shared" si="10"/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f t="shared" si="11"/>
        <v>723905</v>
      </c>
      <c r="CL45" s="16">
        <v>0</v>
      </c>
      <c r="CM45" s="16">
        <v>0</v>
      </c>
      <c r="CN45" s="16">
        <v>0</v>
      </c>
      <c r="CO45" s="16">
        <f>1072192-348287</f>
        <v>723905</v>
      </c>
      <c r="CP45" s="16">
        <v>0</v>
      </c>
      <c r="CQ45" s="16">
        <v>0</v>
      </c>
      <c r="CR45" s="16">
        <v>0</v>
      </c>
      <c r="CS45" s="16">
        <v>0</v>
      </c>
      <c r="CT45" s="16">
        <f t="shared" si="12"/>
        <v>0</v>
      </c>
      <c r="CU45" s="16">
        <f t="shared" si="13"/>
        <v>0</v>
      </c>
      <c r="CV45" s="16">
        <v>0</v>
      </c>
      <c r="CW45" s="17">
        <v>0</v>
      </c>
      <c r="CX45" s="40"/>
    </row>
    <row r="46" spans="1:102" ht="15.75" hidden="1" x14ac:dyDescent="0.25">
      <c r="A46" s="18" t="s">
        <v>61</v>
      </c>
      <c r="B46" s="19" t="s">
        <v>1</v>
      </c>
      <c r="C46" s="19" t="s">
        <v>1</v>
      </c>
      <c r="D46" s="31" t="s">
        <v>62</v>
      </c>
      <c r="E46" s="20">
        <f>SUM(E47+E49+E51+E53+E55)</f>
        <v>48458327</v>
      </c>
      <c r="F46" s="21">
        <f t="shared" ref="F46:BS46" si="37">SUM(F47+F49+F51+F53+F55)</f>
        <v>47708571</v>
      </c>
      <c r="G46" s="21">
        <f t="shared" si="37"/>
        <v>47387046</v>
      </c>
      <c r="H46" s="21">
        <f t="shared" si="37"/>
        <v>38489403</v>
      </c>
      <c r="I46" s="21">
        <f t="shared" si="37"/>
        <v>4034868</v>
      </c>
      <c r="J46" s="21">
        <f t="shared" si="37"/>
        <v>1284457</v>
      </c>
      <c r="K46" s="21">
        <f t="shared" si="37"/>
        <v>0</v>
      </c>
      <c r="L46" s="21">
        <f t="shared" si="37"/>
        <v>89691</v>
      </c>
      <c r="M46" s="21">
        <f t="shared" si="37"/>
        <v>0</v>
      </c>
      <c r="N46" s="21">
        <f t="shared" si="37"/>
        <v>0</v>
      </c>
      <c r="O46" s="21">
        <f t="shared" si="37"/>
        <v>892200</v>
      </c>
      <c r="P46" s="21">
        <f t="shared" si="37"/>
        <v>302566</v>
      </c>
      <c r="Q46" s="21">
        <f t="shared" si="37"/>
        <v>239</v>
      </c>
      <c r="R46" s="21">
        <f t="shared" si="37"/>
        <v>239</v>
      </c>
      <c r="S46" s="21">
        <f t="shared" si="37"/>
        <v>0</v>
      </c>
      <c r="T46" s="21">
        <f t="shared" si="37"/>
        <v>0</v>
      </c>
      <c r="U46" s="21">
        <f t="shared" si="37"/>
        <v>888852</v>
      </c>
      <c r="V46" s="21">
        <f t="shared" si="37"/>
        <v>332009</v>
      </c>
      <c r="W46" s="21">
        <f t="shared" si="37"/>
        <v>134737</v>
      </c>
      <c r="X46" s="21">
        <f t="shared" si="37"/>
        <v>62753</v>
      </c>
      <c r="Y46" s="21">
        <f t="shared" si="37"/>
        <v>89011</v>
      </c>
      <c r="Z46" s="21">
        <f t="shared" si="37"/>
        <v>15716</v>
      </c>
      <c r="AA46" s="21">
        <f t="shared" si="37"/>
        <v>13481</v>
      </c>
      <c r="AB46" s="21">
        <f t="shared" si="37"/>
        <v>0</v>
      </c>
      <c r="AC46" s="21">
        <f t="shared" si="37"/>
        <v>0</v>
      </c>
      <c r="AD46" s="21">
        <f t="shared" si="37"/>
        <v>16311</v>
      </c>
      <c r="AE46" s="21">
        <f t="shared" si="37"/>
        <v>2357218</v>
      </c>
      <c r="AF46" s="21">
        <f t="shared" si="37"/>
        <v>0</v>
      </c>
      <c r="AG46" s="21">
        <f t="shared" si="37"/>
        <v>15926</v>
      </c>
      <c r="AH46" s="21">
        <f t="shared" si="37"/>
        <v>107655</v>
      </c>
      <c r="AI46" s="21">
        <f t="shared" si="37"/>
        <v>0</v>
      </c>
      <c r="AJ46" s="21">
        <f t="shared" si="37"/>
        <v>81811</v>
      </c>
      <c r="AK46" s="21">
        <f t="shared" si="37"/>
        <v>28400</v>
      </c>
      <c r="AL46" s="21">
        <f t="shared" si="37"/>
        <v>193029</v>
      </c>
      <c r="AM46" s="21">
        <f t="shared" si="37"/>
        <v>265897</v>
      </c>
      <c r="AN46" s="21">
        <f t="shared" si="37"/>
        <v>166064</v>
      </c>
      <c r="AO46" s="21">
        <f t="shared" si="37"/>
        <v>38024</v>
      </c>
      <c r="AP46" s="21">
        <f>SUM(AP47+AP49+AP51+AP53+AP55)</f>
        <v>0</v>
      </c>
      <c r="AQ46" s="21">
        <f t="shared" si="37"/>
        <v>0</v>
      </c>
      <c r="AR46" s="21">
        <f t="shared" si="37"/>
        <v>793872</v>
      </c>
      <c r="AS46" s="21">
        <f t="shared" si="37"/>
        <v>5000</v>
      </c>
      <c r="AT46" s="21">
        <f t="shared" si="37"/>
        <v>524239</v>
      </c>
      <c r="AU46" s="21">
        <f t="shared" si="37"/>
        <v>0</v>
      </c>
      <c r="AV46" s="21">
        <f t="shared" si="37"/>
        <v>0</v>
      </c>
      <c r="AW46" s="21">
        <f t="shared" si="37"/>
        <v>0</v>
      </c>
      <c r="AX46" s="21">
        <f t="shared" si="37"/>
        <v>0</v>
      </c>
      <c r="AY46" s="21">
        <f t="shared" si="37"/>
        <v>0</v>
      </c>
      <c r="AZ46" s="21">
        <f t="shared" si="37"/>
        <v>137301</v>
      </c>
      <c r="BA46" s="21">
        <f t="shared" si="37"/>
        <v>321525</v>
      </c>
      <c r="BB46" s="21">
        <f t="shared" si="37"/>
        <v>0</v>
      </c>
      <c r="BC46" s="21">
        <f t="shared" si="37"/>
        <v>0</v>
      </c>
      <c r="BD46" s="21">
        <f t="shared" si="37"/>
        <v>0</v>
      </c>
      <c r="BE46" s="21">
        <f t="shared" si="37"/>
        <v>0</v>
      </c>
      <c r="BF46" s="21">
        <f t="shared" si="37"/>
        <v>0</v>
      </c>
      <c r="BG46" s="21">
        <f t="shared" si="37"/>
        <v>0</v>
      </c>
      <c r="BH46" s="21">
        <f t="shared" si="37"/>
        <v>0</v>
      </c>
      <c r="BI46" s="21">
        <f t="shared" si="37"/>
        <v>0</v>
      </c>
      <c r="BJ46" s="21">
        <f t="shared" si="37"/>
        <v>0</v>
      </c>
      <c r="BK46" s="21">
        <f t="shared" si="37"/>
        <v>0</v>
      </c>
      <c r="BL46" s="21">
        <f t="shared" si="37"/>
        <v>0</v>
      </c>
      <c r="BM46" s="21">
        <f t="shared" si="37"/>
        <v>321525</v>
      </c>
      <c r="BN46" s="21">
        <f t="shared" si="37"/>
        <v>0</v>
      </c>
      <c r="BO46" s="21">
        <f t="shared" si="37"/>
        <v>0</v>
      </c>
      <c r="BP46" s="21">
        <f t="shared" si="37"/>
        <v>0</v>
      </c>
      <c r="BQ46" s="21">
        <f t="shared" si="37"/>
        <v>0</v>
      </c>
      <c r="BR46" s="21">
        <f t="shared" si="37"/>
        <v>0</v>
      </c>
      <c r="BS46" s="21">
        <f t="shared" si="37"/>
        <v>0</v>
      </c>
      <c r="BT46" s="21">
        <f t="shared" ref="BT46:CW46" si="38">SUM(BT47+BT49+BT51+BT53+BT55)</f>
        <v>0</v>
      </c>
      <c r="BU46" s="21">
        <f t="shared" si="38"/>
        <v>0</v>
      </c>
      <c r="BV46" s="21">
        <f t="shared" si="38"/>
        <v>0</v>
      </c>
      <c r="BW46" s="21">
        <f t="shared" si="38"/>
        <v>39491</v>
      </c>
      <c r="BX46" s="21">
        <f t="shared" si="38"/>
        <v>282034</v>
      </c>
      <c r="BY46" s="21">
        <f t="shared" si="38"/>
        <v>749756</v>
      </c>
      <c r="BZ46" s="21">
        <f t="shared" si="38"/>
        <v>749756</v>
      </c>
      <c r="CA46" s="21">
        <f t="shared" si="38"/>
        <v>749756</v>
      </c>
      <c r="CB46" s="21">
        <f t="shared" si="38"/>
        <v>0</v>
      </c>
      <c r="CC46" s="21">
        <f t="shared" si="38"/>
        <v>749756</v>
      </c>
      <c r="CD46" s="21">
        <f t="shared" si="38"/>
        <v>0</v>
      </c>
      <c r="CE46" s="21">
        <f t="shared" si="38"/>
        <v>0</v>
      </c>
      <c r="CF46" s="21">
        <f>SUM(CF47+CF49+CF51+CF53+CF55)</f>
        <v>0</v>
      </c>
      <c r="CG46" s="21">
        <f t="shared" si="38"/>
        <v>0</v>
      </c>
      <c r="CH46" s="21">
        <f t="shared" si="38"/>
        <v>0</v>
      </c>
      <c r="CI46" s="21">
        <f t="shared" si="38"/>
        <v>0</v>
      </c>
      <c r="CJ46" s="21">
        <f t="shared" si="38"/>
        <v>0</v>
      </c>
      <c r="CK46" s="21">
        <f t="shared" si="38"/>
        <v>0</v>
      </c>
      <c r="CL46" s="21">
        <f t="shared" si="38"/>
        <v>0</v>
      </c>
      <c r="CM46" s="21">
        <f>SUM(CM47+CM49+CM51+CM53+CM55)</f>
        <v>0</v>
      </c>
      <c r="CN46" s="21">
        <f t="shared" si="38"/>
        <v>0</v>
      </c>
      <c r="CO46" s="21">
        <f t="shared" si="38"/>
        <v>0</v>
      </c>
      <c r="CP46" s="21">
        <f t="shared" si="38"/>
        <v>0</v>
      </c>
      <c r="CQ46" s="21">
        <f t="shared" si="38"/>
        <v>0</v>
      </c>
      <c r="CR46" s="21">
        <f t="shared" si="38"/>
        <v>0</v>
      </c>
      <c r="CS46" s="21">
        <f t="shared" si="38"/>
        <v>0</v>
      </c>
      <c r="CT46" s="21">
        <f t="shared" si="38"/>
        <v>0</v>
      </c>
      <c r="CU46" s="21">
        <f t="shared" si="38"/>
        <v>0</v>
      </c>
      <c r="CV46" s="21">
        <f t="shared" si="38"/>
        <v>0</v>
      </c>
      <c r="CW46" s="22">
        <f t="shared" si="38"/>
        <v>0</v>
      </c>
      <c r="CX46" s="40"/>
    </row>
    <row r="47" spans="1:102" ht="15.75" hidden="1" x14ac:dyDescent="0.25">
      <c r="A47" s="13" t="s">
        <v>7</v>
      </c>
      <c r="B47" s="14" t="s">
        <v>3</v>
      </c>
      <c r="C47" s="14" t="s">
        <v>1</v>
      </c>
      <c r="D47" s="30" t="s">
        <v>63</v>
      </c>
      <c r="E47" s="15">
        <f t="shared" ref="E47:BP47" si="39">SUM(E48)</f>
        <v>4213597</v>
      </c>
      <c r="F47" s="16">
        <f t="shared" si="39"/>
        <v>4160781</v>
      </c>
      <c r="G47" s="16">
        <f t="shared" si="39"/>
        <v>4148895</v>
      </c>
      <c r="H47" s="16">
        <f t="shared" si="39"/>
        <v>3200453</v>
      </c>
      <c r="I47" s="16">
        <f t="shared" si="39"/>
        <v>426706</v>
      </c>
      <c r="J47" s="16">
        <f t="shared" si="39"/>
        <v>123843</v>
      </c>
      <c r="K47" s="16">
        <f t="shared" si="39"/>
        <v>0</v>
      </c>
      <c r="L47" s="16">
        <f t="shared" si="39"/>
        <v>4936</v>
      </c>
      <c r="M47" s="16">
        <f t="shared" si="39"/>
        <v>0</v>
      </c>
      <c r="N47" s="16">
        <f t="shared" si="39"/>
        <v>0</v>
      </c>
      <c r="O47" s="16">
        <f t="shared" si="39"/>
        <v>98576</v>
      </c>
      <c r="P47" s="16">
        <f t="shared" si="39"/>
        <v>20331</v>
      </c>
      <c r="Q47" s="16">
        <f t="shared" si="39"/>
        <v>0</v>
      </c>
      <c r="R47" s="16">
        <f t="shared" si="39"/>
        <v>0</v>
      </c>
      <c r="S47" s="16">
        <f t="shared" si="39"/>
        <v>0</v>
      </c>
      <c r="T47" s="16">
        <f t="shared" si="39"/>
        <v>0</v>
      </c>
      <c r="U47" s="16">
        <f t="shared" si="39"/>
        <v>108614</v>
      </c>
      <c r="V47" s="16">
        <f t="shared" si="39"/>
        <v>29940</v>
      </c>
      <c r="W47" s="16">
        <f t="shared" si="39"/>
        <v>1072</v>
      </c>
      <c r="X47" s="16">
        <f t="shared" si="39"/>
        <v>0</v>
      </c>
      <c r="Y47" s="16">
        <f t="shared" si="39"/>
        <v>21515</v>
      </c>
      <c r="Z47" s="16">
        <f t="shared" si="39"/>
        <v>2431</v>
      </c>
      <c r="AA47" s="16">
        <f t="shared" si="39"/>
        <v>1003</v>
      </c>
      <c r="AB47" s="16">
        <f t="shared" si="39"/>
        <v>0</v>
      </c>
      <c r="AC47" s="16">
        <f t="shared" si="39"/>
        <v>0</v>
      </c>
      <c r="AD47" s="16">
        <f t="shared" si="39"/>
        <v>3919</v>
      </c>
      <c r="AE47" s="16">
        <f t="shared" si="39"/>
        <v>259339</v>
      </c>
      <c r="AF47" s="16">
        <f t="shared" si="39"/>
        <v>0</v>
      </c>
      <c r="AG47" s="16">
        <f t="shared" si="39"/>
        <v>2653</v>
      </c>
      <c r="AH47" s="16">
        <f t="shared" si="39"/>
        <v>10248</v>
      </c>
      <c r="AI47" s="16">
        <f t="shared" si="39"/>
        <v>0</v>
      </c>
      <c r="AJ47" s="16">
        <f t="shared" si="39"/>
        <v>24591</v>
      </c>
      <c r="AK47" s="16">
        <f t="shared" si="39"/>
        <v>0</v>
      </c>
      <c r="AL47" s="16">
        <f t="shared" si="39"/>
        <v>26408</v>
      </c>
      <c r="AM47" s="16">
        <f t="shared" si="39"/>
        <v>48762</v>
      </c>
      <c r="AN47" s="16">
        <f t="shared" si="39"/>
        <v>69646</v>
      </c>
      <c r="AO47" s="16">
        <f t="shared" si="39"/>
        <v>0</v>
      </c>
      <c r="AP47" s="16">
        <f t="shared" si="39"/>
        <v>0</v>
      </c>
      <c r="AQ47" s="16">
        <f t="shared" si="39"/>
        <v>0</v>
      </c>
      <c r="AR47" s="16">
        <f t="shared" si="39"/>
        <v>76834</v>
      </c>
      <c r="AS47" s="16">
        <f t="shared" si="39"/>
        <v>0</v>
      </c>
      <c r="AT47" s="16">
        <f t="shared" si="39"/>
        <v>0</v>
      </c>
      <c r="AU47" s="16">
        <f t="shared" si="39"/>
        <v>0</v>
      </c>
      <c r="AV47" s="16">
        <f t="shared" si="39"/>
        <v>0</v>
      </c>
      <c r="AW47" s="16">
        <f t="shared" si="39"/>
        <v>0</v>
      </c>
      <c r="AX47" s="16">
        <f t="shared" si="39"/>
        <v>0</v>
      </c>
      <c r="AY47" s="16">
        <f t="shared" si="39"/>
        <v>0</v>
      </c>
      <c r="AZ47" s="16">
        <f t="shared" si="39"/>
        <v>197</v>
      </c>
      <c r="BA47" s="16">
        <f t="shared" si="39"/>
        <v>11886</v>
      </c>
      <c r="BB47" s="16">
        <f t="shared" si="39"/>
        <v>0</v>
      </c>
      <c r="BC47" s="16">
        <f t="shared" si="39"/>
        <v>0</v>
      </c>
      <c r="BD47" s="16">
        <f t="shared" si="39"/>
        <v>0</v>
      </c>
      <c r="BE47" s="16">
        <f t="shared" si="39"/>
        <v>0</v>
      </c>
      <c r="BF47" s="16">
        <f t="shared" si="39"/>
        <v>0</v>
      </c>
      <c r="BG47" s="16">
        <f t="shared" si="39"/>
        <v>0</v>
      </c>
      <c r="BH47" s="16">
        <f t="shared" si="39"/>
        <v>0</v>
      </c>
      <c r="BI47" s="16">
        <f t="shared" si="39"/>
        <v>0</v>
      </c>
      <c r="BJ47" s="16">
        <f t="shared" si="39"/>
        <v>0</v>
      </c>
      <c r="BK47" s="16">
        <f t="shared" si="39"/>
        <v>0</v>
      </c>
      <c r="BL47" s="16">
        <f t="shared" si="39"/>
        <v>0</v>
      </c>
      <c r="BM47" s="16">
        <f t="shared" si="39"/>
        <v>11886</v>
      </c>
      <c r="BN47" s="16">
        <f t="shared" si="39"/>
        <v>0</v>
      </c>
      <c r="BO47" s="16">
        <f t="shared" si="39"/>
        <v>0</v>
      </c>
      <c r="BP47" s="16">
        <f t="shared" si="39"/>
        <v>0</v>
      </c>
      <c r="BQ47" s="16">
        <f t="shared" ref="BQ47:CW47" si="40">SUM(BQ48)</f>
        <v>0</v>
      </c>
      <c r="BR47" s="16">
        <f t="shared" si="40"/>
        <v>0</v>
      </c>
      <c r="BS47" s="16">
        <f t="shared" si="40"/>
        <v>0</v>
      </c>
      <c r="BT47" s="16">
        <f t="shared" si="40"/>
        <v>0</v>
      </c>
      <c r="BU47" s="16">
        <f t="shared" si="40"/>
        <v>0</v>
      </c>
      <c r="BV47" s="16">
        <f t="shared" si="40"/>
        <v>0</v>
      </c>
      <c r="BW47" s="16">
        <f t="shared" si="40"/>
        <v>11886</v>
      </c>
      <c r="BX47" s="16">
        <f t="shared" si="40"/>
        <v>0</v>
      </c>
      <c r="BY47" s="16">
        <f t="shared" si="40"/>
        <v>52816</v>
      </c>
      <c r="BZ47" s="16">
        <f t="shared" si="40"/>
        <v>52816</v>
      </c>
      <c r="CA47" s="16">
        <f t="shared" si="40"/>
        <v>52816</v>
      </c>
      <c r="CB47" s="16">
        <f t="shared" si="40"/>
        <v>0</v>
      </c>
      <c r="CC47" s="16">
        <f t="shared" si="40"/>
        <v>52816</v>
      </c>
      <c r="CD47" s="16">
        <f t="shared" si="40"/>
        <v>0</v>
      </c>
      <c r="CE47" s="16">
        <f t="shared" si="40"/>
        <v>0</v>
      </c>
      <c r="CF47" s="16">
        <f t="shared" si="40"/>
        <v>0</v>
      </c>
      <c r="CG47" s="16">
        <f t="shared" si="40"/>
        <v>0</v>
      </c>
      <c r="CH47" s="16">
        <f t="shared" si="40"/>
        <v>0</v>
      </c>
      <c r="CI47" s="16">
        <f t="shared" si="40"/>
        <v>0</v>
      </c>
      <c r="CJ47" s="16">
        <f t="shared" si="40"/>
        <v>0</v>
      </c>
      <c r="CK47" s="16">
        <f t="shared" si="40"/>
        <v>0</v>
      </c>
      <c r="CL47" s="16">
        <f t="shared" si="40"/>
        <v>0</v>
      </c>
      <c r="CM47" s="16">
        <f t="shared" si="40"/>
        <v>0</v>
      </c>
      <c r="CN47" s="16">
        <f t="shared" si="40"/>
        <v>0</v>
      </c>
      <c r="CO47" s="16">
        <f t="shared" si="40"/>
        <v>0</v>
      </c>
      <c r="CP47" s="16">
        <f t="shared" si="40"/>
        <v>0</v>
      </c>
      <c r="CQ47" s="16">
        <f t="shared" si="40"/>
        <v>0</v>
      </c>
      <c r="CR47" s="16">
        <f t="shared" si="40"/>
        <v>0</v>
      </c>
      <c r="CS47" s="16">
        <f t="shared" si="40"/>
        <v>0</v>
      </c>
      <c r="CT47" s="16">
        <f t="shared" si="40"/>
        <v>0</v>
      </c>
      <c r="CU47" s="16">
        <f t="shared" si="40"/>
        <v>0</v>
      </c>
      <c r="CV47" s="16">
        <f t="shared" si="40"/>
        <v>0</v>
      </c>
      <c r="CW47" s="17">
        <f t="shared" si="40"/>
        <v>0</v>
      </c>
      <c r="CX47" s="40"/>
    </row>
    <row r="48" spans="1:102" ht="15.75" hidden="1" x14ac:dyDescent="0.25">
      <c r="A48" s="13" t="s">
        <v>1</v>
      </c>
      <c r="B48" s="14" t="s">
        <v>1</v>
      </c>
      <c r="C48" s="14" t="s">
        <v>64</v>
      </c>
      <c r="D48" s="30" t="s">
        <v>65</v>
      </c>
      <c r="E48" s="15">
        <f>SUM(F48+BY48+CT48)</f>
        <v>4213597</v>
      </c>
      <c r="F48" s="16">
        <f>SUM(G48+BA48)</f>
        <v>4160781</v>
      </c>
      <c r="G48" s="16">
        <f>SUM(H48+I48+J48+Q48+T48+U48+V48+AE48)</f>
        <v>4148895</v>
      </c>
      <c r="H48" s="16">
        <v>3200453</v>
      </c>
      <c r="I48" s="16">
        <v>426706</v>
      </c>
      <c r="J48" s="16">
        <f t="shared" si="4"/>
        <v>123843</v>
      </c>
      <c r="K48" s="16">
        <v>0</v>
      </c>
      <c r="L48" s="16">
        <v>4936</v>
      </c>
      <c r="M48" s="16">
        <v>0</v>
      </c>
      <c r="N48" s="16">
        <v>0</v>
      </c>
      <c r="O48" s="16">
        <v>98576</v>
      </c>
      <c r="P48" s="16">
        <v>20331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108614</v>
      </c>
      <c r="V48" s="16">
        <f>SUM(W48:AD48)</f>
        <v>29940</v>
      </c>
      <c r="W48" s="16">
        <v>1072</v>
      </c>
      <c r="X48" s="16">
        <v>0</v>
      </c>
      <c r="Y48" s="16">
        <v>21515</v>
      </c>
      <c r="Z48" s="16">
        <v>2431</v>
      </c>
      <c r="AA48" s="16">
        <v>1003</v>
      </c>
      <c r="AB48" s="16">
        <v>0</v>
      </c>
      <c r="AC48" s="16">
        <v>0</v>
      </c>
      <c r="AD48" s="16">
        <v>3919</v>
      </c>
      <c r="AE48" s="16">
        <f>SUM(AF48:AZ48)</f>
        <v>259339</v>
      </c>
      <c r="AF48" s="16">
        <v>0</v>
      </c>
      <c r="AG48" s="16">
        <v>2653</v>
      </c>
      <c r="AH48" s="16">
        <v>10248</v>
      </c>
      <c r="AI48" s="16">
        <v>0</v>
      </c>
      <c r="AJ48" s="16">
        <v>24591</v>
      </c>
      <c r="AK48" s="16">
        <v>0</v>
      </c>
      <c r="AL48" s="16">
        <v>26408</v>
      </c>
      <c r="AM48" s="16">
        <v>48762</v>
      </c>
      <c r="AN48" s="16">
        <v>69646</v>
      </c>
      <c r="AO48" s="16">
        <v>0</v>
      </c>
      <c r="AP48" s="16">
        <v>0</v>
      </c>
      <c r="AQ48" s="16">
        <v>0</v>
      </c>
      <c r="AR48" s="16">
        <v>76834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197</v>
      </c>
      <c r="BA48" s="16">
        <f>SUM(BB48+BF48+BI48+BJ48+BK48+BM48)</f>
        <v>11886</v>
      </c>
      <c r="BB48" s="16">
        <f>SUM(BC48:BE48)</f>
        <v>0</v>
      </c>
      <c r="BC48" s="16">
        <v>0</v>
      </c>
      <c r="BD48" s="16">
        <v>0</v>
      </c>
      <c r="BE48" s="16">
        <v>0</v>
      </c>
      <c r="BF48" s="16">
        <f t="shared" si="6"/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f t="shared" si="7"/>
        <v>0</v>
      </c>
      <c r="BL48" s="16">
        <v>0</v>
      </c>
      <c r="BM48" s="16">
        <f t="shared" si="8"/>
        <v>11886</v>
      </c>
      <c r="BN48" s="16">
        <v>0</v>
      </c>
      <c r="BO48" s="16">
        <v>0</v>
      </c>
      <c r="BP48" s="16">
        <v>0</v>
      </c>
      <c r="BQ48" s="16">
        <v>0</v>
      </c>
      <c r="BR48" s="16">
        <v>0</v>
      </c>
      <c r="BS48" s="16">
        <v>0</v>
      </c>
      <c r="BT48" s="16">
        <v>0</v>
      </c>
      <c r="BU48" s="16">
        <v>0</v>
      </c>
      <c r="BV48" s="16">
        <v>0</v>
      </c>
      <c r="BW48" s="16">
        <v>11886</v>
      </c>
      <c r="BX48" s="16">
        <v>0</v>
      </c>
      <c r="BY48" s="16">
        <f>SUM(BZ48+CS48)</f>
        <v>52816</v>
      </c>
      <c r="BZ48" s="16">
        <f>SUM(CA48+CD48+CK48)</f>
        <v>52816</v>
      </c>
      <c r="CA48" s="16">
        <f t="shared" si="9"/>
        <v>52816</v>
      </c>
      <c r="CB48" s="16">
        <v>0</v>
      </c>
      <c r="CC48" s="16">
        <v>52816</v>
      </c>
      <c r="CD48" s="16">
        <f t="shared" si="10"/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6">
        <v>0</v>
      </c>
      <c r="CK48" s="16">
        <f t="shared" si="11"/>
        <v>0</v>
      </c>
      <c r="CL48" s="16">
        <v>0</v>
      </c>
      <c r="CM48" s="16">
        <v>0</v>
      </c>
      <c r="CN48" s="16">
        <v>0</v>
      </c>
      <c r="CO48" s="16">
        <v>0</v>
      </c>
      <c r="CP48" s="16">
        <v>0</v>
      </c>
      <c r="CQ48" s="16">
        <v>0</v>
      </c>
      <c r="CR48" s="16">
        <v>0</v>
      </c>
      <c r="CS48" s="16">
        <v>0</v>
      </c>
      <c r="CT48" s="16">
        <f t="shared" si="12"/>
        <v>0</v>
      </c>
      <c r="CU48" s="16">
        <f t="shared" si="13"/>
        <v>0</v>
      </c>
      <c r="CV48" s="16">
        <v>0</v>
      </c>
      <c r="CW48" s="17">
        <v>0</v>
      </c>
      <c r="CX48" s="40"/>
    </row>
    <row r="49" spans="1:102" ht="15.75" hidden="1" x14ac:dyDescent="0.25">
      <c r="A49" s="13" t="s">
        <v>7</v>
      </c>
      <c r="B49" s="14" t="s">
        <v>7</v>
      </c>
      <c r="C49" s="14" t="s">
        <v>1</v>
      </c>
      <c r="D49" s="30" t="s">
        <v>66</v>
      </c>
      <c r="E49" s="15">
        <f t="shared" ref="E49:BP49" si="41">SUM(E50)</f>
        <v>12712512</v>
      </c>
      <c r="F49" s="16">
        <f t="shared" si="41"/>
        <v>12509778</v>
      </c>
      <c r="G49" s="16">
        <f t="shared" si="41"/>
        <v>12509778</v>
      </c>
      <c r="H49" s="16">
        <f t="shared" si="41"/>
        <v>10924654</v>
      </c>
      <c r="I49" s="16">
        <f t="shared" si="41"/>
        <v>971029</v>
      </c>
      <c r="J49" s="16">
        <f t="shared" si="41"/>
        <v>259176</v>
      </c>
      <c r="K49" s="16">
        <f t="shared" si="41"/>
        <v>0</v>
      </c>
      <c r="L49" s="16">
        <f t="shared" si="41"/>
        <v>18496</v>
      </c>
      <c r="M49" s="16">
        <f t="shared" si="41"/>
        <v>0</v>
      </c>
      <c r="N49" s="16">
        <f t="shared" si="41"/>
        <v>0</v>
      </c>
      <c r="O49" s="16">
        <f t="shared" si="41"/>
        <v>198334</v>
      </c>
      <c r="P49" s="16">
        <f t="shared" si="41"/>
        <v>42346</v>
      </c>
      <c r="Q49" s="16">
        <f t="shared" si="41"/>
        <v>239</v>
      </c>
      <c r="R49" s="16">
        <f t="shared" si="41"/>
        <v>239</v>
      </c>
      <c r="S49" s="16">
        <f t="shared" si="41"/>
        <v>0</v>
      </c>
      <c r="T49" s="16">
        <f t="shared" si="41"/>
        <v>0</v>
      </c>
      <c r="U49" s="16">
        <f t="shared" si="41"/>
        <v>79736</v>
      </c>
      <c r="V49" s="16">
        <f t="shared" si="41"/>
        <v>54929</v>
      </c>
      <c r="W49" s="16">
        <f t="shared" si="41"/>
        <v>17096</v>
      </c>
      <c r="X49" s="16">
        <f t="shared" si="41"/>
        <v>21196</v>
      </c>
      <c r="Y49" s="16">
        <f t="shared" si="41"/>
        <v>10948</v>
      </c>
      <c r="Z49" s="16">
        <f t="shared" si="41"/>
        <v>2679</v>
      </c>
      <c r="AA49" s="16">
        <f t="shared" si="41"/>
        <v>3010</v>
      </c>
      <c r="AB49" s="16">
        <f t="shared" si="41"/>
        <v>0</v>
      </c>
      <c r="AC49" s="16">
        <f t="shared" si="41"/>
        <v>0</v>
      </c>
      <c r="AD49" s="16">
        <f t="shared" si="41"/>
        <v>0</v>
      </c>
      <c r="AE49" s="16">
        <f t="shared" si="41"/>
        <v>220015</v>
      </c>
      <c r="AF49" s="16">
        <f t="shared" si="41"/>
        <v>0</v>
      </c>
      <c r="AG49" s="16">
        <f t="shared" si="41"/>
        <v>2090</v>
      </c>
      <c r="AH49" s="16">
        <f t="shared" si="41"/>
        <v>9132</v>
      </c>
      <c r="AI49" s="16">
        <f t="shared" si="41"/>
        <v>0</v>
      </c>
      <c r="AJ49" s="16">
        <f t="shared" si="41"/>
        <v>1591</v>
      </c>
      <c r="AK49" s="16">
        <f t="shared" si="41"/>
        <v>0</v>
      </c>
      <c r="AL49" s="16">
        <f t="shared" si="41"/>
        <v>101367</v>
      </c>
      <c r="AM49" s="16">
        <f t="shared" si="41"/>
        <v>13265</v>
      </c>
      <c r="AN49" s="16">
        <f t="shared" si="41"/>
        <v>57424</v>
      </c>
      <c r="AO49" s="16">
        <f t="shared" si="41"/>
        <v>0</v>
      </c>
      <c r="AP49" s="16">
        <f t="shared" si="41"/>
        <v>0</v>
      </c>
      <c r="AQ49" s="16">
        <f t="shared" si="41"/>
        <v>0</v>
      </c>
      <c r="AR49" s="16">
        <f t="shared" si="41"/>
        <v>30024</v>
      </c>
      <c r="AS49" s="16">
        <f t="shared" si="41"/>
        <v>5000</v>
      </c>
      <c r="AT49" s="16">
        <f t="shared" si="41"/>
        <v>0</v>
      </c>
      <c r="AU49" s="16">
        <f t="shared" si="41"/>
        <v>0</v>
      </c>
      <c r="AV49" s="16">
        <f t="shared" si="41"/>
        <v>0</v>
      </c>
      <c r="AW49" s="16">
        <f t="shared" si="41"/>
        <v>0</v>
      </c>
      <c r="AX49" s="16">
        <f t="shared" si="41"/>
        <v>0</v>
      </c>
      <c r="AY49" s="16">
        <f t="shared" si="41"/>
        <v>0</v>
      </c>
      <c r="AZ49" s="16">
        <f t="shared" si="41"/>
        <v>122</v>
      </c>
      <c r="BA49" s="16">
        <f t="shared" si="41"/>
        <v>0</v>
      </c>
      <c r="BB49" s="16">
        <f t="shared" si="41"/>
        <v>0</v>
      </c>
      <c r="BC49" s="16">
        <f t="shared" si="41"/>
        <v>0</v>
      </c>
      <c r="BD49" s="16">
        <f t="shared" si="41"/>
        <v>0</v>
      </c>
      <c r="BE49" s="16">
        <f t="shared" si="41"/>
        <v>0</v>
      </c>
      <c r="BF49" s="16">
        <f t="shared" si="41"/>
        <v>0</v>
      </c>
      <c r="BG49" s="16">
        <f t="shared" si="41"/>
        <v>0</v>
      </c>
      <c r="BH49" s="16">
        <f t="shared" si="41"/>
        <v>0</v>
      </c>
      <c r="BI49" s="16">
        <f t="shared" si="41"/>
        <v>0</v>
      </c>
      <c r="BJ49" s="16">
        <f t="shared" si="41"/>
        <v>0</v>
      </c>
      <c r="BK49" s="16">
        <f t="shared" si="41"/>
        <v>0</v>
      </c>
      <c r="BL49" s="16">
        <f t="shared" si="41"/>
        <v>0</v>
      </c>
      <c r="BM49" s="16">
        <f t="shared" si="41"/>
        <v>0</v>
      </c>
      <c r="BN49" s="16">
        <f t="shared" si="41"/>
        <v>0</v>
      </c>
      <c r="BO49" s="16">
        <f t="shared" si="41"/>
        <v>0</v>
      </c>
      <c r="BP49" s="16">
        <f t="shared" si="41"/>
        <v>0</v>
      </c>
      <c r="BQ49" s="16">
        <f t="shared" ref="BQ49:CW49" si="42">SUM(BQ50)</f>
        <v>0</v>
      </c>
      <c r="BR49" s="16">
        <f t="shared" si="42"/>
        <v>0</v>
      </c>
      <c r="BS49" s="16">
        <f t="shared" si="42"/>
        <v>0</v>
      </c>
      <c r="BT49" s="16">
        <f t="shared" si="42"/>
        <v>0</v>
      </c>
      <c r="BU49" s="16">
        <f t="shared" si="42"/>
        <v>0</v>
      </c>
      <c r="BV49" s="16">
        <f t="shared" si="42"/>
        <v>0</v>
      </c>
      <c r="BW49" s="16">
        <f t="shared" si="42"/>
        <v>0</v>
      </c>
      <c r="BX49" s="16">
        <f t="shared" si="42"/>
        <v>0</v>
      </c>
      <c r="BY49" s="16">
        <f t="shared" si="42"/>
        <v>202734</v>
      </c>
      <c r="BZ49" s="16">
        <f t="shared" si="42"/>
        <v>202734</v>
      </c>
      <c r="CA49" s="16">
        <f t="shared" si="42"/>
        <v>202734</v>
      </c>
      <c r="CB49" s="16">
        <f t="shared" si="42"/>
        <v>0</v>
      </c>
      <c r="CC49" s="16">
        <f t="shared" si="42"/>
        <v>202734</v>
      </c>
      <c r="CD49" s="16">
        <f t="shared" si="42"/>
        <v>0</v>
      </c>
      <c r="CE49" s="16">
        <f t="shared" si="42"/>
        <v>0</v>
      </c>
      <c r="CF49" s="16">
        <f t="shared" si="42"/>
        <v>0</v>
      </c>
      <c r="CG49" s="16">
        <f t="shared" si="42"/>
        <v>0</v>
      </c>
      <c r="CH49" s="16">
        <f t="shared" si="42"/>
        <v>0</v>
      </c>
      <c r="CI49" s="16">
        <f t="shared" si="42"/>
        <v>0</v>
      </c>
      <c r="CJ49" s="16">
        <f t="shared" si="42"/>
        <v>0</v>
      </c>
      <c r="CK49" s="16">
        <f t="shared" si="42"/>
        <v>0</v>
      </c>
      <c r="CL49" s="16">
        <f t="shared" si="42"/>
        <v>0</v>
      </c>
      <c r="CM49" s="16">
        <f t="shared" si="42"/>
        <v>0</v>
      </c>
      <c r="CN49" s="16">
        <f t="shared" si="42"/>
        <v>0</v>
      </c>
      <c r="CO49" s="16">
        <f t="shared" si="42"/>
        <v>0</v>
      </c>
      <c r="CP49" s="16">
        <f t="shared" si="42"/>
        <v>0</v>
      </c>
      <c r="CQ49" s="16">
        <f t="shared" si="42"/>
        <v>0</v>
      </c>
      <c r="CR49" s="16">
        <f t="shared" si="42"/>
        <v>0</v>
      </c>
      <c r="CS49" s="16">
        <f t="shared" si="42"/>
        <v>0</v>
      </c>
      <c r="CT49" s="16">
        <f t="shared" si="42"/>
        <v>0</v>
      </c>
      <c r="CU49" s="16">
        <f t="shared" si="42"/>
        <v>0</v>
      </c>
      <c r="CV49" s="16">
        <f t="shared" si="42"/>
        <v>0</v>
      </c>
      <c r="CW49" s="17">
        <f t="shared" si="42"/>
        <v>0</v>
      </c>
      <c r="CX49" s="40"/>
    </row>
    <row r="50" spans="1:102" ht="15.75" hidden="1" x14ac:dyDescent="0.25">
      <c r="A50" s="13" t="s">
        <v>1</v>
      </c>
      <c r="B50" s="14" t="s">
        <v>1</v>
      </c>
      <c r="C50" s="14" t="s">
        <v>67</v>
      </c>
      <c r="D50" s="30" t="s">
        <v>68</v>
      </c>
      <c r="E50" s="15">
        <f>SUM(F50+BY50+CT50)</f>
        <v>12712512</v>
      </c>
      <c r="F50" s="16">
        <f>SUM(G50+BA50)</f>
        <v>12509778</v>
      </c>
      <c r="G50" s="16">
        <f>SUM(H50+I50+J50+Q50+T50+U50+V50+AE50)</f>
        <v>12509778</v>
      </c>
      <c r="H50" s="16">
        <v>10924654</v>
      </c>
      <c r="I50" s="16">
        <v>971029</v>
      </c>
      <c r="J50" s="16">
        <f t="shared" si="4"/>
        <v>259176</v>
      </c>
      <c r="K50" s="16">
        <v>0</v>
      </c>
      <c r="L50" s="16">
        <v>18496</v>
      </c>
      <c r="M50" s="16">
        <v>0</v>
      </c>
      <c r="N50" s="16">
        <v>0</v>
      </c>
      <c r="O50" s="16">
        <v>198334</v>
      </c>
      <c r="P50" s="16">
        <v>42346</v>
      </c>
      <c r="Q50" s="16">
        <f t="shared" si="5"/>
        <v>239</v>
      </c>
      <c r="R50" s="16">
        <v>239</v>
      </c>
      <c r="S50" s="16">
        <v>0</v>
      </c>
      <c r="T50" s="16">
        <v>0</v>
      </c>
      <c r="U50" s="16">
        <v>79736</v>
      </c>
      <c r="V50" s="16">
        <f>SUM(W50:AD50)</f>
        <v>54929</v>
      </c>
      <c r="W50" s="16">
        <v>17096</v>
      </c>
      <c r="X50" s="16">
        <v>21196</v>
      </c>
      <c r="Y50" s="16">
        <v>10948</v>
      </c>
      <c r="Z50" s="16">
        <v>2679</v>
      </c>
      <c r="AA50" s="16">
        <v>3010</v>
      </c>
      <c r="AB50" s="16">
        <v>0</v>
      </c>
      <c r="AC50" s="16">
        <v>0</v>
      </c>
      <c r="AD50" s="16">
        <v>0</v>
      </c>
      <c r="AE50" s="16">
        <f>SUM(AF50:AZ50)</f>
        <v>220015</v>
      </c>
      <c r="AF50" s="16">
        <v>0</v>
      </c>
      <c r="AG50" s="16">
        <v>2090</v>
      </c>
      <c r="AH50" s="16">
        <v>9132</v>
      </c>
      <c r="AI50" s="16">
        <v>0</v>
      </c>
      <c r="AJ50" s="16">
        <v>1591</v>
      </c>
      <c r="AK50" s="16">
        <v>0</v>
      </c>
      <c r="AL50" s="16">
        <v>101367</v>
      </c>
      <c r="AM50" s="16">
        <v>13265</v>
      </c>
      <c r="AN50" s="16">
        <v>57424</v>
      </c>
      <c r="AO50" s="16">
        <v>0</v>
      </c>
      <c r="AP50" s="16">
        <v>0</v>
      </c>
      <c r="AQ50" s="16">
        <v>0</v>
      </c>
      <c r="AR50" s="16">
        <v>30024</v>
      </c>
      <c r="AS50" s="16">
        <v>5000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122</v>
      </c>
      <c r="BA50" s="16">
        <f>SUM(BB50+BF50+BI50+BJ50+BK50+BM50)</f>
        <v>0</v>
      </c>
      <c r="BB50" s="16">
        <f>SUM(BC50:BE50)</f>
        <v>0</v>
      </c>
      <c r="BC50" s="16">
        <v>0</v>
      </c>
      <c r="BD50" s="16">
        <v>0</v>
      </c>
      <c r="BE50" s="16">
        <v>0</v>
      </c>
      <c r="BF50" s="16">
        <f t="shared" si="6"/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f t="shared" si="7"/>
        <v>0</v>
      </c>
      <c r="BL50" s="16">
        <v>0</v>
      </c>
      <c r="BM50" s="16">
        <f t="shared" si="8"/>
        <v>0</v>
      </c>
      <c r="BN50" s="16">
        <v>0</v>
      </c>
      <c r="BO50" s="16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f>SUM(BZ50+CS50)</f>
        <v>202734</v>
      </c>
      <c r="BZ50" s="16">
        <f>SUM(CA50+CD50+CK50)</f>
        <v>202734</v>
      </c>
      <c r="CA50" s="16">
        <f t="shared" si="9"/>
        <v>202734</v>
      </c>
      <c r="CB50" s="16">
        <v>0</v>
      </c>
      <c r="CC50" s="16">
        <v>202734</v>
      </c>
      <c r="CD50" s="16">
        <f t="shared" si="10"/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16">
        <f t="shared" si="11"/>
        <v>0</v>
      </c>
      <c r="CL50" s="16">
        <v>0</v>
      </c>
      <c r="CM50" s="16">
        <v>0</v>
      </c>
      <c r="CN50" s="16">
        <v>0</v>
      </c>
      <c r="CO50" s="16">
        <v>0</v>
      </c>
      <c r="CP50" s="16">
        <v>0</v>
      </c>
      <c r="CQ50" s="16">
        <v>0</v>
      </c>
      <c r="CR50" s="16">
        <v>0</v>
      </c>
      <c r="CS50" s="16">
        <v>0</v>
      </c>
      <c r="CT50" s="16">
        <f t="shared" si="12"/>
        <v>0</v>
      </c>
      <c r="CU50" s="16">
        <f t="shared" si="13"/>
        <v>0</v>
      </c>
      <c r="CV50" s="16">
        <v>0</v>
      </c>
      <c r="CW50" s="17">
        <v>0</v>
      </c>
      <c r="CX50" s="40"/>
    </row>
    <row r="51" spans="1:102" ht="15.75" hidden="1" x14ac:dyDescent="0.25">
      <c r="A51" s="13" t="s">
        <v>7</v>
      </c>
      <c r="B51" s="14" t="s">
        <v>15</v>
      </c>
      <c r="C51" s="14" t="s">
        <v>1</v>
      </c>
      <c r="D51" s="30" t="s">
        <v>69</v>
      </c>
      <c r="E51" s="15">
        <f t="shared" ref="E51:BP51" si="43">SUM(E52)</f>
        <v>24617242</v>
      </c>
      <c r="F51" s="16">
        <f t="shared" si="43"/>
        <v>24211498</v>
      </c>
      <c r="G51" s="16">
        <f t="shared" si="43"/>
        <v>23929464</v>
      </c>
      <c r="H51" s="16">
        <f t="shared" si="43"/>
        <v>19359994</v>
      </c>
      <c r="I51" s="16">
        <f t="shared" si="43"/>
        <v>2268855</v>
      </c>
      <c r="J51" s="16">
        <f t="shared" si="43"/>
        <v>435575</v>
      </c>
      <c r="K51" s="16">
        <f t="shared" si="43"/>
        <v>0</v>
      </c>
      <c r="L51" s="16">
        <f t="shared" si="43"/>
        <v>51315</v>
      </c>
      <c r="M51" s="16">
        <f t="shared" si="43"/>
        <v>0</v>
      </c>
      <c r="N51" s="16">
        <f t="shared" si="43"/>
        <v>0</v>
      </c>
      <c r="O51" s="16">
        <f t="shared" si="43"/>
        <v>186553</v>
      </c>
      <c r="P51" s="16">
        <f t="shared" si="43"/>
        <v>197707</v>
      </c>
      <c r="Q51" s="16">
        <f t="shared" si="43"/>
        <v>0</v>
      </c>
      <c r="R51" s="16">
        <f t="shared" si="43"/>
        <v>0</v>
      </c>
      <c r="S51" s="16">
        <f t="shared" si="43"/>
        <v>0</v>
      </c>
      <c r="T51" s="16">
        <f t="shared" si="43"/>
        <v>0</v>
      </c>
      <c r="U51" s="16">
        <f t="shared" si="43"/>
        <v>541576</v>
      </c>
      <c r="V51" s="16">
        <f t="shared" si="43"/>
        <v>217327</v>
      </c>
      <c r="W51" s="16">
        <f t="shared" si="43"/>
        <v>103196</v>
      </c>
      <c r="X51" s="16">
        <f t="shared" si="43"/>
        <v>41557</v>
      </c>
      <c r="Y51" s="16">
        <f t="shared" si="43"/>
        <v>43609</v>
      </c>
      <c r="Z51" s="16">
        <f t="shared" si="43"/>
        <v>9404</v>
      </c>
      <c r="AA51" s="16">
        <f t="shared" si="43"/>
        <v>9468</v>
      </c>
      <c r="AB51" s="16">
        <f t="shared" si="43"/>
        <v>0</v>
      </c>
      <c r="AC51" s="16">
        <f t="shared" si="43"/>
        <v>0</v>
      </c>
      <c r="AD51" s="16">
        <f t="shared" si="43"/>
        <v>10093</v>
      </c>
      <c r="AE51" s="16">
        <f t="shared" si="43"/>
        <v>1106137</v>
      </c>
      <c r="AF51" s="16">
        <f t="shared" si="43"/>
        <v>0</v>
      </c>
      <c r="AG51" s="16">
        <f t="shared" si="43"/>
        <v>11033</v>
      </c>
      <c r="AH51" s="16">
        <f t="shared" si="43"/>
        <v>79767</v>
      </c>
      <c r="AI51" s="16">
        <f t="shared" si="43"/>
        <v>0</v>
      </c>
      <c r="AJ51" s="16">
        <f t="shared" si="43"/>
        <v>44469</v>
      </c>
      <c r="AK51" s="16">
        <f t="shared" si="43"/>
        <v>28400</v>
      </c>
      <c r="AL51" s="16">
        <f t="shared" si="43"/>
        <v>21023</v>
      </c>
      <c r="AM51" s="16">
        <f t="shared" si="43"/>
        <v>203870</v>
      </c>
      <c r="AN51" s="16">
        <f t="shared" si="43"/>
        <v>5238</v>
      </c>
      <c r="AO51" s="16">
        <f t="shared" si="43"/>
        <v>38024</v>
      </c>
      <c r="AP51" s="16">
        <f t="shared" si="43"/>
        <v>0</v>
      </c>
      <c r="AQ51" s="16">
        <f t="shared" si="43"/>
        <v>0</v>
      </c>
      <c r="AR51" s="16">
        <f t="shared" si="43"/>
        <v>615066</v>
      </c>
      <c r="AS51" s="16">
        <f t="shared" si="43"/>
        <v>0</v>
      </c>
      <c r="AT51" s="16">
        <f t="shared" si="43"/>
        <v>0</v>
      </c>
      <c r="AU51" s="16">
        <f t="shared" si="43"/>
        <v>0</v>
      </c>
      <c r="AV51" s="16">
        <f t="shared" si="43"/>
        <v>0</v>
      </c>
      <c r="AW51" s="16">
        <f t="shared" si="43"/>
        <v>0</v>
      </c>
      <c r="AX51" s="16">
        <f t="shared" si="43"/>
        <v>0</v>
      </c>
      <c r="AY51" s="16">
        <f t="shared" si="43"/>
        <v>0</v>
      </c>
      <c r="AZ51" s="16">
        <f t="shared" si="43"/>
        <v>59247</v>
      </c>
      <c r="BA51" s="16">
        <f t="shared" si="43"/>
        <v>282034</v>
      </c>
      <c r="BB51" s="16">
        <f t="shared" si="43"/>
        <v>0</v>
      </c>
      <c r="BC51" s="16">
        <f t="shared" si="43"/>
        <v>0</v>
      </c>
      <c r="BD51" s="16">
        <f t="shared" si="43"/>
        <v>0</v>
      </c>
      <c r="BE51" s="16">
        <f t="shared" si="43"/>
        <v>0</v>
      </c>
      <c r="BF51" s="16">
        <f t="shared" si="43"/>
        <v>0</v>
      </c>
      <c r="BG51" s="16">
        <f t="shared" si="43"/>
        <v>0</v>
      </c>
      <c r="BH51" s="16">
        <f t="shared" si="43"/>
        <v>0</v>
      </c>
      <c r="BI51" s="16">
        <f t="shared" si="43"/>
        <v>0</v>
      </c>
      <c r="BJ51" s="16">
        <f t="shared" si="43"/>
        <v>0</v>
      </c>
      <c r="BK51" s="16">
        <f t="shared" si="43"/>
        <v>0</v>
      </c>
      <c r="BL51" s="16">
        <f t="shared" si="43"/>
        <v>0</v>
      </c>
      <c r="BM51" s="16">
        <f t="shared" si="43"/>
        <v>282034</v>
      </c>
      <c r="BN51" s="16">
        <f t="shared" si="43"/>
        <v>0</v>
      </c>
      <c r="BO51" s="16">
        <f t="shared" si="43"/>
        <v>0</v>
      </c>
      <c r="BP51" s="16">
        <f t="shared" si="43"/>
        <v>0</v>
      </c>
      <c r="BQ51" s="16">
        <f t="shared" ref="BQ51:CW51" si="44">SUM(BQ52)</f>
        <v>0</v>
      </c>
      <c r="BR51" s="16">
        <f t="shared" si="44"/>
        <v>0</v>
      </c>
      <c r="BS51" s="16">
        <f t="shared" si="44"/>
        <v>0</v>
      </c>
      <c r="BT51" s="16">
        <f t="shared" si="44"/>
        <v>0</v>
      </c>
      <c r="BU51" s="16">
        <f t="shared" si="44"/>
        <v>0</v>
      </c>
      <c r="BV51" s="16">
        <f t="shared" si="44"/>
        <v>0</v>
      </c>
      <c r="BW51" s="16">
        <f t="shared" si="44"/>
        <v>0</v>
      </c>
      <c r="BX51" s="16">
        <f t="shared" si="44"/>
        <v>282034</v>
      </c>
      <c r="BY51" s="16">
        <f t="shared" si="44"/>
        <v>405744</v>
      </c>
      <c r="BZ51" s="16">
        <f t="shared" si="44"/>
        <v>405744</v>
      </c>
      <c r="CA51" s="16">
        <f t="shared" si="44"/>
        <v>405744</v>
      </c>
      <c r="CB51" s="16">
        <f t="shared" si="44"/>
        <v>0</v>
      </c>
      <c r="CC51" s="16">
        <f t="shared" si="44"/>
        <v>405744</v>
      </c>
      <c r="CD51" s="16">
        <f t="shared" si="44"/>
        <v>0</v>
      </c>
      <c r="CE51" s="16">
        <f t="shared" si="44"/>
        <v>0</v>
      </c>
      <c r="CF51" s="16">
        <f t="shared" si="44"/>
        <v>0</v>
      </c>
      <c r="CG51" s="16">
        <f t="shared" si="44"/>
        <v>0</v>
      </c>
      <c r="CH51" s="16">
        <f t="shared" si="44"/>
        <v>0</v>
      </c>
      <c r="CI51" s="16">
        <f t="shared" si="44"/>
        <v>0</v>
      </c>
      <c r="CJ51" s="16">
        <f t="shared" si="44"/>
        <v>0</v>
      </c>
      <c r="CK51" s="16">
        <f t="shared" si="44"/>
        <v>0</v>
      </c>
      <c r="CL51" s="16">
        <f t="shared" si="44"/>
        <v>0</v>
      </c>
      <c r="CM51" s="16">
        <f t="shared" si="44"/>
        <v>0</v>
      </c>
      <c r="CN51" s="16">
        <f t="shared" si="44"/>
        <v>0</v>
      </c>
      <c r="CO51" s="16">
        <f t="shared" si="44"/>
        <v>0</v>
      </c>
      <c r="CP51" s="16">
        <f t="shared" si="44"/>
        <v>0</v>
      </c>
      <c r="CQ51" s="16">
        <f t="shared" si="44"/>
        <v>0</v>
      </c>
      <c r="CR51" s="16">
        <f t="shared" si="44"/>
        <v>0</v>
      </c>
      <c r="CS51" s="16">
        <f t="shared" si="44"/>
        <v>0</v>
      </c>
      <c r="CT51" s="16">
        <f t="shared" si="44"/>
        <v>0</v>
      </c>
      <c r="CU51" s="16">
        <f t="shared" si="44"/>
        <v>0</v>
      </c>
      <c r="CV51" s="16">
        <f t="shared" si="44"/>
        <v>0</v>
      </c>
      <c r="CW51" s="17">
        <f t="shared" si="44"/>
        <v>0</v>
      </c>
      <c r="CX51" s="40"/>
    </row>
    <row r="52" spans="1:102" ht="31.5" hidden="1" x14ac:dyDescent="0.25">
      <c r="A52" s="13" t="s">
        <v>1</v>
      </c>
      <c r="B52" s="14" t="s">
        <v>1</v>
      </c>
      <c r="C52" s="14" t="s">
        <v>70</v>
      </c>
      <c r="D52" s="30" t="s">
        <v>71</v>
      </c>
      <c r="E52" s="15">
        <f>SUM(F52+BY52+CT52)</f>
        <v>24617242</v>
      </c>
      <c r="F52" s="16">
        <f>SUM(G52+BA52)</f>
        <v>24211498</v>
      </c>
      <c r="G52" s="16">
        <f>SUM(H52+I52+J52+Q52+T52+U52+V52+AE52)</f>
        <v>23929464</v>
      </c>
      <c r="H52" s="16">
        <v>19359994</v>
      </c>
      <c r="I52" s="16">
        <v>2268855</v>
      </c>
      <c r="J52" s="16">
        <f t="shared" si="4"/>
        <v>435575</v>
      </c>
      <c r="K52" s="16">
        <v>0</v>
      </c>
      <c r="L52" s="16">
        <v>51315</v>
      </c>
      <c r="M52" s="16">
        <v>0</v>
      </c>
      <c r="N52" s="16">
        <v>0</v>
      </c>
      <c r="O52" s="16">
        <v>186553</v>
      </c>
      <c r="P52" s="16">
        <v>197707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541576</v>
      </c>
      <c r="V52" s="16">
        <f>SUM(W52:AD52)</f>
        <v>217327</v>
      </c>
      <c r="W52" s="16">
        <v>103196</v>
      </c>
      <c r="X52" s="16">
        <v>41557</v>
      </c>
      <c r="Y52" s="16">
        <v>43609</v>
      </c>
      <c r="Z52" s="16">
        <v>9404</v>
      </c>
      <c r="AA52" s="16">
        <v>9468</v>
      </c>
      <c r="AB52" s="16">
        <v>0</v>
      </c>
      <c r="AC52" s="16">
        <v>0</v>
      </c>
      <c r="AD52" s="16">
        <v>10093</v>
      </c>
      <c r="AE52" s="16">
        <f>SUM(AF52:AZ52)</f>
        <v>1106137</v>
      </c>
      <c r="AF52" s="16">
        <v>0</v>
      </c>
      <c r="AG52" s="16">
        <v>11033</v>
      </c>
      <c r="AH52" s="16">
        <v>79767</v>
      </c>
      <c r="AI52" s="16">
        <v>0</v>
      </c>
      <c r="AJ52" s="16">
        <v>44469</v>
      </c>
      <c r="AK52" s="16">
        <v>28400</v>
      </c>
      <c r="AL52" s="16">
        <v>21023</v>
      </c>
      <c r="AM52" s="16">
        <v>203870</v>
      </c>
      <c r="AN52" s="16">
        <v>5238</v>
      </c>
      <c r="AO52" s="16">
        <v>38024</v>
      </c>
      <c r="AP52" s="16"/>
      <c r="AQ52" s="16">
        <v>0</v>
      </c>
      <c r="AR52" s="16">
        <v>615066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/>
      <c r="AZ52" s="16">
        <v>59247</v>
      </c>
      <c r="BA52" s="16">
        <f>SUM(BB52+BF52+BI52+BJ52+BK52+BM52)</f>
        <v>282034</v>
      </c>
      <c r="BB52" s="16">
        <f>SUM(BC52:BE52)</f>
        <v>0</v>
      </c>
      <c r="BC52" s="16">
        <v>0</v>
      </c>
      <c r="BD52" s="16">
        <v>0</v>
      </c>
      <c r="BE52" s="16">
        <v>0</v>
      </c>
      <c r="BF52" s="16">
        <f t="shared" si="6"/>
        <v>0</v>
      </c>
      <c r="BG52" s="16">
        <v>0</v>
      </c>
      <c r="BH52" s="16">
        <v>0</v>
      </c>
      <c r="BI52" s="16">
        <v>0</v>
      </c>
      <c r="BJ52" s="16">
        <v>0</v>
      </c>
      <c r="BK52" s="16">
        <f t="shared" si="7"/>
        <v>0</v>
      </c>
      <c r="BL52" s="16">
        <v>0</v>
      </c>
      <c r="BM52" s="16">
        <f t="shared" si="8"/>
        <v>282034</v>
      </c>
      <c r="BN52" s="16">
        <v>0</v>
      </c>
      <c r="BO52" s="16">
        <v>0</v>
      </c>
      <c r="BP52" s="16">
        <v>0</v>
      </c>
      <c r="BQ52" s="16">
        <v>0</v>
      </c>
      <c r="BR52" s="16">
        <v>0</v>
      </c>
      <c r="BS52" s="16">
        <v>0</v>
      </c>
      <c r="BT52" s="16">
        <v>0</v>
      </c>
      <c r="BU52" s="16">
        <v>0</v>
      </c>
      <c r="BV52" s="16">
        <v>0</v>
      </c>
      <c r="BW52" s="16">
        <v>0</v>
      </c>
      <c r="BX52" s="16">
        <v>282034</v>
      </c>
      <c r="BY52" s="16">
        <f>SUM(BZ52+CS52)</f>
        <v>405744</v>
      </c>
      <c r="BZ52" s="16">
        <f>SUM(CA52+CD52+CK52)</f>
        <v>405744</v>
      </c>
      <c r="CA52" s="16">
        <f t="shared" si="9"/>
        <v>405744</v>
      </c>
      <c r="CB52" s="16">
        <v>0</v>
      </c>
      <c r="CC52" s="16">
        <v>405744</v>
      </c>
      <c r="CD52" s="16">
        <f t="shared" si="10"/>
        <v>0</v>
      </c>
      <c r="CE52" s="16">
        <v>0</v>
      </c>
      <c r="CF52" s="16">
        <v>0</v>
      </c>
      <c r="CG52" s="16">
        <v>0</v>
      </c>
      <c r="CH52" s="16">
        <v>0</v>
      </c>
      <c r="CI52" s="16">
        <v>0</v>
      </c>
      <c r="CJ52" s="16">
        <v>0</v>
      </c>
      <c r="CK52" s="16">
        <f t="shared" si="11"/>
        <v>0</v>
      </c>
      <c r="CL52" s="16">
        <v>0</v>
      </c>
      <c r="CM52" s="16">
        <v>0</v>
      </c>
      <c r="CN52" s="16">
        <v>0</v>
      </c>
      <c r="CO52" s="16">
        <v>0</v>
      </c>
      <c r="CP52" s="16">
        <v>0</v>
      </c>
      <c r="CQ52" s="16"/>
      <c r="CR52" s="16"/>
      <c r="CS52" s="16">
        <v>0</v>
      </c>
      <c r="CT52" s="16">
        <f t="shared" si="12"/>
        <v>0</v>
      </c>
      <c r="CU52" s="16">
        <f t="shared" si="13"/>
        <v>0</v>
      </c>
      <c r="CV52" s="16">
        <v>0</v>
      </c>
      <c r="CW52" s="17">
        <v>0</v>
      </c>
      <c r="CX52" s="40"/>
    </row>
    <row r="53" spans="1:102" ht="15.75" hidden="1" x14ac:dyDescent="0.25">
      <c r="A53" s="13" t="s">
        <v>7</v>
      </c>
      <c r="B53" s="14" t="s">
        <v>47</v>
      </c>
      <c r="C53" s="14" t="s">
        <v>1</v>
      </c>
      <c r="D53" s="30" t="s">
        <v>72</v>
      </c>
      <c r="E53" s="15">
        <f t="shared" ref="E53:BP53" si="45">SUM(E54)</f>
        <v>6390737</v>
      </c>
      <c r="F53" s="16">
        <f t="shared" si="45"/>
        <v>6302275</v>
      </c>
      <c r="G53" s="16">
        <f t="shared" si="45"/>
        <v>6274670</v>
      </c>
      <c r="H53" s="16">
        <f t="shared" si="45"/>
        <v>5004302</v>
      </c>
      <c r="I53" s="16">
        <f t="shared" si="45"/>
        <v>368278</v>
      </c>
      <c r="J53" s="16">
        <f t="shared" si="45"/>
        <v>465863</v>
      </c>
      <c r="K53" s="16">
        <f t="shared" si="45"/>
        <v>0</v>
      </c>
      <c r="L53" s="16">
        <f t="shared" si="45"/>
        <v>14944</v>
      </c>
      <c r="M53" s="16">
        <f t="shared" si="45"/>
        <v>0</v>
      </c>
      <c r="N53" s="16">
        <f t="shared" si="45"/>
        <v>0</v>
      </c>
      <c r="O53" s="16">
        <f t="shared" si="45"/>
        <v>408737</v>
      </c>
      <c r="P53" s="16">
        <f t="shared" si="45"/>
        <v>42182</v>
      </c>
      <c r="Q53" s="16">
        <f t="shared" si="45"/>
        <v>0</v>
      </c>
      <c r="R53" s="16">
        <f t="shared" si="45"/>
        <v>0</v>
      </c>
      <c r="S53" s="16">
        <f t="shared" si="45"/>
        <v>0</v>
      </c>
      <c r="T53" s="16">
        <f t="shared" si="45"/>
        <v>0</v>
      </c>
      <c r="U53" s="16">
        <f t="shared" si="45"/>
        <v>158926</v>
      </c>
      <c r="V53" s="16">
        <f t="shared" si="45"/>
        <v>29813</v>
      </c>
      <c r="W53" s="16">
        <f t="shared" si="45"/>
        <v>13373</v>
      </c>
      <c r="X53" s="16">
        <f t="shared" si="45"/>
        <v>0</v>
      </c>
      <c r="Y53" s="16">
        <f t="shared" si="45"/>
        <v>12939</v>
      </c>
      <c r="Z53" s="16">
        <f t="shared" si="45"/>
        <v>1202</v>
      </c>
      <c r="AA53" s="16">
        <f t="shared" si="45"/>
        <v>0</v>
      </c>
      <c r="AB53" s="16">
        <f t="shared" si="45"/>
        <v>0</v>
      </c>
      <c r="AC53" s="16">
        <f t="shared" si="45"/>
        <v>0</v>
      </c>
      <c r="AD53" s="16">
        <f t="shared" si="45"/>
        <v>2299</v>
      </c>
      <c r="AE53" s="16">
        <f t="shared" si="45"/>
        <v>247488</v>
      </c>
      <c r="AF53" s="16">
        <f t="shared" si="45"/>
        <v>0</v>
      </c>
      <c r="AG53" s="16">
        <f t="shared" si="45"/>
        <v>150</v>
      </c>
      <c r="AH53" s="16">
        <f t="shared" si="45"/>
        <v>8508</v>
      </c>
      <c r="AI53" s="16">
        <f t="shared" si="45"/>
        <v>0</v>
      </c>
      <c r="AJ53" s="16">
        <f t="shared" si="45"/>
        <v>11160</v>
      </c>
      <c r="AK53" s="16">
        <f t="shared" si="45"/>
        <v>0</v>
      </c>
      <c r="AL53" s="16">
        <f t="shared" si="45"/>
        <v>44231</v>
      </c>
      <c r="AM53" s="16">
        <f t="shared" si="45"/>
        <v>0</v>
      </c>
      <c r="AN53" s="16">
        <f t="shared" si="45"/>
        <v>33756</v>
      </c>
      <c r="AO53" s="16">
        <f t="shared" si="45"/>
        <v>0</v>
      </c>
      <c r="AP53" s="16">
        <f t="shared" si="45"/>
        <v>0</v>
      </c>
      <c r="AQ53" s="16">
        <f t="shared" si="45"/>
        <v>0</v>
      </c>
      <c r="AR53" s="16">
        <f t="shared" si="45"/>
        <v>71948</v>
      </c>
      <c r="AS53" s="16">
        <f t="shared" si="45"/>
        <v>0</v>
      </c>
      <c r="AT53" s="16">
        <f t="shared" si="45"/>
        <v>0</v>
      </c>
      <c r="AU53" s="16">
        <f t="shared" si="45"/>
        <v>0</v>
      </c>
      <c r="AV53" s="16">
        <f t="shared" si="45"/>
        <v>0</v>
      </c>
      <c r="AW53" s="16">
        <f t="shared" si="45"/>
        <v>0</v>
      </c>
      <c r="AX53" s="16">
        <f t="shared" si="45"/>
        <v>0</v>
      </c>
      <c r="AY53" s="16">
        <f t="shared" si="45"/>
        <v>0</v>
      </c>
      <c r="AZ53" s="16">
        <f t="shared" si="45"/>
        <v>77735</v>
      </c>
      <c r="BA53" s="16">
        <f t="shared" si="45"/>
        <v>27605</v>
      </c>
      <c r="BB53" s="16">
        <f t="shared" si="45"/>
        <v>0</v>
      </c>
      <c r="BC53" s="16">
        <f t="shared" si="45"/>
        <v>0</v>
      </c>
      <c r="BD53" s="16">
        <f t="shared" si="45"/>
        <v>0</v>
      </c>
      <c r="BE53" s="16">
        <f t="shared" si="45"/>
        <v>0</v>
      </c>
      <c r="BF53" s="16">
        <f t="shared" si="45"/>
        <v>0</v>
      </c>
      <c r="BG53" s="16">
        <f t="shared" si="45"/>
        <v>0</v>
      </c>
      <c r="BH53" s="16">
        <f t="shared" si="45"/>
        <v>0</v>
      </c>
      <c r="BI53" s="16">
        <f t="shared" si="45"/>
        <v>0</v>
      </c>
      <c r="BJ53" s="16">
        <f t="shared" si="45"/>
        <v>0</v>
      </c>
      <c r="BK53" s="16">
        <f t="shared" si="45"/>
        <v>0</v>
      </c>
      <c r="BL53" s="16">
        <f t="shared" si="45"/>
        <v>0</v>
      </c>
      <c r="BM53" s="16">
        <f t="shared" si="45"/>
        <v>27605</v>
      </c>
      <c r="BN53" s="16">
        <f t="shared" si="45"/>
        <v>0</v>
      </c>
      <c r="BO53" s="16">
        <f t="shared" si="45"/>
        <v>0</v>
      </c>
      <c r="BP53" s="16">
        <f t="shared" si="45"/>
        <v>0</v>
      </c>
      <c r="BQ53" s="16">
        <f t="shared" ref="BQ53:CW53" si="46">SUM(BQ54)</f>
        <v>0</v>
      </c>
      <c r="BR53" s="16">
        <f t="shared" si="46"/>
        <v>0</v>
      </c>
      <c r="BS53" s="16">
        <f t="shared" si="46"/>
        <v>0</v>
      </c>
      <c r="BT53" s="16">
        <f t="shared" si="46"/>
        <v>0</v>
      </c>
      <c r="BU53" s="16">
        <f t="shared" si="46"/>
        <v>0</v>
      </c>
      <c r="BV53" s="16">
        <f t="shared" si="46"/>
        <v>0</v>
      </c>
      <c r="BW53" s="16">
        <f t="shared" si="46"/>
        <v>27605</v>
      </c>
      <c r="BX53" s="16">
        <f t="shared" si="46"/>
        <v>0</v>
      </c>
      <c r="BY53" s="16">
        <f t="shared" si="46"/>
        <v>88462</v>
      </c>
      <c r="BZ53" s="16">
        <f t="shared" si="46"/>
        <v>88462</v>
      </c>
      <c r="CA53" s="16">
        <f t="shared" si="46"/>
        <v>88462</v>
      </c>
      <c r="CB53" s="16">
        <f t="shared" si="46"/>
        <v>0</v>
      </c>
      <c r="CC53" s="16">
        <f t="shared" si="46"/>
        <v>88462</v>
      </c>
      <c r="CD53" s="16">
        <f t="shared" si="46"/>
        <v>0</v>
      </c>
      <c r="CE53" s="16">
        <f t="shared" si="46"/>
        <v>0</v>
      </c>
      <c r="CF53" s="16">
        <f t="shared" si="46"/>
        <v>0</v>
      </c>
      <c r="CG53" s="16">
        <f t="shared" si="46"/>
        <v>0</v>
      </c>
      <c r="CH53" s="16">
        <f t="shared" si="46"/>
        <v>0</v>
      </c>
      <c r="CI53" s="16">
        <f t="shared" si="46"/>
        <v>0</v>
      </c>
      <c r="CJ53" s="16">
        <f t="shared" si="46"/>
        <v>0</v>
      </c>
      <c r="CK53" s="16">
        <f t="shared" si="46"/>
        <v>0</v>
      </c>
      <c r="CL53" s="16">
        <f t="shared" si="46"/>
        <v>0</v>
      </c>
      <c r="CM53" s="16">
        <f t="shared" si="46"/>
        <v>0</v>
      </c>
      <c r="CN53" s="16">
        <f t="shared" si="46"/>
        <v>0</v>
      </c>
      <c r="CO53" s="16">
        <f t="shared" si="46"/>
        <v>0</v>
      </c>
      <c r="CP53" s="16">
        <f t="shared" si="46"/>
        <v>0</v>
      </c>
      <c r="CQ53" s="16">
        <f t="shared" si="46"/>
        <v>0</v>
      </c>
      <c r="CR53" s="16">
        <f t="shared" si="46"/>
        <v>0</v>
      </c>
      <c r="CS53" s="16">
        <f t="shared" si="46"/>
        <v>0</v>
      </c>
      <c r="CT53" s="16">
        <f t="shared" si="46"/>
        <v>0</v>
      </c>
      <c r="CU53" s="16">
        <f t="shared" si="46"/>
        <v>0</v>
      </c>
      <c r="CV53" s="16">
        <f t="shared" si="46"/>
        <v>0</v>
      </c>
      <c r="CW53" s="17">
        <f t="shared" si="46"/>
        <v>0</v>
      </c>
      <c r="CX53" s="40"/>
    </row>
    <row r="54" spans="1:102" ht="15.75" hidden="1" x14ac:dyDescent="0.25">
      <c r="A54" s="13" t="s">
        <v>1</v>
      </c>
      <c r="B54" s="14" t="s">
        <v>1</v>
      </c>
      <c r="C54" s="14" t="s">
        <v>73</v>
      </c>
      <c r="D54" s="30" t="s">
        <v>74</v>
      </c>
      <c r="E54" s="15">
        <f>SUM(F54+BY54+CT54)</f>
        <v>6390737</v>
      </c>
      <c r="F54" s="16">
        <f>SUM(G54+BA54)</f>
        <v>6302275</v>
      </c>
      <c r="G54" s="16">
        <f>SUM(H54+I54+J54+Q54+T54+U54+V54+AE54)</f>
        <v>6274670</v>
      </c>
      <c r="H54" s="16">
        <v>5004302</v>
      </c>
      <c r="I54" s="16">
        <v>368278</v>
      </c>
      <c r="J54" s="16">
        <f t="shared" si="4"/>
        <v>465863</v>
      </c>
      <c r="K54" s="16">
        <v>0</v>
      </c>
      <c r="L54" s="16">
        <v>14944</v>
      </c>
      <c r="M54" s="16">
        <v>0</v>
      </c>
      <c r="N54" s="16">
        <v>0</v>
      </c>
      <c r="O54" s="16">
        <v>408737</v>
      </c>
      <c r="P54" s="16">
        <v>42182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158926</v>
      </c>
      <c r="V54" s="16">
        <f>SUM(W54:AD54)</f>
        <v>29813</v>
      </c>
      <c r="W54" s="16">
        <v>13373</v>
      </c>
      <c r="X54" s="16">
        <v>0</v>
      </c>
      <c r="Y54" s="16">
        <f>8776+180+3983</f>
        <v>12939</v>
      </c>
      <c r="Z54" s="16">
        <v>1202</v>
      </c>
      <c r="AA54" s="16">
        <v>0</v>
      </c>
      <c r="AB54" s="16">
        <v>0</v>
      </c>
      <c r="AC54" s="16">
        <v>0</v>
      </c>
      <c r="AD54" s="16">
        <v>2299</v>
      </c>
      <c r="AE54" s="16">
        <f>SUM(AF54:AZ54)</f>
        <v>247488</v>
      </c>
      <c r="AF54" s="16">
        <v>0</v>
      </c>
      <c r="AG54" s="16">
        <v>150</v>
      </c>
      <c r="AH54" s="16">
        <v>8508</v>
      </c>
      <c r="AI54" s="16">
        <v>0</v>
      </c>
      <c r="AJ54" s="16">
        <v>11160</v>
      </c>
      <c r="AK54" s="16">
        <v>0</v>
      </c>
      <c r="AL54" s="16">
        <v>44231</v>
      </c>
      <c r="AM54" s="16">
        <v>0</v>
      </c>
      <c r="AN54" s="16">
        <v>33756</v>
      </c>
      <c r="AO54" s="16">
        <v>0</v>
      </c>
      <c r="AP54" s="16">
        <v>0</v>
      </c>
      <c r="AQ54" s="16">
        <v>0</v>
      </c>
      <c r="AR54" s="16">
        <v>71948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77735</v>
      </c>
      <c r="BA54" s="16">
        <f>SUM(BB54+BF54+BI54+BJ54+BK54+BM54)</f>
        <v>27605</v>
      </c>
      <c r="BB54" s="16">
        <f>SUM(BC54:BE54)</f>
        <v>0</v>
      </c>
      <c r="BC54" s="16">
        <v>0</v>
      </c>
      <c r="BD54" s="16">
        <v>0</v>
      </c>
      <c r="BE54" s="16">
        <v>0</v>
      </c>
      <c r="BF54" s="16">
        <f t="shared" si="6"/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f t="shared" si="7"/>
        <v>0</v>
      </c>
      <c r="BL54" s="16">
        <v>0</v>
      </c>
      <c r="BM54" s="16">
        <f t="shared" si="8"/>
        <v>27605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27605</v>
      </c>
      <c r="BX54" s="16">
        <v>0</v>
      </c>
      <c r="BY54" s="16">
        <f>SUM(BZ54+CS54)</f>
        <v>88462</v>
      </c>
      <c r="BZ54" s="16">
        <f>SUM(CA54+CD54+CK54)</f>
        <v>88462</v>
      </c>
      <c r="CA54" s="16">
        <f t="shared" si="9"/>
        <v>88462</v>
      </c>
      <c r="CB54" s="16">
        <v>0</v>
      </c>
      <c r="CC54" s="16">
        <v>88462</v>
      </c>
      <c r="CD54" s="16">
        <f t="shared" si="10"/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16">
        <f t="shared" si="11"/>
        <v>0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  <c r="CS54" s="16">
        <v>0</v>
      </c>
      <c r="CT54" s="16">
        <f t="shared" si="12"/>
        <v>0</v>
      </c>
      <c r="CU54" s="16">
        <f t="shared" si="13"/>
        <v>0</v>
      </c>
      <c r="CV54" s="16">
        <v>0</v>
      </c>
      <c r="CW54" s="17">
        <v>0</v>
      </c>
      <c r="CX54" s="40"/>
    </row>
    <row r="55" spans="1:102" ht="15.75" hidden="1" x14ac:dyDescent="0.25">
      <c r="A55" s="13" t="s">
        <v>7</v>
      </c>
      <c r="B55" s="14" t="s">
        <v>57</v>
      </c>
      <c r="C55" s="14" t="s">
        <v>1</v>
      </c>
      <c r="D55" s="30" t="s">
        <v>75</v>
      </c>
      <c r="E55" s="15">
        <f t="shared" ref="E55:BP55" si="47">SUM(E56)</f>
        <v>524239</v>
      </c>
      <c r="F55" s="16">
        <f t="shared" si="47"/>
        <v>524239</v>
      </c>
      <c r="G55" s="16">
        <f t="shared" si="47"/>
        <v>524239</v>
      </c>
      <c r="H55" s="16">
        <f t="shared" si="47"/>
        <v>0</v>
      </c>
      <c r="I55" s="16">
        <f t="shared" si="47"/>
        <v>0</v>
      </c>
      <c r="J55" s="16">
        <f t="shared" si="47"/>
        <v>0</v>
      </c>
      <c r="K55" s="16">
        <f t="shared" si="47"/>
        <v>0</v>
      </c>
      <c r="L55" s="16">
        <f t="shared" si="47"/>
        <v>0</v>
      </c>
      <c r="M55" s="16">
        <f t="shared" si="47"/>
        <v>0</v>
      </c>
      <c r="N55" s="16">
        <f t="shared" si="47"/>
        <v>0</v>
      </c>
      <c r="O55" s="16">
        <f t="shared" si="47"/>
        <v>0</v>
      </c>
      <c r="P55" s="16">
        <f t="shared" si="47"/>
        <v>0</v>
      </c>
      <c r="Q55" s="16">
        <f t="shared" si="47"/>
        <v>0</v>
      </c>
      <c r="R55" s="16">
        <f t="shared" si="47"/>
        <v>0</v>
      </c>
      <c r="S55" s="16">
        <f t="shared" si="47"/>
        <v>0</v>
      </c>
      <c r="T55" s="16">
        <f t="shared" si="47"/>
        <v>0</v>
      </c>
      <c r="U55" s="16">
        <f t="shared" si="47"/>
        <v>0</v>
      </c>
      <c r="V55" s="16">
        <f t="shared" si="47"/>
        <v>0</v>
      </c>
      <c r="W55" s="16">
        <f t="shared" si="47"/>
        <v>0</v>
      </c>
      <c r="X55" s="16">
        <f t="shared" si="47"/>
        <v>0</v>
      </c>
      <c r="Y55" s="16">
        <f t="shared" si="47"/>
        <v>0</v>
      </c>
      <c r="Z55" s="16">
        <f t="shared" si="47"/>
        <v>0</v>
      </c>
      <c r="AA55" s="16">
        <f t="shared" si="47"/>
        <v>0</v>
      </c>
      <c r="AB55" s="16">
        <f t="shared" si="47"/>
        <v>0</v>
      </c>
      <c r="AC55" s="16">
        <f t="shared" si="47"/>
        <v>0</v>
      </c>
      <c r="AD55" s="16">
        <f t="shared" si="47"/>
        <v>0</v>
      </c>
      <c r="AE55" s="16">
        <f t="shared" si="47"/>
        <v>524239</v>
      </c>
      <c r="AF55" s="16">
        <f t="shared" si="47"/>
        <v>0</v>
      </c>
      <c r="AG55" s="16">
        <f t="shared" si="47"/>
        <v>0</v>
      </c>
      <c r="AH55" s="16">
        <f t="shared" si="47"/>
        <v>0</v>
      </c>
      <c r="AI55" s="16">
        <f t="shared" si="47"/>
        <v>0</v>
      </c>
      <c r="AJ55" s="16">
        <f t="shared" si="47"/>
        <v>0</v>
      </c>
      <c r="AK55" s="16">
        <f t="shared" si="47"/>
        <v>0</v>
      </c>
      <c r="AL55" s="16">
        <f t="shared" si="47"/>
        <v>0</v>
      </c>
      <c r="AM55" s="16">
        <f t="shared" si="47"/>
        <v>0</v>
      </c>
      <c r="AN55" s="16">
        <f t="shared" si="47"/>
        <v>0</v>
      </c>
      <c r="AO55" s="16">
        <f t="shared" si="47"/>
        <v>0</v>
      </c>
      <c r="AP55" s="16">
        <f t="shared" si="47"/>
        <v>0</v>
      </c>
      <c r="AQ55" s="16">
        <f t="shared" si="47"/>
        <v>0</v>
      </c>
      <c r="AR55" s="16">
        <f t="shared" si="47"/>
        <v>0</v>
      </c>
      <c r="AS55" s="16">
        <f t="shared" si="47"/>
        <v>0</v>
      </c>
      <c r="AT55" s="16">
        <f t="shared" si="47"/>
        <v>524239</v>
      </c>
      <c r="AU55" s="16">
        <f t="shared" si="47"/>
        <v>0</v>
      </c>
      <c r="AV55" s="16">
        <f t="shared" si="47"/>
        <v>0</v>
      </c>
      <c r="AW55" s="16">
        <f t="shared" si="47"/>
        <v>0</v>
      </c>
      <c r="AX55" s="16">
        <f t="shared" si="47"/>
        <v>0</v>
      </c>
      <c r="AY55" s="16">
        <f t="shared" si="47"/>
        <v>0</v>
      </c>
      <c r="AZ55" s="16">
        <f t="shared" si="47"/>
        <v>0</v>
      </c>
      <c r="BA55" s="16">
        <f t="shared" si="47"/>
        <v>0</v>
      </c>
      <c r="BB55" s="16">
        <f t="shared" si="47"/>
        <v>0</v>
      </c>
      <c r="BC55" s="16">
        <f t="shared" si="47"/>
        <v>0</v>
      </c>
      <c r="BD55" s="16">
        <f t="shared" si="47"/>
        <v>0</v>
      </c>
      <c r="BE55" s="16">
        <f t="shared" si="47"/>
        <v>0</v>
      </c>
      <c r="BF55" s="16">
        <f t="shared" si="47"/>
        <v>0</v>
      </c>
      <c r="BG55" s="16">
        <f t="shared" si="47"/>
        <v>0</v>
      </c>
      <c r="BH55" s="16">
        <f t="shared" si="47"/>
        <v>0</v>
      </c>
      <c r="BI55" s="16">
        <f t="shared" si="47"/>
        <v>0</v>
      </c>
      <c r="BJ55" s="16">
        <f t="shared" si="47"/>
        <v>0</v>
      </c>
      <c r="BK55" s="16">
        <f t="shared" si="47"/>
        <v>0</v>
      </c>
      <c r="BL55" s="16">
        <f t="shared" si="47"/>
        <v>0</v>
      </c>
      <c r="BM55" s="16">
        <f t="shared" si="47"/>
        <v>0</v>
      </c>
      <c r="BN55" s="16">
        <f t="shared" si="47"/>
        <v>0</v>
      </c>
      <c r="BO55" s="16">
        <f t="shared" si="47"/>
        <v>0</v>
      </c>
      <c r="BP55" s="16">
        <f t="shared" si="47"/>
        <v>0</v>
      </c>
      <c r="BQ55" s="16">
        <f t="shared" ref="BQ55:CW55" si="48">SUM(BQ56)</f>
        <v>0</v>
      </c>
      <c r="BR55" s="16">
        <f t="shared" si="48"/>
        <v>0</v>
      </c>
      <c r="BS55" s="16">
        <f t="shared" si="48"/>
        <v>0</v>
      </c>
      <c r="BT55" s="16">
        <f t="shared" si="48"/>
        <v>0</v>
      </c>
      <c r="BU55" s="16">
        <f t="shared" si="48"/>
        <v>0</v>
      </c>
      <c r="BV55" s="16">
        <f t="shared" si="48"/>
        <v>0</v>
      </c>
      <c r="BW55" s="16">
        <f t="shared" si="48"/>
        <v>0</v>
      </c>
      <c r="BX55" s="16">
        <f t="shared" si="48"/>
        <v>0</v>
      </c>
      <c r="BY55" s="16">
        <f t="shared" si="48"/>
        <v>0</v>
      </c>
      <c r="BZ55" s="16">
        <f t="shared" si="48"/>
        <v>0</v>
      </c>
      <c r="CA55" s="16">
        <f t="shared" si="48"/>
        <v>0</v>
      </c>
      <c r="CB55" s="16">
        <f t="shared" si="48"/>
        <v>0</v>
      </c>
      <c r="CC55" s="16">
        <f t="shared" si="48"/>
        <v>0</v>
      </c>
      <c r="CD55" s="16">
        <f t="shared" si="48"/>
        <v>0</v>
      </c>
      <c r="CE55" s="16">
        <f t="shared" si="48"/>
        <v>0</v>
      </c>
      <c r="CF55" s="16">
        <f t="shared" si="48"/>
        <v>0</v>
      </c>
      <c r="CG55" s="16">
        <f t="shared" si="48"/>
        <v>0</v>
      </c>
      <c r="CH55" s="16">
        <f t="shared" si="48"/>
        <v>0</v>
      </c>
      <c r="CI55" s="16">
        <f t="shared" si="48"/>
        <v>0</v>
      </c>
      <c r="CJ55" s="16">
        <f t="shared" si="48"/>
        <v>0</v>
      </c>
      <c r="CK55" s="16">
        <f t="shared" si="48"/>
        <v>0</v>
      </c>
      <c r="CL55" s="16">
        <f t="shared" si="48"/>
        <v>0</v>
      </c>
      <c r="CM55" s="16">
        <f t="shared" si="48"/>
        <v>0</v>
      </c>
      <c r="CN55" s="16">
        <f t="shared" si="48"/>
        <v>0</v>
      </c>
      <c r="CO55" s="16">
        <f t="shared" si="48"/>
        <v>0</v>
      </c>
      <c r="CP55" s="16">
        <f t="shared" si="48"/>
        <v>0</v>
      </c>
      <c r="CQ55" s="16">
        <f t="shared" si="48"/>
        <v>0</v>
      </c>
      <c r="CR55" s="16">
        <f t="shared" si="48"/>
        <v>0</v>
      </c>
      <c r="CS55" s="16">
        <f t="shared" si="48"/>
        <v>0</v>
      </c>
      <c r="CT55" s="16">
        <f t="shared" si="48"/>
        <v>0</v>
      </c>
      <c r="CU55" s="16">
        <f t="shared" si="48"/>
        <v>0</v>
      </c>
      <c r="CV55" s="16">
        <f t="shared" si="48"/>
        <v>0</v>
      </c>
      <c r="CW55" s="17">
        <f t="shared" si="48"/>
        <v>0</v>
      </c>
      <c r="CX55" s="40"/>
    </row>
    <row r="56" spans="1:102" ht="15.75" hidden="1" x14ac:dyDescent="0.25">
      <c r="A56" s="13" t="s">
        <v>1</v>
      </c>
      <c r="B56" s="14" t="s">
        <v>1</v>
      </c>
      <c r="C56" s="14" t="s">
        <v>70</v>
      </c>
      <c r="D56" s="30" t="s">
        <v>76</v>
      </c>
      <c r="E56" s="15">
        <f>SUM(F56+BY56+CT56)</f>
        <v>524239</v>
      </c>
      <c r="F56" s="16">
        <f>SUM(G56+BA56)</f>
        <v>524239</v>
      </c>
      <c r="G56" s="16">
        <f>SUM(H56+I56+J56+Q56+T56+U56+V56+AE56)</f>
        <v>524239</v>
      </c>
      <c r="H56" s="16">
        <v>0</v>
      </c>
      <c r="I56" s="16">
        <v>0</v>
      </c>
      <c r="J56" s="16">
        <f t="shared" si="4"/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>SUM(W56:AD56)</f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f>SUM(AF56:AZ56)</f>
        <v>524239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524239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f>SUM(BB56+BF56+BI56+BJ56+BK56+BM56)</f>
        <v>0</v>
      </c>
      <c r="BB56" s="16">
        <f>SUM(BC56:BE56)</f>
        <v>0</v>
      </c>
      <c r="BC56" s="16">
        <v>0</v>
      </c>
      <c r="BD56" s="16">
        <v>0</v>
      </c>
      <c r="BE56" s="16">
        <v>0</v>
      </c>
      <c r="BF56" s="16">
        <f t="shared" si="6"/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f t="shared" si="7"/>
        <v>0</v>
      </c>
      <c r="BL56" s="16">
        <v>0</v>
      </c>
      <c r="BM56" s="16">
        <f t="shared" si="8"/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f>SUM(BZ56+CS56)</f>
        <v>0</v>
      </c>
      <c r="BZ56" s="16">
        <f>SUM(CA56+CD56+CK56)</f>
        <v>0</v>
      </c>
      <c r="CA56" s="16">
        <f t="shared" si="9"/>
        <v>0</v>
      </c>
      <c r="CB56" s="16">
        <v>0</v>
      </c>
      <c r="CC56" s="16">
        <v>0</v>
      </c>
      <c r="CD56" s="16">
        <f t="shared" si="10"/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f t="shared" si="11"/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  <c r="CS56" s="16">
        <v>0</v>
      </c>
      <c r="CT56" s="16">
        <f t="shared" si="12"/>
        <v>0</v>
      </c>
      <c r="CU56" s="16">
        <f t="shared" si="13"/>
        <v>0</v>
      </c>
      <c r="CV56" s="16">
        <v>0</v>
      </c>
      <c r="CW56" s="17">
        <v>0</v>
      </c>
      <c r="CX56" s="40"/>
    </row>
    <row r="57" spans="1:102" ht="15.75" hidden="1" x14ac:dyDescent="0.25">
      <c r="A57" s="18" t="s">
        <v>77</v>
      </c>
      <c r="B57" s="19" t="s">
        <v>1</v>
      </c>
      <c r="C57" s="19" t="s">
        <v>1</v>
      </c>
      <c r="D57" s="31" t="s">
        <v>78</v>
      </c>
      <c r="E57" s="20">
        <f>SUM(E58+E60)</f>
        <v>5683420</v>
      </c>
      <c r="F57" s="21">
        <f t="shared" ref="F57:BS57" si="49">SUM(F58+F60)</f>
        <v>5643698</v>
      </c>
      <c r="G57" s="21">
        <f t="shared" si="49"/>
        <v>5643698</v>
      </c>
      <c r="H57" s="21">
        <f t="shared" si="49"/>
        <v>1947456</v>
      </c>
      <c r="I57" s="21">
        <f t="shared" si="49"/>
        <v>486864</v>
      </c>
      <c r="J57" s="21">
        <f t="shared" si="49"/>
        <v>69066</v>
      </c>
      <c r="K57" s="21">
        <f t="shared" si="49"/>
        <v>0</v>
      </c>
      <c r="L57" s="21">
        <f t="shared" si="49"/>
        <v>0</v>
      </c>
      <c r="M57" s="21">
        <f t="shared" si="49"/>
        <v>0</v>
      </c>
      <c r="N57" s="21">
        <f t="shared" si="49"/>
        <v>0</v>
      </c>
      <c r="O57" s="21">
        <f t="shared" si="49"/>
        <v>39576</v>
      </c>
      <c r="P57" s="21">
        <f t="shared" si="49"/>
        <v>29490</v>
      </c>
      <c r="Q57" s="21">
        <f t="shared" si="49"/>
        <v>610538</v>
      </c>
      <c r="R57" s="21">
        <f t="shared" si="49"/>
        <v>0</v>
      </c>
      <c r="S57" s="21">
        <f t="shared" si="49"/>
        <v>610538</v>
      </c>
      <c r="T57" s="21">
        <f t="shared" si="49"/>
        <v>0</v>
      </c>
      <c r="U57" s="21">
        <f t="shared" si="49"/>
        <v>71271</v>
      </c>
      <c r="V57" s="21">
        <f t="shared" si="49"/>
        <v>888553</v>
      </c>
      <c r="W57" s="21">
        <f t="shared" si="49"/>
        <v>18887</v>
      </c>
      <c r="X57" s="21">
        <f t="shared" si="49"/>
        <v>0</v>
      </c>
      <c r="Y57" s="21">
        <f t="shared" si="49"/>
        <v>0</v>
      </c>
      <c r="Z57" s="21">
        <f t="shared" si="49"/>
        <v>0</v>
      </c>
      <c r="AA57" s="21">
        <f t="shared" si="49"/>
        <v>0</v>
      </c>
      <c r="AB57" s="21">
        <f t="shared" si="49"/>
        <v>869666</v>
      </c>
      <c r="AC57" s="21">
        <f t="shared" si="49"/>
        <v>0</v>
      </c>
      <c r="AD57" s="21">
        <f t="shared" si="49"/>
        <v>0</v>
      </c>
      <c r="AE57" s="21">
        <f t="shared" si="49"/>
        <v>1569950</v>
      </c>
      <c r="AF57" s="21">
        <f t="shared" si="49"/>
        <v>289800</v>
      </c>
      <c r="AG57" s="21">
        <f t="shared" si="49"/>
        <v>0</v>
      </c>
      <c r="AH57" s="21">
        <f t="shared" si="49"/>
        <v>547</v>
      </c>
      <c r="AI57" s="21">
        <f t="shared" si="49"/>
        <v>0</v>
      </c>
      <c r="AJ57" s="21">
        <f t="shared" si="49"/>
        <v>6364</v>
      </c>
      <c r="AK57" s="21">
        <f t="shared" si="49"/>
        <v>0</v>
      </c>
      <c r="AL57" s="21">
        <f t="shared" si="49"/>
        <v>19861</v>
      </c>
      <c r="AM57" s="21">
        <f t="shared" si="49"/>
        <v>0</v>
      </c>
      <c r="AN57" s="21">
        <f t="shared" si="49"/>
        <v>475883</v>
      </c>
      <c r="AO57" s="21">
        <f t="shared" si="49"/>
        <v>0</v>
      </c>
      <c r="AP57" s="21">
        <f>SUM(AP58+AP60)</f>
        <v>0</v>
      </c>
      <c r="AQ57" s="21">
        <f t="shared" si="49"/>
        <v>0</v>
      </c>
      <c r="AR57" s="21">
        <f t="shared" si="49"/>
        <v>0</v>
      </c>
      <c r="AS57" s="21">
        <f t="shared" si="49"/>
        <v>0</v>
      </c>
      <c r="AT57" s="21">
        <f t="shared" si="49"/>
        <v>0</v>
      </c>
      <c r="AU57" s="21">
        <f t="shared" si="49"/>
        <v>0</v>
      </c>
      <c r="AV57" s="21">
        <f t="shared" si="49"/>
        <v>0</v>
      </c>
      <c r="AW57" s="21">
        <f t="shared" si="49"/>
        <v>0</v>
      </c>
      <c r="AX57" s="21">
        <f t="shared" si="49"/>
        <v>0</v>
      </c>
      <c r="AY57" s="21">
        <f t="shared" si="49"/>
        <v>0</v>
      </c>
      <c r="AZ57" s="21">
        <f t="shared" si="49"/>
        <v>777495</v>
      </c>
      <c r="BA57" s="21">
        <f t="shared" si="49"/>
        <v>0</v>
      </c>
      <c r="BB57" s="21">
        <f t="shared" si="49"/>
        <v>0</v>
      </c>
      <c r="BC57" s="21">
        <f t="shared" si="49"/>
        <v>0</v>
      </c>
      <c r="BD57" s="21">
        <f t="shared" si="49"/>
        <v>0</v>
      </c>
      <c r="BE57" s="21">
        <f t="shared" si="49"/>
        <v>0</v>
      </c>
      <c r="BF57" s="21">
        <f t="shared" si="49"/>
        <v>0</v>
      </c>
      <c r="BG57" s="21">
        <f t="shared" si="49"/>
        <v>0</v>
      </c>
      <c r="BH57" s="21">
        <f t="shared" si="49"/>
        <v>0</v>
      </c>
      <c r="BI57" s="21">
        <f t="shared" si="49"/>
        <v>0</v>
      </c>
      <c r="BJ57" s="21">
        <f t="shared" si="49"/>
        <v>0</v>
      </c>
      <c r="BK57" s="21">
        <f t="shared" si="49"/>
        <v>0</v>
      </c>
      <c r="BL57" s="21">
        <f t="shared" si="49"/>
        <v>0</v>
      </c>
      <c r="BM57" s="21">
        <f t="shared" si="49"/>
        <v>0</v>
      </c>
      <c r="BN57" s="21">
        <f t="shared" si="49"/>
        <v>0</v>
      </c>
      <c r="BO57" s="21">
        <f t="shared" si="49"/>
        <v>0</v>
      </c>
      <c r="BP57" s="21">
        <f t="shared" si="49"/>
        <v>0</v>
      </c>
      <c r="BQ57" s="21">
        <f t="shared" si="49"/>
        <v>0</v>
      </c>
      <c r="BR57" s="21">
        <f t="shared" si="49"/>
        <v>0</v>
      </c>
      <c r="BS57" s="21">
        <f t="shared" si="49"/>
        <v>0</v>
      </c>
      <c r="BT57" s="21">
        <f t="shared" ref="BT57:CW57" si="50">SUM(BT58+BT60)</f>
        <v>0</v>
      </c>
      <c r="BU57" s="21">
        <f t="shared" si="50"/>
        <v>0</v>
      </c>
      <c r="BV57" s="21">
        <f t="shared" si="50"/>
        <v>0</v>
      </c>
      <c r="BW57" s="21">
        <f t="shared" si="50"/>
        <v>0</v>
      </c>
      <c r="BX57" s="21">
        <f t="shared" si="50"/>
        <v>0</v>
      </c>
      <c r="BY57" s="21">
        <f t="shared" si="50"/>
        <v>39722</v>
      </c>
      <c r="BZ57" s="21">
        <f t="shared" si="50"/>
        <v>39722</v>
      </c>
      <c r="CA57" s="21">
        <f t="shared" si="50"/>
        <v>39722</v>
      </c>
      <c r="CB57" s="21">
        <f t="shared" si="50"/>
        <v>0</v>
      </c>
      <c r="CC57" s="21">
        <f t="shared" si="50"/>
        <v>39722</v>
      </c>
      <c r="CD57" s="21">
        <f t="shared" si="50"/>
        <v>0</v>
      </c>
      <c r="CE57" s="21">
        <f t="shared" si="50"/>
        <v>0</v>
      </c>
      <c r="CF57" s="21">
        <f>SUM(CF58+CF60)</f>
        <v>0</v>
      </c>
      <c r="CG57" s="21">
        <f t="shared" si="50"/>
        <v>0</v>
      </c>
      <c r="CH57" s="21">
        <f t="shared" si="50"/>
        <v>0</v>
      </c>
      <c r="CI57" s="21">
        <f t="shared" si="50"/>
        <v>0</v>
      </c>
      <c r="CJ57" s="21">
        <f t="shared" si="50"/>
        <v>0</v>
      </c>
      <c r="CK57" s="21">
        <f t="shared" si="50"/>
        <v>0</v>
      </c>
      <c r="CL57" s="21">
        <f t="shared" si="50"/>
        <v>0</v>
      </c>
      <c r="CM57" s="21">
        <f>SUM(CM58+CM60)</f>
        <v>0</v>
      </c>
      <c r="CN57" s="21">
        <f t="shared" si="50"/>
        <v>0</v>
      </c>
      <c r="CO57" s="21">
        <f t="shared" si="50"/>
        <v>0</v>
      </c>
      <c r="CP57" s="21">
        <f t="shared" si="50"/>
        <v>0</v>
      </c>
      <c r="CQ57" s="21">
        <f t="shared" si="50"/>
        <v>0</v>
      </c>
      <c r="CR57" s="21">
        <f t="shared" si="50"/>
        <v>0</v>
      </c>
      <c r="CS57" s="21">
        <f t="shared" si="50"/>
        <v>0</v>
      </c>
      <c r="CT57" s="21">
        <f t="shared" si="50"/>
        <v>0</v>
      </c>
      <c r="CU57" s="21">
        <f t="shared" si="50"/>
        <v>0</v>
      </c>
      <c r="CV57" s="21">
        <f t="shared" si="50"/>
        <v>0</v>
      </c>
      <c r="CW57" s="22">
        <f t="shared" si="50"/>
        <v>0</v>
      </c>
      <c r="CX57" s="40"/>
    </row>
    <row r="58" spans="1:102" ht="15.75" hidden="1" x14ac:dyDescent="0.25">
      <c r="A58" s="13" t="s">
        <v>15</v>
      </c>
      <c r="B58" s="14" t="s">
        <v>3</v>
      </c>
      <c r="C58" s="14" t="s">
        <v>1</v>
      </c>
      <c r="D58" s="30" t="s">
        <v>79</v>
      </c>
      <c r="E58" s="15">
        <f t="shared" ref="E58:BP58" si="51">SUM(E59)</f>
        <v>4933420</v>
      </c>
      <c r="F58" s="16">
        <f t="shared" si="51"/>
        <v>4893698</v>
      </c>
      <c r="G58" s="16">
        <f t="shared" si="51"/>
        <v>4893698</v>
      </c>
      <c r="H58" s="16">
        <f t="shared" si="51"/>
        <v>1947456</v>
      </c>
      <c r="I58" s="16">
        <f t="shared" si="51"/>
        <v>486864</v>
      </c>
      <c r="J58" s="16">
        <f t="shared" si="51"/>
        <v>69066</v>
      </c>
      <c r="K58" s="16">
        <f t="shared" si="51"/>
        <v>0</v>
      </c>
      <c r="L58" s="16">
        <f t="shared" si="51"/>
        <v>0</v>
      </c>
      <c r="M58" s="16">
        <f t="shared" si="51"/>
        <v>0</v>
      </c>
      <c r="N58" s="16">
        <f t="shared" si="51"/>
        <v>0</v>
      </c>
      <c r="O58" s="16">
        <f t="shared" si="51"/>
        <v>39576</v>
      </c>
      <c r="P58" s="16">
        <f t="shared" si="51"/>
        <v>29490</v>
      </c>
      <c r="Q58" s="16">
        <f t="shared" si="51"/>
        <v>610538</v>
      </c>
      <c r="R58" s="16">
        <f t="shared" si="51"/>
        <v>0</v>
      </c>
      <c r="S58" s="16">
        <f t="shared" si="51"/>
        <v>610538</v>
      </c>
      <c r="T58" s="16">
        <f t="shared" si="51"/>
        <v>0</v>
      </c>
      <c r="U58" s="16">
        <f t="shared" si="51"/>
        <v>71271</v>
      </c>
      <c r="V58" s="16">
        <f t="shared" si="51"/>
        <v>888553</v>
      </c>
      <c r="W58" s="16">
        <f t="shared" si="51"/>
        <v>18887</v>
      </c>
      <c r="X58" s="16">
        <f t="shared" si="51"/>
        <v>0</v>
      </c>
      <c r="Y58" s="16">
        <f t="shared" si="51"/>
        <v>0</v>
      </c>
      <c r="Z58" s="16">
        <f t="shared" si="51"/>
        <v>0</v>
      </c>
      <c r="AA58" s="16">
        <f t="shared" si="51"/>
        <v>0</v>
      </c>
      <c r="AB58" s="16">
        <f t="shared" si="51"/>
        <v>869666</v>
      </c>
      <c r="AC58" s="16">
        <f t="shared" si="51"/>
        <v>0</v>
      </c>
      <c r="AD58" s="16">
        <f t="shared" si="51"/>
        <v>0</v>
      </c>
      <c r="AE58" s="16">
        <f t="shared" si="51"/>
        <v>819950</v>
      </c>
      <c r="AF58" s="16">
        <f t="shared" si="51"/>
        <v>289800</v>
      </c>
      <c r="AG58" s="16">
        <f t="shared" si="51"/>
        <v>0</v>
      </c>
      <c r="AH58" s="16">
        <f t="shared" si="51"/>
        <v>547</v>
      </c>
      <c r="AI58" s="16">
        <f t="shared" si="51"/>
        <v>0</v>
      </c>
      <c r="AJ58" s="16">
        <f t="shared" si="51"/>
        <v>6364</v>
      </c>
      <c r="AK58" s="16">
        <f t="shared" si="51"/>
        <v>0</v>
      </c>
      <c r="AL58" s="16">
        <f t="shared" si="51"/>
        <v>19861</v>
      </c>
      <c r="AM58" s="16">
        <f t="shared" si="51"/>
        <v>0</v>
      </c>
      <c r="AN58" s="16">
        <f t="shared" si="51"/>
        <v>475883</v>
      </c>
      <c r="AO58" s="16">
        <f t="shared" si="51"/>
        <v>0</v>
      </c>
      <c r="AP58" s="16">
        <f t="shared" si="51"/>
        <v>0</v>
      </c>
      <c r="AQ58" s="16">
        <f t="shared" si="51"/>
        <v>0</v>
      </c>
      <c r="AR58" s="16">
        <f t="shared" si="51"/>
        <v>0</v>
      </c>
      <c r="AS58" s="16">
        <f t="shared" si="51"/>
        <v>0</v>
      </c>
      <c r="AT58" s="16">
        <f t="shared" si="51"/>
        <v>0</v>
      </c>
      <c r="AU58" s="16">
        <f t="shared" si="51"/>
        <v>0</v>
      </c>
      <c r="AV58" s="16">
        <f t="shared" si="51"/>
        <v>0</v>
      </c>
      <c r="AW58" s="16">
        <f t="shared" si="51"/>
        <v>0</v>
      </c>
      <c r="AX58" s="16">
        <f t="shared" si="51"/>
        <v>0</v>
      </c>
      <c r="AY58" s="16">
        <f t="shared" si="51"/>
        <v>0</v>
      </c>
      <c r="AZ58" s="16">
        <f t="shared" si="51"/>
        <v>27495</v>
      </c>
      <c r="BA58" s="16">
        <f t="shared" si="51"/>
        <v>0</v>
      </c>
      <c r="BB58" s="16">
        <f t="shared" si="51"/>
        <v>0</v>
      </c>
      <c r="BC58" s="16">
        <f t="shared" si="51"/>
        <v>0</v>
      </c>
      <c r="BD58" s="16">
        <f t="shared" si="51"/>
        <v>0</v>
      </c>
      <c r="BE58" s="16">
        <f t="shared" si="51"/>
        <v>0</v>
      </c>
      <c r="BF58" s="16">
        <f t="shared" si="51"/>
        <v>0</v>
      </c>
      <c r="BG58" s="16">
        <f t="shared" si="51"/>
        <v>0</v>
      </c>
      <c r="BH58" s="16">
        <f t="shared" si="51"/>
        <v>0</v>
      </c>
      <c r="BI58" s="16">
        <f t="shared" si="51"/>
        <v>0</v>
      </c>
      <c r="BJ58" s="16">
        <f t="shared" si="51"/>
        <v>0</v>
      </c>
      <c r="BK58" s="16">
        <f t="shared" si="51"/>
        <v>0</v>
      </c>
      <c r="BL58" s="16">
        <f t="shared" si="51"/>
        <v>0</v>
      </c>
      <c r="BM58" s="16">
        <f t="shared" si="51"/>
        <v>0</v>
      </c>
      <c r="BN58" s="16">
        <f t="shared" si="51"/>
        <v>0</v>
      </c>
      <c r="BO58" s="16">
        <f t="shared" si="51"/>
        <v>0</v>
      </c>
      <c r="BP58" s="16">
        <f t="shared" si="51"/>
        <v>0</v>
      </c>
      <c r="BQ58" s="16">
        <f t="shared" ref="BQ58:CW58" si="52">SUM(BQ59)</f>
        <v>0</v>
      </c>
      <c r="BR58" s="16">
        <f t="shared" si="52"/>
        <v>0</v>
      </c>
      <c r="BS58" s="16">
        <f t="shared" si="52"/>
        <v>0</v>
      </c>
      <c r="BT58" s="16">
        <f t="shared" si="52"/>
        <v>0</v>
      </c>
      <c r="BU58" s="16">
        <f t="shared" si="52"/>
        <v>0</v>
      </c>
      <c r="BV58" s="16">
        <f t="shared" si="52"/>
        <v>0</v>
      </c>
      <c r="BW58" s="16">
        <f t="shared" si="52"/>
        <v>0</v>
      </c>
      <c r="BX58" s="16">
        <f t="shared" si="52"/>
        <v>0</v>
      </c>
      <c r="BY58" s="16">
        <f t="shared" si="52"/>
        <v>39722</v>
      </c>
      <c r="BZ58" s="16">
        <f t="shared" si="52"/>
        <v>39722</v>
      </c>
      <c r="CA58" s="16">
        <f t="shared" si="52"/>
        <v>39722</v>
      </c>
      <c r="CB58" s="16">
        <f t="shared" si="52"/>
        <v>0</v>
      </c>
      <c r="CC58" s="16">
        <f t="shared" si="52"/>
        <v>39722</v>
      </c>
      <c r="CD58" s="16">
        <f t="shared" si="52"/>
        <v>0</v>
      </c>
      <c r="CE58" s="16">
        <f t="shared" si="52"/>
        <v>0</v>
      </c>
      <c r="CF58" s="16">
        <f t="shared" si="52"/>
        <v>0</v>
      </c>
      <c r="CG58" s="16">
        <f t="shared" si="52"/>
        <v>0</v>
      </c>
      <c r="CH58" s="16">
        <f t="shared" si="52"/>
        <v>0</v>
      </c>
      <c r="CI58" s="16">
        <f t="shared" si="52"/>
        <v>0</v>
      </c>
      <c r="CJ58" s="16">
        <f t="shared" si="52"/>
        <v>0</v>
      </c>
      <c r="CK58" s="16">
        <f t="shared" si="52"/>
        <v>0</v>
      </c>
      <c r="CL58" s="16">
        <f t="shared" si="52"/>
        <v>0</v>
      </c>
      <c r="CM58" s="16">
        <f t="shared" si="52"/>
        <v>0</v>
      </c>
      <c r="CN58" s="16">
        <f t="shared" si="52"/>
        <v>0</v>
      </c>
      <c r="CO58" s="16">
        <f t="shared" si="52"/>
        <v>0</v>
      </c>
      <c r="CP58" s="16">
        <f t="shared" si="52"/>
        <v>0</v>
      </c>
      <c r="CQ58" s="16">
        <f t="shared" si="52"/>
        <v>0</v>
      </c>
      <c r="CR58" s="16">
        <f t="shared" si="52"/>
        <v>0</v>
      </c>
      <c r="CS58" s="16">
        <f t="shared" si="52"/>
        <v>0</v>
      </c>
      <c r="CT58" s="16">
        <f t="shared" si="52"/>
        <v>0</v>
      </c>
      <c r="CU58" s="16">
        <f t="shared" si="52"/>
        <v>0</v>
      </c>
      <c r="CV58" s="16">
        <f t="shared" si="52"/>
        <v>0</v>
      </c>
      <c r="CW58" s="17">
        <f t="shared" si="52"/>
        <v>0</v>
      </c>
      <c r="CX58" s="40"/>
    </row>
    <row r="59" spans="1:102" ht="31.5" hidden="1" x14ac:dyDescent="0.25">
      <c r="A59" s="13" t="s">
        <v>1</v>
      </c>
      <c r="B59" s="14" t="s">
        <v>1</v>
      </c>
      <c r="C59" s="14" t="s">
        <v>27</v>
      </c>
      <c r="D59" s="30" t="s">
        <v>80</v>
      </c>
      <c r="E59" s="15">
        <f>SUM(F59+BY59+CT59)</f>
        <v>4933420</v>
      </c>
      <c r="F59" s="16">
        <f>SUM(G59+BA59)</f>
        <v>4893698</v>
      </c>
      <c r="G59" s="16">
        <f>SUM(H59+I59+J59+Q59+T59+U59+V59+AE59)</f>
        <v>4893698</v>
      </c>
      <c r="H59" s="16">
        <v>1947456</v>
      </c>
      <c r="I59" s="16">
        <v>486864</v>
      </c>
      <c r="J59" s="16">
        <f t="shared" si="4"/>
        <v>69066</v>
      </c>
      <c r="K59" s="16">
        <v>0</v>
      </c>
      <c r="L59" s="16">
        <v>0</v>
      </c>
      <c r="M59" s="16">
        <v>0</v>
      </c>
      <c r="N59" s="16">
        <v>0</v>
      </c>
      <c r="O59" s="16">
        <v>39576</v>
      </c>
      <c r="P59" s="16">
        <v>29490</v>
      </c>
      <c r="Q59" s="16">
        <f t="shared" si="5"/>
        <v>610538</v>
      </c>
      <c r="R59" s="16">
        <v>0</v>
      </c>
      <c r="S59" s="16">
        <v>610538</v>
      </c>
      <c r="T59" s="16">
        <v>0</v>
      </c>
      <c r="U59" s="16">
        <v>71271</v>
      </c>
      <c r="V59" s="16">
        <f>SUM(W59:AD59)</f>
        <v>888553</v>
      </c>
      <c r="W59" s="16">
        <v>18887</v>
      </c>
      <c r="X59" s="16">
        <v>0</v>
      </c>
      <c r="Y59" s="16">
        <v>0</v>
      </c>
      <c r="Z59" s="16">
        <v>0</v>
      </c>
      <c r="AA59" s="16">
        <v>0</v>
      </c>
      <c r="AB59" s="16">
        <v>869666</v>
      </c>
      <c r="AC59" s="16">
        <v>0</v>
      </c>
      <c r="AD59" s="16">
        <v>0</v>
      </c>
      <c r="AE59" s="16">
        <f>SUM(AF59:AZ59)</f>
        <v>819950</v>
      </c>
      <c r="AF59" s="16">
        <v>289800</v>
      </c>
      <c r="AG59" s="16">
        <v>0</v>
      </c>
      <c r="AH59" s="16">
        <v>547</v>
      </c>
      <c r="AI59" s="16">
        <v>0</v>
      </c>
      <c r="AJ59" s="16">
        <v>6364</v>
      </c>
      <c r="AK59" s="16">
        <v>0</v>
      </c>
      <c r="AL59" s="16">
        <v>19861</v>
      </c>
      <c r="AM59" s="16">
        <v>0</v>
      </c>
      <c r="AN59" s="16">
        <v>475883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27495</v>
      </c>
      <c r="BA59" s="16">
        <f>SUM(BB59+BF59+BI59+BJ59+BK59+BM59)</f>
        <v>0</v>
      </c>
      <c r="BB59" s="16">
        <f>SUM(BC59:BE59)</f>
        <v>0</v>
      </c>
      <c r="BC59" s="16">
        <v>0</v>
      </c>
      <c r="BD59" s="16">
        <v>0</v>
      </c>
      <c r="BE59" s="16">
        <v>0</v>
      </c>
      <c r="BF59" s="16">
        <f t="shared" si="6"/>
        <v>0</v>
      </c>
      <c r="BG59" s="16">
        <v>0</v>
      </c>
      <c r="BH59" s="16">
        <v>0</v>
      </c>
      <c r="BI59" s="16">
        <v>0</v>
      </c>
      <c r="BJ59" s="16">
        <v>0</v>
      </c>
      <c r="BK59" s="16">
        <f t="shared" si="7"/>
        <v>0</v>
      </c>
      <c r="BL59" s="16">
        <v>0</v>
      </c>
      <c r="BM59" s="16">
        <f t="shared" si="8"/>
        <v>0</v>
      </c>
      <c r="BN59" s="16">
        <v>0</v>
      </c>
      <c r="BO59" s="16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0</v>
      </c>
      <c r="BW59" s="16">
        <v>0</v>
      </c>
      <c r="BX59" s="16">
        <v>0</v>
      </c>
      <c r="BY59" s="16">
        <f>SUM(BZ59+CS59)</f>
        <v>39722</v>
      </c>
      <c r="BZ59" s="16">
        <f>SUM(CA59+CD59+CK59)</f>
        <v>39722</v>
      </c>
      <c r="CA59" s="16">
        <f t="shared" si="9"/>
        <v>39722</v>
      </c>
      <c r="CB59" s="16">
        <v>0</v>
      </c>
      <c r="CC59" s="16">
        <v>39722</v>
      </c>
      <c r="CD59" s="16">
        <f t="shared" si="10"/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16">
        <f t="shared" si="11"/>
        <v>0</v>
      </c>
      <c r="CL59" s="16">
        <v>0</v>
      </c>
      <c r="CM59" s="16">
        <v>0</v>
      </c>
      <c r="CN59" s="16">
        <v>0</v>
      </c>
      <c r="CO59" s="16">
        <v>0</v>
      </c>
      <c r="CP59" s="16">
        <v>0</v>
      </c>
      <c r="CQ59" s="16">
        <v>0</v>
      </c>
      <c r="CR59" s="16">
        <v>0</v>
      </c>
      <c r="CS59" s="16">
        <v>0</v>
      </c>
      <c r="CT59" s="16">
        <f t="shared" si="12"/>
        <v>0</v>
      </c>
      <c r="CU59" s="16">
        <f t="shared" si="13"/>
        <v>0</v>
      </c>
      <c r="CV59" s="16">
        <v>0</v>
      </c>
      <c r="CW59" s="17">
        <v>0</v>
      </c>
      <c r="CX59" s="40"/>
    </row>
    <row r="60" spans="1:102" ht="15.75" hidden="1" x14ac:dyDescent="0.25">
      <c r="A60" s="13" t="s">
        <v>15</v>
      </c>
      <c r="B60" s="14" t="s">
        <v>15</v>
      </c>
      <c r="C60" s="14" t="s">
        <v>1</v>
      </c>
      <c r="D60" s="30" t="s">
        <v>81</v>
      </c>
      <c r="E60" s="15">
        <f t="shared" ref="E60:BP60" si="53">SUM(E61)</f>
        <v>750000</v>
      </c>
      <c r="F60" s="16">
        <f t="shared" si="53"/>
        <v>750000</v>
      </c>
      <c r="G60" s="16">
        <f t="shared" si="53"/>
        <v>750000</v>
      </c>
      <c r="H60" s="16">
        <f t="shared" si="53"/>
        <v>0</v>
      </c>
      <c r="I60" s="16">
        <f t="shared" si="53"/>
        <v>0</v>
      </c>
      <c r="J60" s="16">
        <f t="shared" si="53"/>
        <v>0</v>
      </c>
      <c r="K60" s="16">
        <f t="shared" si="53"/>
        <v>0</v>
      </c>
      <c r="L60" s="16">
        <f t="shared" si="53"/>
        <v>0</v>
      </c>
      <c r="M60" s="16">
        <f t="shared" si="53"/>
        <v>0</v>
      </c>
      <c r="N60" s="16">
        <f t="shared" si="53"/>
        <v>0</v>
      </c>
      <c r="O60" s="16">
        <f t="shared" si="53"/>
        <v>0</v>
      </c>
      <c r="P60" s="16">
        <f t="shared" si="53"/>
        <v>0</v>
      </c>
      <c r="Q60" s="16">
        <f t="shared" si="53"/>
        <v>0</v>
      </c>
      <c r="R60" s="16">
        <f t="shared" si="53"/>
        <v>0</v>
      </c>
      <c r="S60" s="16">
        <f t="shared" si="53"/>
        <v>0</v>
      </c>
      <c r="T60" s="16">
        <f t="shared" si="53"/>
        <v>0</v>
      </c>
      <c r="U60" s="16">
        <f t="shared" si="53"/>
        <v>0</v>
      </c>
      <c r="V60" s="16">
        <f t="shared" si="53"/>
        <v>0</v>
      </c>
      <c r="W60" s="16">
        <f t="shared" si="53"/>
        <v>0</v>
      </c>
      <c r="X60" s="16">
        <f t="shared" si="53"/>
        <v>0</v>
      </c>
      <c r="Y60" s="16">
        <f t="shared" si="53"/>
        <v>0</v>
      </c>
      <c r="Z60" s="16">
        <f t="shared" si="53"/>
        <v>0</v>
      </c>
      <c r="AA60" s="16">
        <f t="shared" si="53"/>
        <v>0</v>
      </c>
      <c r="AB60" s="16">
        <f t="shared" si="53"/>
        <v>0</v>
      </c>
      <c r="AC60" s="16">
        <f t="shared" si="53"/>
        <v>0</v>
      </c>
      <c r="AD60" s="16">
        <f t="shared" si="53"/>
        <v>0</v>
      </c>
      <c r="AE60" s="16">
        <f t="shared" si="53"/>
        <v>750000</v>
      </c>
      <c r="AF60" s="16">
        <f t="shared" si="53"/>
        <v>0</v>
      </c>
      <c r="AG60" s="16">
        <f t="shared" si="53"/>
        <v>0</v>
      </c>
      <c r="AH60" s="16">
        <f t="shared" si="53"/>
        <v>0</v>
      </c>
      <c r="AI60" s="16">
        <f t="shared" si="53"/>
        <v>0</v>
      </c>
      <c r="AJ60" s="16">
        <f t="shared" si="53"/>
        <v>0</v>
      </c>
      <c r="AK60" s="16">
        <f t="shared" si="53"/>
        <v>0</v>
      </c>
      <c r="AL60" s="16">
        <f t="shared" si="53"/>
        <v>0</v>
      </c>
      <c r="AM60" s="16">
        <f t="shared" si="53"/>
        <v>0</v>
      </c>
      <c r="AN60" s="16">
        <f t="shared" si="53"/>
        <v>0</v>
      </c>
      <c r="AO60" s="16">
        <f t="shared" si="53"/>
        <v>0</v>
      </c>
      <c r="AP60" s="16">
        <f t="shared" si="53"/>
        <v>0</v>
      </c>
      <c r="AQ60" s="16">
        <f t="shared" si="53"/>
        <v>0</v>
      </c>
      <c r="AR60" s="16">
        <f t="shared" si="53"/>
        <v>0</v>
      </c>
      <c r="AS60" s="16">
        <f t="shared" si="53"/>
        <v>0</v>
      </c>
      <c r="AT60" s="16">
        <f t="shared" si="53"/>
        <v>0</v>
      </c>
      <c r="AU60" s="16">
        <f t="shared" si="53"/>
        <v>0</v>
      </c>
      <c r="AV60" s="16">
        <f t="shared" si="53"/>
        <v>0</v>
      </c>
      <c r="AW60" s="16">
        <f t="shared" si="53"/>
        <v>0</v>
      </c>
      <c r="AX60" s="16">
        <f t="shared" si="53"/>
        <v>0</v>
      </c>
      <c r="AY60" s="16">
        <f t="shared" si="53"/>
        <v>0</v>
      </c>
      <c r="AZ60" s="16">
        <f t="shared" si="53"/>
        <v>750000</v>
      </c>
      <c r="BA60" s="16">
        <f t="shared" si="53"/>
        <v>0</v>
      </c>
      <c r="BB60" s="16">
        <f t="shared" si="53"/>
        <v>0</v>
      </c>
      <c r="BC60" s="16">
        <f t="shared" si="53"/>
        <v>0</v>
      </c>
      <c r="BD60" s="16">
        <f t="shared" si="53"/>
        <v>0</v>
      </c>
      <c r="BE60" s="16">
        <f t="shared" si="53"/>
        <v>0</v>
      </c>
      <c r="BF60" s="16">
        <f t="shared" si="53"/>
        <v>0</v>
      </c>
      <c r="BG60" s="16">
        <f t="shared" si="53"/>
        <v>0</v>
      </c>
      <c r="BH60" s="16">
        <f t="shared" si="53"/>
        <v>0</v>
      </c>
      <c r="BI60" s="16">
        <f t="shared" si="53"/>
        <v>0</v>
      </c>
      <c r="BJ60" s="16">
        <f t="shared" si="53"/>
        <v>0</v>
      </c>
      <c r="BK60" s="16">
        <f t="shared" si="53"/>
        <v>0</v>
      </c>
      <c r="BL60" s="16">
        <f t="shared" si="53"/>
        <v>0</v>
      </c>
      <c r="BM60" s="16">
        <f t="shared" si="53"/>
        <v>0</v>
      </c>
      <c r="BN60" s="16">
        <f t="shared" si="53"/>
        <v>0</v>
      </c>
      <c r="BO60" s="16">
        <f t="shared" si="53"/>
        <v>0</v>
      </c>
      <c r="BP60" s="16">
        <f t="shared" si="53"/>
        <v>0</v>
      </c>
      <c r="BQ60" s="16">
        <f t="shared" ref="BQ60:CW60" si="54">SUM(BQ61)</f>
        <v>0</v>
      </c>
      <c r="BR60" s="16">
        <f t="shared" si="54"/>
        <v>0</v>
      </c>
      <c r="BS60" s="16">
        <f t="shared" si="54"/>
        <v>0</v>
      </c>
      <c r="BT60" s="16">
        <f t="shared" si="54"/>
        <v>0</v>
      </c>
      <c r="BU60" s="16">
        <f t="shared" si="54"/>
        <v>0</v>
      </c>
      <c r="BV60" s="16">
        <f t="shared" si="54"/>
        <v>0</v>
      </c>
      <c r="BW60" s="16">
        <f t="shared" si="54"/>
        <v>0</v>
      </c>
      <c r="BX60" s="16">
        <f t="shared" si="54"/>
        <v>0</v>
      </c>
      <c r="BY60" s="16">
        <f t="shared" si="54"/>
        <v>0</v>
      </c>
      <c r="BZ60" s="16">
        <f t="shared" si="54"/>
        <v>0</v>
      </c>
      <c r="CA60" s="16">
        <f t="shared" si="54"/>
        <v>0</v>
      </c>
      <c r="CB60" s="16">
        <f t="shared" si="54"/>
        <v>0</v>
      </c>
      <c r="CC60" s="16">
        <f t="shared" si="54"/>
        <v>0</v>
      </c>
      <c r="CD60" s="16">
        <f t="shared" si="54"/>
        <v>0</v>
      </c>
      <c r="CE60" s="16">
        <f t="shared" si="54"/>
        <v>0</v>
      </c>
      <c r="CF60" s="16">
        <f t="shared" si="54"/>
        <v>0</v>
      </c>
      <c r="CG60" s="16">
        <f t="shared" si="54"/>
        <v>0</v>
      </c>
      <c r="CH60" s="16">
        <f t="shared" si="54"/>
        <v>0</v>
      </c>
      <c r="CI60" s="16">
        <f t="shared" si="54"/>
        <v>0</v>
      </c>
      <c r="CJ60" s="16">
        <f t="shared" si="54"/>
        <v>0</v>
      </c>
      <c r="CK60" s="16">
        <f t="shared" si="54"/>
        <v>0</v>
      </c>
      <c r="CL60" s="16">
        <f t="shared" si="54"/>
        <v>0</v>
      </c>
      <c r="CM60" s="16">
        <f t="shared" si="54"/>
        <v>0</v>
      </c>
      <c r="CN60" s="16">
        <f t="shared" si="54"/>
        <v>0</v>
      </c>
      <c r="CO60" s="16">
        <f t="shared" si="54"/>
        <v>0</v>
      </c>
      <c r="CP60" s="16">
        <f t="shared" si="54"/>
        <v>0</v>
      </c>
      <c r="CQ60" s="16">
        <f t="shared" si="54"/>
        <v>0</v>
      </c>
      <c r="CR60" s="16">
        <f t="shared" si="54"/>
        <v>0</v>
      </c>
      <c r="CS60" s="16">
        <f t="shared" si="54"/>
        <v>0</v>
      </c>
      <c r="CT60" s="16">
        <f t="shared" si="54"/>
        <v>0</v>
      </c>
      <c r="CU60" s="16">
        <f t="shared" si="54"/>
        <v>0</v>
      </c>
      <c r="CV60" s="16">
        <f t="shared" si="54"/>
        <v>0</v>
      </c>
      <c r="CW60" s="17">
        <f t="shared" si="54"/>
        <v>0</v>
      </c>
      <c r="CX60" s="40"/>
    </row>
    <row r="61" spans="1:102" ht="15.75" hidden="1" x14ac:dyDescent="0.25">
      <c r="A61" s="13" t="s">
        <v>1</v>
      </c>
      <c r="B61" s="14" t="s">
        <v>1</v>
      </c>
      <c r="C61" s="14" t="s">
        <v>17</v>
      </c>
      <c r="D61" s="30" t="s">
        <v>499</v>
      </c>
      <c r="E61" s="15">
        <f>SUM(F61+BY61+CT61)</f>
        <v>750000</v>
      </c>
      <c r="F61" s="16">
        <f>SUM(G61+BA61)</f>
        <v>750000</v>
      </c>
      <c r="G61" s="16">
        <f>SUM(H61+I61+J61+Q61+T61+U61+V61+AE61)</f>
        <v>750000</v>
      </c>
      <c r="H61" s="16">
        <v>0</v>
      </c>
      <c r="I61" s="16">
        <v>0</v>
      </c>
      <c r="J61" s="16">
        <f t="shared" si="4"/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f t="shared" si="5"/>
        <v>0</v>
      </c>
      <c r="R61" s="16">
        <v>0</v>
      </c>
      <c r="S61" s="16">
        <v>0</v>
      </c>
      <c r="T61" s="16">
        <v>0</v>
      </c>
      <c r="U61" s="16">
        <v>0</v>
      </c>
      <c r="V61" s="16">
        <f>SUM(W61:AD61)</f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f>SUM(AF61:AZ61)</f>
        <v>750000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f>1531800-781800</f>
        <v>750000</v>
      </c>
      <c r="BA61" s="16">
        <f>SUM(BB61+BF61+BI61+BJ61+BK61+BM61)</f>
        <v>0</v>
      </c>
      <c r="BB61" s="16">
        <f>SUM(BC61:BE61)</f>
        <v>0</v>
      </c>
      <c r="BC61" s="16">
        <v>0</v>
      </c>
      <c r="BD61" s="16">
        <v>0</v>
      </c>
      <c r="BE61" s="16">
        <v>0</v>
      </c>
      <c r="BF61" s="16">
        <f t="shared" si="6"/>
        <v>0</v>
      </c>
      <c r="BG61" s="16">
        <v>0</v>
      </c>
      <c r="BH61" s="16">
        <v>0</v>
      </c>
      <c r="BI61" s="16">
        <v>0</v>
      </c>
      <c r="BJ61" s="16">
        <v>0</v>
      </c>
      <c r="BK61" s="16">
        <f t="shared" si="7"/>
        <v>0</v>
      </c>
      <c r="BL61" s="16">
        <v>0</v>
      </c>
      <c r="BM61" s="16">
        <f t="shared" si="8"/>
        <v>0</v>
      </c>
      <c r="BN61" s="16">
        <v>0</v>
      </c>
      <c r="BO61" s="16">
        <v>0</v>
      </c>
      <c r="BP61" s="16">
        <v>0</v>
      </c>
      <c r="BQ61" s="16">
        <v>0</v>
      </c>
      <c r="BR61" s="16">
        <v>0</v>
      </c>
      <c r="BS61" s="16">
        <v>0</v>
      </c>
      <c r="BT61" s="16">
        <v>0</v>
      </c>
      <c r="BU61" s="16">
        <v>0</v>
      </c>
      <c r="BV61" s="16">
        <v>0</v>
      </c>
      <c r="BW61" s="16">
        <v>0</v>
      </c>
      <c r="BX61" s="16">
        <v>0</v>
      </c>
      <c r="BY61" s="16">
        <f>SUM(BZ61+CS61)</f>
        <v>0</v>
      </c>
      <c r="BZ61" s="16">
        <f>SUM(CA61+CD61+CK61)</f>
        <v>0</v>
      </c>
      <c r="CA61" s="16">
        <f t="shared" si="9"/>
        <v>0</v>
      </c>
      <c r="CB61" s="16">
        <v>0</v>
      </c>
      <c r="CC61" s="16">
        <v>0</v>
      </c>
      <c r="CD61" s="16">
        <f t="shared" si="10"/>
        <v>0</v>
      </c>
      <c r="CE61" s="16">
        <v>0</v>
      </c>
      <c r="CF61" s="16">
        <v>0</v>
      </c>
      <c r="CG61" s="16">
        <v>0</v>
      </c>
      <c r="CH61" s="16">
        <v>0</v>
      </c>
      <c r="CI61" s="16">
        <v>0</v>
      </c>
      <c r="CJ61" s="16">
        <v>0</v>
      </c>
      <c r="CK61" s="16">
        <f t="shared" si="11"/>
        <v>0</v>
      </c>
      <c r="CL61" s="16">
        <v>0</v>
      </c>
      <c r="CM61" s="16">
        <v>0</v>
      </c>
      <c r="CN61" s="16">
        <v>0</v>
      </c>
      <c r="CO61" s="16">
        <v>0</v>
      </c>
      <c r="CP61" s="16">
        <v>0</v>
      </c>
      <c r="CQ61" s="16">
        <v>0</v>
      </c>
      <c r="CR61" s="16">
        <v>0</v>
      </c>
      <c r="CS61" s="16">
        <v>0</v>
      </c>
      <c r="CT61" s="16">
        <f t="shared" si="12"/>
        <v>0</v>
      </c>
      <c r="CU61" s="16">
        <f t="shared" si="13"/>
        <v>0</v>
      </c>
      <c r="CV61" s="16">
        <v>0</v>
      </c>
      <c r="CW61" s="17">
        <v>0</v>
      </c>
      <c r="CX61" s="40"/>
    </row>
    <row r="62" spans="1:102" ht="15.75" hidden="1" x14ac:dyDescent="0.25">
      <c r="A62" s="18" t="s">
        <v>82</v>
      </c>
      <c r="B62" s="19" t="s">
        <v>1</v>
      </c>
      <c r="C62" s="19" t="s">
        <v>1</v>
      </c>
      <c r="D62" s="31" t="s">
        <v>83</v>
      </c>
      <c r="E62" s="20">
        <f t="shared" ref="E62:BP62" si="55">SUM(E63+E65)</f>
        <v>224785359</v>
      </c>
      <c r="F62" s="21">
        <f t="shared" si="55"/>
        <v>216612850</v>
      </c>
      <c r="G62" s="21">
        <f t="shared" si="55"/>
        <v>215920372</v>
      </c>
      <c r="H62" s="21">
        <f t="shared" si="55"/>
        <v>119872027</v>
      </c>
      <c r="I62" s="21">
        <f t="shared" si="55"/>
        <v>4508636</v>
      </c>
      <c r="J62" s="21">
        <f t="shared" si="55"/>
        <v>72855883</v>
      </c>
      <c r="K62" s="21">
        <f t="shared" si="55"/>
        <v>100000</v>
      </c>
      <c r="L62" s="21">
        <f t="shared" si="55"/>
        <v>27228038</v>
      </c>
      <c r="M62" s="21">
        <f t="shared" si="55"/>
        <v>23107272</v>
      </c>
      <c r="N62" s="21">
        <f t="shared" si="55"/>
        <v>2966931</v>
      </c>
      <c r="O62" s="21">
        <f t="shared" si="55"/>
        <v>18000000</v>
      </c>
      <c r="P62" s="21">
        <f t="shared" si="55"/>
        <v>1453642</v>
      </c>
      <c r="Q62" s="21">
        <f t="shared" si="55"/>
        <v>134892</v>
      </c>
      <c r="R62" s="21">
        <f t="shared" si="55"/>
        <v>59181</v>
      </c>
      <c r="S62" s="21">
        <f t="shared" si="55"/>
        <v>75711</v>
      </c>
      <c r="T62" s="21">
        <f t="shared" si="55"/>
        <v>0</v>
      </c>
      <c r="U62" s="21">
        <f t="shared" si="55"/>
        <v>485731</v>
      </c>
      <c r="V62" s="21">
        <f t="shared" si="55"/>
        <v>3553477</v>
      </c>
      <c r="W62" s="21">
        <f t="shared" si="55"/>
        <v>918259</v>
      </c>
      <c r="X62" s="21">
        <f t="shared" si="55"/>
        <v>634628</v>
      </c>
      <c r="Y62" s="21">
        <f t="shared" si="55"/>
        <v>1324831</v>
      </c>
      <c r="Z62" s="21">
        <f t="shared" si="55"/>
        <v>394535</v>
      </c>
      <c r="AA62" s="21">
        <f t="shared" si="55"/>
        <v>92125</v>
      </c>
      <c r="AB62" s="21">
        <f t="shared" si="55"/>
        <v>0</v>
      </c>
      <c r="AC62" s="21">
        <f t="shared" si="55"/>
        <v>0</v>
      </c>
      <c r="AD62" s="21">
        <f t="shared" si="55"/>
        <v>189099</v>
      </c>
      <c r="AE62" s="21">
        <f t="shared" si="55"/>
        <v>14509726</v>
      </c>
      <c r="AF62" s="21">
        <f t="shared" si="55"/>
        <v>0</v>
      </c>
      <c r="AG62" s="21">
        <f t="shared" si="55"/>
        <v>87884</v>
      </c>
      <c r="AH62" s="21">
        <f t="shared" si="55"/>
        <v>525510</v>
      </c>
      <c r="AI62" s="21">
        <f t="shared" si="55"/>
        <v>19812</v>
      </c>
      <c r="AJ62" s="21">
        <f t="shared" si="55"/>
        <v>41956</v>
      </c>
      <c r="AK62" s="21">
        <f t="shared" si="55"/>
        <v>0</v>
      </c>
      <c r="AL62" s="21">
        <f t="shared" si="55"/>
        <v>27327</v>
      </c>
      <c r="AM62" s="21">
        <f t="shared" si="55"/>
        <v>29953</v>
      </c>
      <c r="AN62" s="21">
        <f t="shared" si="55"/>
        <v>61692</v>
      </c>
      <c r="AO62" s="21">
        <f t="shared" si="55"/>
        <v>96005</v>
      </c>
      <c r="AP62" s="21">
        <f>SUM(AP63+AP65)</f>
        <v>0</v>
      </c>
      <c r="AQ62" s="21">
        <f t="shared" si="55"/>
        <v>780000</v>
      </c>
      <c r="AR62" s="21">
        <f t="shared" si="55"/>
        <v>43464</v>
      </c>
      <c r="AS62" s="21">
        <f t="shared" si="55"/>
        <v>0</v>
      </c>
      <c r="AT62" s="21">
        <f t="shared" si="55"/>
        <v>0</v>
      </c>
      <c r="AU62" s="21">
        <f t="shared" si="55"/>
        <v>0</v>
      </c>
      <c r="AV62" s="21">
        <f t="shared" si="55"/>
        <v>0</v>
      </c>
      <c r="AW62" s="21">
        <f t="shared" si="55"/>
        <v>8500044</v>
      </c>
      <c r="AX62" s="21">
        <f t="shared" si="55"/>
        <v>0</v>
      </c>
      <c r="AY62" s="21">
        <f t="shared" si="55"/>
        <v>0</v>
      </c>
      <c r="AZ62" s="21">
        <f t="shared" si="55"/>
        <v>4296079</v>
      </c>
      <c r="BA62" s="21">
        <f t="shared" si="55"/>
        <v>692478</v>
      </c>
      <c r="BB62" s="21">
        <f t="shared" si="55"/>
        <v>0</v>
      </c>
      <c r="BC62" s="21">
        <f t="shared" si="55"/>
        <v>0</v>
      </c>
      <c r="BD62" s="21">
        <f t="shared" si="55"/>
        <v>0</v>
      </c>
      <c r="BE62" s="21">
        <f t="shared" si="55"/>
        <v>0</v>
      </c>
      <c r="BF62" s="21">
        <f t="shared" si="55"/>
        <v>0</v>
      </c>
      <c r="BG62" s="21">
        <f t="shared" si="55"/>
        <v>0</v>
      </c>
      <c r="BH62" s="21">
        <f t="shared" si="55"/>
        <v>0</v>
      </c>
      <c r="BI62" s="21">
        <f t="shared" si="55"/>
        <v>0</v>
      </c>
      <c r="BJ62" s="21">
        <f t="shared" si="55"/>
        <v>0</v>
      </c>
      <c r="BK62" s="21">
        <f t="shared" si="55"/>
        <v>285362</v>
      </c>
      <c r="BL62" s="21">
        <f t="shared" si="55"/>
        <v>285362</v>
      </c>
      <c r="BM62" s="21">
        <f t="shared" si="55"/>
        <v>407116</v>
      </c>
      <c r="BN62" s="21">
        <f t="shared" si="55"/>
        <v>0</v>
      </c>
      <c r="BO62" s="21">
        <f t="shared" si="55"/>
        <v>0</v>
      </c>
      <c r="BP62" s="21">
        <f t="shared" si="55"/>
        <v>0</v>
      </c>
      <c r="BQ62" s="21">
        <f t="shared" ref="BQ62:CW62" si="56">SUM(BQ63+BQ65)</f>
        <v>0</v>
      </c>
      <c r="BR62" s="21">
        <f t="shared" si="56"/>
        <v>0</v>
      </c>
      <c r="BS62" s="21">
        <f t="shared" si="56"/>
        <v>0</v>
      </c>
      <c r="BT62" s="21">
        <f t="shared" si="56"/>
        <v>0</v>
      </c>
      <c r="BU62" s="21">
        <f t="shared" si="56"/>
        <v>0</v>
      </c>
      <c r="BV62" s="21">
        <f t="shared" si="56"/>
        <v>0</v>
      </c>
      <c r="BW62" s="21">
        <f t="shared" si="56"/>
        <v>39595</v>
      </c>
      <c r="BX62" s="21">
        <f t="shared" si="56"/>
        <v>367521</v>
      </c>
      <c r="BY62" s="21">
        <f t="shared" si="56"/>
        <v>8172509</v>
      </c>
      <c r="BZ62" s="21">
        <f t="shared" si="56"/>
        <v>8172509</v>
      </c>
      <c r="CA62" s="21">
        <f t="shared" si="56"/>
        <v>8172509</v>
      </c>
      <c r="CB62" s="21">
        <f t="shared" si="56"/>
        <v>0</v>
      </c>
      <c r="CC62" s="21">
        <f t="shared" si="56"/>
        <v>8172509</v>
      </c>
      <c r="CD62" s="21">
        <f t="shared" si="56"/>
        <v>0</v>
      </c>
      <c r="CE62" s="21">
        <f t="shared" si="56"/>
        <v>0</v>
      </c>
      <c r="CF62" s="21">
        <f t="shared" si="56"/>
        <v>0</v>
      </c>
      <c r="CG62" s="21">
        <f t="shared" si="56"/>
        <v>0</v>
      </c>
      <c r="CH62" s="21">
        <f t="shared" si="56"/>
        <v>0</v>
      </c>
      <c r="CI62" s="21">
        <f t="shared" si="56"/>
        <v>0</v>
      </c>
      <c r="CJ62" s="21">
        <f t="shared" si="56"/>
        <v>0</v>
      </c>
      <c r="CK62" s="21">
        <f t="shared" si="56"/>
        <v>0</v>
      </c>
      <c r="CL62" s="21">
        <f t="shared" si="56"/>
        <v>0</v>
      </c>
      <c r="CM62" s="21">
        <f t="shared" si="56"/>
        <v>0</v>
      </c>
      <c r="CN62" s="21">
        <f t="shared" si="56"/>
        <v>0</v>
      </c>
      <c r="CO62" s="21">
        <f t="shared" si="56"/>
        <v>0</v>
      </c>
      <c r="CP62" s="21">
        <f t="shared" si="56"/>
        <v>0</v>
      </c>
      <c r="CQ62" s="21">
        <f t="shared" si="56"/>
        <v>0</v>
      </c>
      <c r="CR62" s="21">
        <f t="shared" si="56"/>
        <v>0</v>
      </c>
      <c r="CS62" s="21">
        <f t="shared" si="56"/>
        <v>0</v>
      </c>
      <c r="CT62" s="21">
        <f t="shared" si="56"/>
        <v>0</v>
      </c>
      <c r="CU62" s="21">
        <f t="shared" si="56"/>
        <v>0</v>
      </c>
      <c r="CV62" s="21">
        <f t="shared" si="56"/>
        <v>0</v>
      </c>
      <c r="CW62" s="22">
        <f t="shared" si="56"/>
        <v>0</v>
      </c>
      <c r="CX62" s="40"/>
    </row>
    <row r="63" spans="1:102" ht="15.75" hidden="1" x14ac:dyDescent="0.25">
      <c r="A63" s="13" t="s">
        <v>47</v>
      </c>
      <c r="B63" s="14" t="s">
        <v>3</v>
      </c>
      <c r="C63" s="14" t="s">
        <v>1</v>
      </c>
      <c r="D63" s="30" t="s">
        <v>84</v>
      </c>
      <c r="E63" s="15">
        <f t="shared" ref="E63:BP63" si="57">SUM(E64)</f>
        <v>184959764</v>
      </c>
      <c r="F63" s="16">
        <f t="shared" si="57"/>
        <v>177687255</v>
      </c>
      <c r="G63" s="16">
        <f t="shared" si="57"/>
        <v>177057276</v>
      </c>
      <c r="H63" s="16">
        <f t="shared" si="57"/>
        <v>88202757</v>
      </c>
      <c r="I63" s="16">
        <f t="shared" si="57"/>
        <v>4287390</v>
      </c>
      <c r="J63" s="16">
        <f t="shared" si="57"/>
        <v>68437901</v>
      </c>
      <c r="K63" s="16">
        <f t="shared" si="57"/>
        <v>75000</v>
      </c>
      <c r="L63" s="16">
        <f t="shared" si="57"/>
        <v>24624858</v>
      </c>
      <c r="M63" s="16">
        <f t="shared" si="57"/>
        <v>22907272</v>
      </c>
      <c r="N63" s="16">
        <f t="shared" si="57"/>
        <v>2966931</v>
      </c>
      <c r="O63" s="16">
        <f t="shared" si="57"/>
        <v>16500000</v>
      </c>
      <c r="P63" s="16">
        <f t="shared" si="57"/>
        <v>1363840</v>
      </c>
      <c r="Q63" s="16">
        <f t="shared" si="57"/>
        <v>8058</v>
      </c>
      <c r="R63" s="16">
        <f t="shared" si="57"/>
        <v>8058</v>
      </c>
      <c r="S63" s="16">
        <f t="shared" si="57"/>
        <v>0</v>
      </c>
      <c r="T63" s="16">
        <f t="shared" si="57"/>
        <v>0</v>
      </c>
      <c r="U63" s="16">
        <f t="shared" si="57"/>
        <v>442113</v>
      </c>
      <c r="V63" s="16">
        <f t="shared" si="57"/>
        <v>3548161</v>
      </c>
      <c r="W63" s="16">
        <f t="shared" si="57"/>
        <v>912943</v>
      </c>
      <c r="X63" s="16">
        <f t="shared" si="57"/>
        <v>634628</v>
      </c>
      <c r="Y63" s="16">
        <f t="shared" si="57"/>
        <v>1324831</v>
      </c>
      <c r="Z63" s="16">
        <f t="shared" si="57"/>
        <v>394535</v>
      </c>
      <c r="AA63" s="16">
        <f t="shared" si="57"/>
        <v>92125</v>
      </c>
      <c r="AB63" s="16">
        <f t="shared" si="57"/>
        <v>0</v>
      </c>
      <c r="AC63" s="16">
        <f t="shared" si="57"/>
        <v>0</v>
      </c>
      <c r="AD63" s="16">
        <f t="shared" si="57"/>
        <v>189099</v>
      </c>
      <c r="AE63" s="16">
        <f t="shared" si="57"/>
        <v>12130896</v>
      </c>
      <c r="AF63" s="16">
        <f t="shared" si="57"/>
        <v>0</v>
      </c>
      <c r="AG63" s="16">
        <f t="shared" si="57"/>
        <v>87735</v>
      </c>
      <c r="AH63" s="16">
        <f t="shared" si="57"/>
        <v>520611</v>
      </c>
      <c r="AI63" s="16">
        <f t="shared" si="57"/>
        <v>19812</v>
      </c>
      <c r="AJ63" s="16">
        <f t="shared" si="57"/>
        <v>41956</v>
      </c>
      <c r="AK63" s="16">
        <f t="shared" si="57"/>
        <v>0</v>
      </c>
      <c r="AL63" s="16">
        <f t="shared" si="57"/>
        <v>27327</v>
      </c>
      <c r="AM63" s="16">
        <f t="shared" si="57"/>
        <v>29953</v>
      </c>
      <c r="AN63" s="16">
        <f t="shared" si="57"/>
        <v>32010</v>
      </c>
      <c r="AO63" s="16">
        <f t="shared" si="57"/>
        <v>96005</v>
      </c>
      <c r="AP63" s="16">
        <f t="shared" si="57"/>
        <v>0</v>
      </c>
      <c r="AQ63" s="16">
        <f t="shared" si="57"/>
        <v>780000</v>
      </c>
      <c r="AR63" s="16">
        <f t="shared" si="57"/>
        <v>43464</v>
      </c>
      <c r="AS63" s="16">
        <f t="shared" si="57"/>
        <v>0</v>
      </c>
      <c r="AT63" s="16">
        <f t="shared" si="57"/>
        <v>0</v>
      </c>
      <c r="AU63" s="16">
        <f t="shared" si="57"/>
        <v>0</v>
      </c>
      <c r="AV63" s="16">
        <f t="shared" si="57"/>
        <v>0</v>
      </c>
      <c r="AW63" s="16">
        <f t="shared" si="57"/>
        <v>6160044</v>
      </c>
      <c r="AX63" s="16">
        <f t="shared" si="57"/>
        <v>0</v>
      </c>
      <c r="AY63" s="16">
        <f t="shared" si="57"/>
        <v>0</v>
      </c>
      <c r="AZ63" s="16">
        <f t="shared" si="57"/>
        <v>4291979</v>
      </c>
      <c r="BA63" s="16">
        <f t="shared" si="57"/>
        <v>629979</v>
      </c>
      <c r="BB63" s="16">
        <f t="shared" si="57"/>
        <v>0</v>
      </c>
      <c r="BC63" s="16">
        <f t="shared" si="57"/>
        <v>0</v>
      </c>
      <c r="BD63" s="16">
        <f t="shared" si="57"/>
        <v>0</v>
      </c>
      <c r="BE63" s="16">
        <f t="shared" si="57"/>
        <v>0</v>
      </c>
      <c r="BF63" s="16">
        <f t="shared" si="57"/>
        <v>0</v>
      </c>
      <c r="BG63" s="16">
        <f t="shared" si="57"/>
        <v>0</v>
      </c>
      <c r="BH63" s="16">
        <f t="shared" si="57"/>
        <v>0</v>
      </c>
      <c r="BI63" s="16">
        <f t="shared" si="57"/>
        <v>0</v>
      </c>
      <c r="BJ63" s="16">
        <f t="shared" si="57"/>
        <v>0</v>
      </c>
      <c r="BK63" s="16">
        <f t="shared" si="57"/>
        <v>285362</v>
      </c>
      <c r="BL63" s="16">
        <f t="shared" si="57"/>
        <v>285362</v>
      </c>
      <c r="BM63" s="16">
        <f t="shared" si="57"/>
        <v>344617</v>
      </c>
      <c r="BN63" s="16">
        <f t="shared" si="57"/>
        <v>0</v>
      </c>
      <c r="BO63" s="16">
        <f t="shared" si="57"/>
        <v>0</v>
      </c>
      <c r="BP63" s="16">
        <f t="shared" si="57"/>
        <v>0</v>
      </c>
      <c r="BQ63" s="16">
        <f t="shared" ref="BQ63:CW63" si="58">SUM(BQ64)</f>
        <v>0</v>
      </c>
      <c r="BR63" s="16">
        <f t="shared" si="58"/>
        <v>0</v>
      </c>
      <c r="BS63" s="16">
        <f t="shared" si="58"/>
        <v>0</v>
      </c>
      <c r="BT63" s="16">
        <f t="shared" si="58"/>
        <v>0</v>
      </c>
      <c r="BU63" s="16">
        <f t="shared" si="58"/>
        <v>0</v>
      </c>
      <c r="BV63" s="16">
        <f t="shared" si="58"/>
        <v>0</v>
      </c>
      <c r="BW63" s="16">
        <f t="shared" si="58"/>
        <v>39595</v>
      </c>
      <c r="BX63" s="16">
        <f t="shared" si="58"/>
        <v>305022</v>
      </c>
      <c r="BY63" s="16">
        <f t="shared" si="58"/>
        <v>7272509</v>
      </c>
      <c r="BZ63" s="16">
        <f t="shared" si="58"/>
        <v>7272509</v>
      </c>
      <c r="CA63" s="16">
        <f t="shared" si="58"/>
        <v>7272509</v>
      </c>
      <c r="CB63" s="16">
        <f t="shared" si="58"/>
        <v>0</v>
      </c>
      <c r="CC63" s="16">
        <f t="shared" si="58"/>
        <v>7272509</v>
      </c>
      <c r="CD63" s="16">
        <f t="shared" si="58"/>
        <v>0</v>
      </c>
      <c r="CE63" s="16">
        <f t="shared" si="58"/>
        <v>0</v>
      </c>
      <c r="CF63" s="16">
        <f t="shared" si="58"/>
        <v>0</v>
      </c>
      <c r="CG63" s="16">
        <f t="shared" si="58"/>
        <v>0</v>
      </c>
      <c r="CH63" s="16">
        <f t="shared" si="58"/>
        <v>0</v>
      </c>
      <c r="CI63" s="16">
        <f t="shared" si="58"/>
        <v>0</v>
      </c>
      <c r="CJ63" s="16">
        <f t="shared" si="58"/>
        <v>0</v>
      </c>
      <c r="CK63" s="16">
        <f t="shared" si="58"/>
        <v>0</v>
      </c>
      <c r="CL63" s="16">
        <f t="shared" si="58"/>
        <v>0</v>
      </c>
      <c r="CM63" s="16">
        <f t="shared" si="58"/>
        <v>0</v>
      </c>
      <c r="CN63" s="16">
        <f t="shared" si="58"/>
        <v>0</v>
      </c>
      <c r="CO63" s="16">
        <f t="shared" si="58"/>
        <v>0</v>
      </c>
      <c r="CP63" s="16">
        <f t="shared" si="58"/>
        <v>0</v>
      </c>
      <c r="CQ63" s="16">
        <f t="shared" si="58"/>
        <v>0</v>
      </c>
      <c r="CR63" s="16">
        <f t="shared" si="58"/>
        <v>0</v>
      </c>
      <c r="CS63" s="16">
        <f t="shared" si="58"/>
        <v>0</v>
      </c>
      <c r="CT63" s="16">
        <f t="shared" si="58"/>
        <v>0</v>
      </c>
      <c r="CU63" s="16">
        <f t="shared" si="58"/>
        <v>0</v>
      </c>
      <c r="CV63" s="16">
        <f t="shared" si="58"/>
        <v>0</v>
      </c>
      <c r="CW63" s="17">
        <f t="shared" si="58"/>
        <v>0</v>
      </c>
      <c r="CX63" s="40"/>
    </row>
    <row r="64" spans="1:102" ht="15.75" hidden="1" x14ac:dyDescent="0.25">
      <c r="A64" s="13" t="s">
        <v>1</v>
      </c>
      <c r="B64" s="14" t="s">
        <v>1</v>
      </c>
      <c r="C64" s="14" t="s">
        <v>85</v>
      </c>
      <c r="D64" s="30" t="s">
        <v>86</v>
      </c>
      <c r="E64" s="15">
        <f>SUM(F64+BY64+CT64)</f>
        <v>184959764</v>
      </c>
      <c r="F64" s="16">
        <f>SUM(G64+BA64)</f>
        <v>177687255</v>
      </c>
      <c r="G64" s="16">
        <f>SUM(H64+I64+J64+Q64+T64+U64+V64+AE64)</f>
        <v>177057276</v>
      </c>
      <c r="H64" s="16">
        <f>88127257+75500</f>
        <v>88202757</v>
      </c>
      <c r="I64" s="16">
        <v>4287390</v>
      </c>
      <c r="J64" s="16">
        <f t="shared" si="4"/>
        <v>68437901</v>
      </c>
      <c r="K64" s="16">
        <v>75000</v>
      </c>
      <c r="L64" s="16">
        <f>20597398+4027460</f>
        <v>24624858</v>
      </c>
      <c r="M64" s="16">
        <v>22907272</v>
      </c>
      <c r="N64" s="16">
        <v>2966931</v>
      </c>
      <c r="O64" s="16">
        <v>16500000</v>
      </c>
      <c r="P64" s="16">
        <v>1363840</v>
      </c>
      <c r="Q64" s="16">
        <f t="shared" si="5"/>
        <v>8058</v>
      </c>
      <c r="R64" s="16">
        <v>8058</v>
      </c>
      <c r="S64" s="16">
        <v>0</v>
      </c>
      <c r="T64" s="16">
        <v>0</v>
      </c>
      <c r="U64" s="16">
        <v>442113</v>
      </c>
      <c r="V64" s="16">
        <f>SUM(W64:AD64)</f>
        <v>3548161</v>
      </c>
      <c r="W64" s="16">
        <v>912943</v>
      </c>
      <c r="X64" s="16">
        <v>634628</v>
      </c>
      <c r="Y64" s="16">
        <v>1324831</v>
      </c>
      <c r="Z64" s="16">
        <v>394535</v>
      </c>
      <c r="AA64" s="16">
        <v>92125</v>
      </c>
      <c r="AB64" s="16">
        <v>0</v>
      </c>
      <c r="AC64" s="16">
        <v>0</v>
      </c>
      <c r="AD64" s="16">
        <f>124241+64858</f>
        <v>189099</v>
      </c>
      <c r="AE64" s="16">
        <f>SUM(AF64:AZ64)</f>
        <v>12130896</v>
      </c>
      <c r="AF64" s="16">
        <v>0</v>
      </c>
      <c r="AG64" s="16">
        <v>87735</v>
      </c>
      <c r="AH64" s="16">
        <f>585469-64858</f>
        <v>520611</v>
      </c>
      <c r="AI64" s="16">
        <v>19812</v>
      </c>
      <c r="AJ64" s="16">
        <v>41956</v>
      </c>
      <c r="AK64" s="16">
        <v>0</v>
      </c>
      <c r="AL64" s="16">
        <v>27327</v>
      </c>
      <c r="AM64" s="16">
        <v>29953</v>
      </c>
      <c r="AN64" s="16">
        <v>32010</v>
      </c>
      <c r="AO64" s="16">
        <v>96005</v>
      </c>
      <c r="AP64" s="16"/>
      <c r="AQ64" s="16">
        <v>780000</v>
      </c>
      <c r="AR64" s="16">
        <v>43464</v>
      </c>
      <c r="AS64" s="16">
        <v>0</v>
      </c>
      <c r="AT64" s="16">
        <v>0</v>
      </c>
      <c r="AU64" s="16">
        <v>0</v>
      </c>
      <c r="AV64" s="16">
        <v>0</v>
      </c>
      <c r="AW64" s="16">
        <v>6160044</v>
      </c>
      <c r="AX64" s="16">
        <v>0</v>
      </c>
      <c r="AY64" s="16"/>
      <c r="AZ64" s="16">
        <v>4291979</v>
      </c>
      <c r="BA64" s="16">
        <f>SUM(BB64+BF64+BI64+BK64+BM64)</f>
        <v>629979</v>
      </c>
      <c r="BB64" s="16">
        <f>SUM(BC64:BE64)</f>
        <v>0</v>
      </c>
      <c r="BC64" s="16">
        <v>0</v>
      </c>
      <c r="BD64" s="16">
        <v>0</v>
      </c>
      <c r="BE64" s="16">
        <v>0</v>
      </c>
      <c r="BF64" s="16">
        <f t="shared" si="6"/>
        <v>0</v>
      </c>
      <c r="BG64" s="16">
        <v>0</v>
      </c>
      <c r="BH64" s="16">
        <v>0</v>
      </c>
      <c r="BI64" s="16">
        <v>0</v>
      </c>
      <c r="BJ64" s="16">
        <v>0</v>
      </c>
      <c r="BK64" s="16">
        <f t="shared" si="7"/>
        <v>285362</v>
      </c>
      <c r="BL64" s="16">
        <v>285362</v>
      </c>
      <c r="BM64" s="16">
        <f t="shared" si="8"/>
        <v>344617</v>
      </c>
      <c r="BN64" s="16">
        <v>0</v>
      </c>
      <c r="BO64" s="16">
        <v>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39595</v>
      </c>
      <c r="BX64" s="16">
        <v>305022</v>
      </c>
      <c r="BY64" s="16">
        <f>SUM(BZ64+CS64)</f>
        <v>7272509</v>
      </c>
      <c r="BZ64" s="16">
        <f>SUM(CA64+CD64+CK64)</f>
        <v>7272509</v>
      </c>
      <c r="CA64" s="16">
        <f t="shared" si="9"/>
        <v>7272509</v>
      </c>
      <c r="CB64" s="16">
        <v>0</v>
      </c>
      <c r="CC64" s="16">
        <v>7272509</v>
      </c>
      <c r="CD64" s="16">
        <f t="shared" si="10"/>
        <v>0</v>
      </c>
      <c r="CE64" s="16">
        <v>0</v>
      </c>
      <c r="CF64" s="16">
        <v>0</v>
      </c>
      <c r="CG64" s="16">
        <v>0</v>
      </c>
      <c r="CH64" s="16">
        <v>0</v>
      </c>
      <c r="CI64" s="16">
        <v>0</v>
      </c>
      <c r="CJ64" s="16">
        <v>0</v>
      </c>
      <c r="CK64" s="16">
        <f t="shared" si="11"/>
        <v>0</v>
      </c>
      <c r="CL64" s="16">
        <v>0</v>
      </c>
      <c r="CM64" s="16">
        <v>0</v>
      </c>
      <c r="CN64" s="16">
        <v>0</v>
      </c>
      <c r="CO64" s="16">
        <v>0</v>
      </c>
      <c r="CP64" s="16">
        <v>0</v>
      </c>
      <c r="CQ64" s="16"/>
      <c r="CR64" s="16"/>
      <c r="CS64" s="16">
        <v>0</v>
      </c>
      <c r="CT64" s="16">
        <f t="shared" si="12"/>
        <v>0</v>
      </c>
      <c r="CU64" s="16">
        <f t="shared" si="13"/>
        <v>0</v>
      </c>
      <c r="CV64" s="16">
        <v>0</v>
      </c>
      <c r="CW64" s="17">
        <v>0</v>
      </c>
      <c r="CX64" s="40"/>
    </row>
    <row r="65" spans="1:102" ht="15.75" hidden="1" x14ac:dyDescent="0.25">
      <c r="A65" s="13" t="s">
        <v>47</v>
      </c>
      <c r="B65" s="14" t="s">
        <v>7</v>
      </c>
      <c r="C65" s="14" t="s">
        <v>1</v>
      </c>
      <c r="D65" s="30" t="s">
        <v>87</v>
      </c>
      <c r="E65" s="15">
        <f t="shared" ref="E65:BP65" si="59">SUM(E66)</f>
        <v>39825595</v>
      </c>
      <c r="F65" s="16">
        <f t="shared" si="59"/>
        <v>38925595</v>
      </c>
      <c r="G65" s="16">
        <f t="shared" si="59"/>
        <v>38863096</v>
      </c>
      <c r="H65" s="16">
        <f t="shared" si="59"/>
        <v>31669270</v>
      </c>
      <c r="I65" s="16">
        <f t="shared" si="59"/>
        <v>221246</v>
      </c>
      <c r="J65" s="16">
        <f t="shared" si="59"/>
        <v>4417982</v>
      </c>
      <c r="K65" s="16">
        <f t="shared" si="59"/>
        <v>25000</v>
      </c>
      <c r="L65" s="16">
        <f t="shared" si="59"/>
        <v>2603180</v>
      </c>
      <c r="M65" s="16">
        <f t="shared" si="59"/>
        <v>200000</v>
      </c>
      <c r="N65" s="16">
        <f t="shared" si="59"/>
        <v>0</v>
      </c>
      <c r="O65" s="16">
        <f t="shared" si="59"/>
        <v>1500000</v>
      </c>
      <c r="P65" s="16">
        <f t="shared" si="59"/>
        <v>89802</v>
      </c>
      <c r="Q65" s="16">
        <f t="shared" si="59"/>
        <v>126834</v>
      </c>
      <c r="R65" s="16">
        <f t="shared" si="59"/>
        <v>51123</v>
      </c>
      <c r="S65" s="16">
        <f t="shared" si="59"/>
        <v>75711</v>
      </c>
      <c r="T65" s="16">
        <f t="shared" si="59"/>
        <v>0</v>
      </c>
      <c r="U65" s="16">
        <f t="shared" si="59"/>
        <v>43618</v>
      </c>
      <c r="V65" s="16">
        <f t="shared" si="59"/>
        <v>5316</v>
      </c>
      <c r="W65" s="16">
        <f t="shared" si="59"/>
        <v>5316</v>
      </c>
      <c r="X65" s="16">
        <f t="shared" si="59"/>
        <v>0</v>
      </c>
      <c r="Y65" s="16">
        <f t="shared" si="59"/>
        <v>0</v>
      </c>
      <c r="Z65" s="16">
        <f t="shared" si="59"/>
        <v>0</v>
      </c>
      <c r="AA65" s="16">
        <f t="shared" si="59"/>
        <v>0</v>
      </c>
      <c r="AB65" s="16">
        <f t="shared" si="59"/>
        <v>0</v>
      </c>
      <c r="AC65" s="16">
        <f t="shared" si="59"/>
        <v>0</v>
      </c>
      <c r="AD65" s="16">
        <f t="shared" si="59"/>
        <v>0</v>
      </c>
      <c r="AE65" s="16">
        <f t="shared" si="59"/>
        <v>2378830</v>
      </c>
      <c r="AF65" s="16">
        <f t="shared" si="59"/>
        <v>0</v>
      </c>
      <c r="AG65" s="16">
        <f t="shared" si="59"/>
        <v>149</v>
      </c>
      <c r="AH65" s="16">
        <f t="shared" si="59"/>
        <v>4899</v>
      </c>
      <c r="AI65" s="16">
        <f t="shared" si="59"/>
        <v>0</v>
      </c>
      <c r="AJ65" s="16">
        <f t="shared" si="59"/>
        <v>0</v>
      </c>
      <c r="AK65" s="16">
        <f t="shared" si="59"/>
        <v>0</v>
      </c>
      <c r="AL65" s="16">
        <f t="shared" si="59"/>
        <v>0</v>
      </c>
      <c r="AM65" s="16">
        <f t="shared" si="59"/>
        <v>0</v>
      </c>
      <c r="AN65" s="16">
        <f t="shared" si="59"/>
        <v>29682</v>
      </c>
      <c r="AO65" s="16">
        <f t="shared" si="59"/>
        <v>0</v>
      </c>
      <c r="AP65" s="16">
        <f t="shared" si="59"/>
        <v>0</v>
      </c>
      <c r="AQ65" s="16">
        <f t="shared" si="59"/>
        <v>0</v>
      </c>
      <c r="AR65" s="16">
        <f t="shared" si="59"/>
        <v>0</v>
      </c>
      <c r="AS65" s="16">
        <f t="shared" si="59"/>
        <v>0</v>
      </c>
      <c r="AT65" s="16">
        <f t="shared" si="59"/>
        <v>0</v>
      </c>
      <c r="AU65" s="16">
        <f t="shared" si="59"/>
        <v>0</v>
      </c>
      <c r="AV65" s="16">
        <f t="shared" si="59"/>
        <v>0</v>
      </c>
      <c r="AW65" s="16">
        <f t="shared" si="59"/>
        <v>2340000</v>
      </c>
      <c r="AX65" s="16">
        <f t="shared" si="59"/>
        <v>0</v>
      </c>
      <c r="AY65" s="16">
        <f t="shared" si="59"/>
        <v>0</v>
      </c>
      <c r="AZ65" s="16">
        <f t="shared" si="59"/>
        <v>4100</v>
      </c>
      <c r="BA65" s="16">
        <f t="shared" si="59"/>
        <v>62499</v>
      </c>
      <c r="BB65" s="16">
        <f t="shared" si="59"/>
        <v>0</v>
      </c>
      <c r="BC65" s="16">
        <f t="shared" si="59"/>
        <v>0</v>
      </c>
      <c r="BD65" s="16">
        <f t="shared" si="59"/>
        <v>0</v>
      </c>
      <c r="BE65" s="16">
        <f t="shared" si="59"/>
        <v>0</v>
      </c>
      <c r="BF65" s="16">
        <f t="shared" si="59"/>
        <v>0</v>
      </c>
      <c r="BG65" s="16">
        <f t="shared" si="59"/>
        <v>0</v>
      </c>
      <c r="BH65" s="16">
        <f t="shared" si="59"/>
        <v>0</v>
      </c>
      <c r="BI65" s="16">
        <f t="shared" si="59"/>
        <v>0</v>
      </c>
      <c r="BJ65" s="16">
        <f t="shared" si="59"/>
        <v>0</v>
      </c>
      <c r="BK65" s="16">
        <f t="shared" si="59"/>
        <v>0</v>
      </c>
      <c r="BL65" s="16">
        <f t="shared" si="59"/>
        <v>0</v>
      </c>
      <c r="BM65" s="16">
        <f t="shared" si="59"/>
        <v>62499</v>
      </c>
      <c r="BN65" s="16">
        <f t="shared" si="59"/>
        <v>0</v>
      </c>
      <c r="BO65" s="16">
        <f t="shared" si="59"/>
        <v>0</v>
      </c>
      <c r="BP65" s="16">
        <f t="shared" si="59"/>
        <v>0</v>
      </c>
      <c r="BQ65" s="16">
        <f t="shared" ref="BQ65:CW65" si="60">SUM(BQ66)</f>
        <v>0</v>
      </c>
      <c r="BR65" s="16">
        <f t="shared" si="60"/>
        <v>0</v>
      </c>
      <c r="BS65" s="16">
        <f t="shared" si="60"/>
        <v>0</v>
      </c>
      <c r="BT65" s="16">
        <f t="shared" si="60"/>
        <v>0</v>
      </c>
      <c r="BU65" s="16">
        <f t="shared" si="60"/>
        <v>0</v>
      </c>
      <c r="BV65" s="16">
        <f t="shared" si="60"/>
        <v>0</v>
      </c>
      <c r="BW65" s="16">
        <f t="shared" si="60"/>
        <v>0</v>
      </c>
      <c r="BX65" s="16">
        <f t="shared" si="60"/>
        <v>62499</v>
      </c>
      <c r="BY65" s="16">
        <f t="shared" si="60"/>
        <v>900000</v>
      </c>
      <c r="BZ65" s="16">
        <f t="shared" si="60"/>
        <v>900000</v>
      </c>
      <c r="CA65" s="16">
        <f t="shared" si="60"/>
        <v>900000</v>
      </c>
      <c r="CB65" s="16">
        <f t="shared" si="60"/>
        <v>0</v>
      </c>
      <c r="CC65" s="16">
        <f t="shared" si="60"/>
        <v>900000</v>
      </c>
      <c r="CD65" s="16">
        <f t="shared" si="60"/>
        <v>0</v>
      </c>
      <c r="CE65" s="16">
        <f t="shared" si="60"/>
        <v>0</v>
      </c>
      <c r="CF65" s="16">
        <f t="shared" si="60"/>
        <v>0</v>
      </c>
      <c r="CG65" s="16">
        <f t="shared" si="60"/>
        <v>0</v>
      </c>
      <c r="CH65" s="16">
        <f t="shared" si="60"/>
        <v>0</v>
      </c>
      <c r="CI65" s="16">
        <f t="shared" si="60"/>
        <v>0</v>
      </c>
      <c r="CJ65" s="16">
        <f t="shared" si="60"/>
        <v>0</v>
      </c>
      <c r="CK65" s="16">
        <f t="shared" si="60"/>
        <v>0</v>
      </c>
      <c r="CL65" s="16">
        <f t="shared" si="60"/>
        <v>0</v>
      </c>
      <c r="CM65" s="16">
        <f t="shared" si="60"/>
        <v>0</v>
      </c>
      <c r="CN65" s="16">
        <f t="shared" si="60"/>
        <v>0</v>
      </c>
      <c r="CO65" s="16">
        <f t="shared" si="60"/>
        <v>0</v>
      </c>
      <c r="CP65" s="16">
        <f t="shared" si="60"/>
        <v>0</v>
      </c>
      <c r="CQ65" s="16">
        <f t="shared" si="60"/>
        <v>0</v>
      </c>
      <c r="CR65" s="16">
        <f t="shared" si="60"/>
        <v>0</v>
      </c>
      <c r="CS65" s="16">
        <f t="shared" si="60"/>
        <v>0</v>
      </c>
      <c r="CT65" s="16">
        <f t="shared" si="60"/>
        <v>0</v>
      </c>
      <c r="CU65" s="16">
        <f t="shared" si="60"/>
        <v>0</v>
      </c>
      <c r="CV65" s="16">
        <f t="shared" si="60"/>
        <v>0</v>
      </c>
      <c r="CW65" s="17">
        <f t="shared" si="60"/>
        <v>0</v>
      </c>
      <c r="CX65" s="40"/>
    </row>
    <row r="66" spans="1:102" ht="15.75" hidden="1" x14ac:dyDescent="0.25">
      <c r="A66" s="13" t="s">
        <v>1</v>
      </c>
      <c r="B66" s="14" t="s">
        <v>1</v>
      </c>
      <c r="C66" s="14" t="s">
        <v>85</v>
      </c>
      <c r="D66" s="30" t="s">
        <v>87</v>
      </c>
      <c r="E66" s="15">
        <f>SUM(F66+BY66+CT66)</f>
        <v>39825595</v>
      </c>
      <c r="F66" s="16">
        <f>SUM(G66+BA66)</f>
        <v>38925595</v>
      </c>
      <c r="G66" s="16">
        <f>SUM(H66+I66+J66+Q66+T66+U66+V66+AE66)</f>
        <v>38863096</v>
      </c>
      <c r="H66" s="16">
        <v>31669270</v>
      </c>
      <c r="I66" s="16">
        <v>221246</v>
      </c>
      <c r="J66" s="16">
        <f t="shared" si="4"/>
        <v>4417982</v>
      </c>
      <c r="K66" s="16">
        <v>25000</v>
      </c>
      <c r="L66" s="16">
        <v>2603180</v>
      </c>
      <c r="M66" s="16">
        <v>200000</v>
      </c>
      <c r="N66" s="16">
        <v>0</v>
      </c>
      <c r="O66" s="16">
        <v>1500000</v>
      </c>
      <c r="P66" s="16">
        <v>89802</v>
      </c>
      <c r="Q66" s="16">
        <f t="shared" si="5"/>
        <v>126834</v>
      </c>
      <c r="R66" s="16">
        <v>51123</v>
      </c>
      <c r="S66" s="16">
        <v>75711</v>
      </c>
      <c r="T66" s="16">
        <v>0</v>
      </c>
      <c r="U66" s="16">
        <v>43618</v>
      </c>
      <c r="V66" s="16">
        <f>SUM(W66:AD66)</f>
        <v>5316</v>
      </c>
      <c r="W66" s="16">
        <v>5316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f>SUM(AF66:AZ66)</f>
        <v>2378830</v>
      </c>
      <c r="AF66" s="16">
        <v>0</v>
      </c>
      <c r="AG66" s="16">
        <v>149</v>
      </c>
      <c r="AH66" s="16">
        <v>4899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29682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2340000</v>
      </c>
      <c r="AX66" s="16">
        <v>0</v>
      </c>
      <c r="AY66" s="16">
        <v>0</v>
      </c>
      <c r="AZ66" s="16">
        <v>4100</v>
      </c>
      <c r="BA66" s="16">
        <f>SUM(BB66+BF66+BI66+BK66+BM66)</f>
        <v>62499</v>
      </c>
      <c r="BB66" s="16">
        <f>SUM(BC66:BE66)</f>
        <v>0</v>
      </c>
      <c r="BC66" s="16">
        <v>0</v>
      </c>
      <c r="BD66" s="16">
        <v>0</v>
      </c>
      <c r="BE66" s="16">
        <v>0</v>
      </c>
      <c r="BF66" s="16">
        <f t="shared" si="6"/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f t="shared" si="7"/>
        <v>0</v>
      </c>
      <c r="BL66" s="16">
        <v>0</v>
      </c>
      <c r="BM66" s="16">
        <f t="shared" si="8"/>
        <v>62499</v>
      </c>
      <c r="BN66" s="16">
        <v>0</v>
      </c>
      <c r="BO66" s="16">
        <v>0</v>
      </c>
      <c r="BP66" s="16">
        <v>0</v>
      </c>
      <c r="BQ66" s="16">
        <v>0</v>
      </c>
      <c r="BR66" s="16">
        <v>0</v>
      </c>
      <c r="BS66" s="16">
        <v>0</v>
      </c>
      <c r="BT66" s="16">
        <v>0</v>
      </c>
      <c r="BU66" s="16">
        <v>0</v>
      </c>
      <c r="BV66" s="16">
        <v>0</v>
      </c>
      <c r="BW66" s="16">
        <v>0</v>
      </c>
      <c r="BX66" s="16">
        <v>62499</v>
      </c>
      <c r="BY66" s="16">
        <f>SUM(BZ66+CS66)</f>
        <v>900000</v>
      </c>
      <c r="BZ66" s="16">
        <f>SUM(CA66+CD66+CK66)</f>
        <v>900000</v>
      </c>
      <c r="CA66" s="16">
        <f t="shared" si="9"/>
        <v>900000</v>
      </c>
      <c r="CB66" s="16">
        <v>0</v>
      </c>
      <c r="CC66" s="16">
        <v>900000</v>
      </c>
      <c r="CD66" s="16">
        <f t="shared" si="10"/>
        <v>0</v>
      </c>
      <c r="CE66" s="16">
        <v>0</v>
      </c>
      <c r="CF66" s="16">
        <v>0</v>
      </c>
      <c r="CG66" s="16">
        <v>0</v>
      </c>
      <c r="CH66" s="16">
        <v>0</v>
      </c>
      <c r="CI66" s="16">
        <v>0</v>
      </c>
      <c r="CJ66" s="16">
        <v>0</v>
      </c>
      <c r="CK66" s="16">
        <f t="shared" si="11"/>
        <v>0</v>
      </c>
      <c r="CL66" s="16">
        <v>0</v>
      </c>
      <c r="CM66" s="16">
        <v>0</v>
      </c>
      <c r="CN66" s="16">
        <v>0</v>
      </c>
      <c r="CO66" s="16">
        <v>0</v>
      </c>
      <c r="CP66" s="16">
        <v>0</v>
      </c>
      <c r="CQ66" s="16">
        <v>0</v>
      </c>
      <c r="CR66" s="16">
        <v>0</v>
      </c>
      <c r="CS66" s="16">
        <v>0</v>
      </c>
      <c r="CT66" s="16">
        <f t="shared" si="12"/>
        <v>0</v>
      </c>
      <c r="CU66" s="16">
        <f t="shared" si="13"/>
        <v>0</v>
      </c>
      <c r="CV66" s="16">
        <v>0</v>
      </c>
      <c r="CW66" s="17">
        <v>0</v>
      </c>
      <c r="CX66" s="40"/>
    </row>
    <row r="67" spans="1:102" ht="31.5" hidden="1" x14ac:dyDescent="0.25">
      <c r="A67" s="18" t="s">
        <v>88</v>
      </c>
      <c r="B67" s="19" t="s">
        <v>1</v>
      </c>
      <c r="C67" s="19" t="s">
        <v>1</v>
      </c>
      <c r="D67" s="31" t="s">
        <v>89</v>
      </c>
      <c r="E67" s="20">
        <f>SUM(E68+E70+E73+E75+E77+E79+E81)</f>
        <v>561154220</v>
      </c>
      <c r="F67" s="21">
        <f t="shared" ref="F67:BS67" si="61">SUM(F68+F70+F73+F75+F77+F79+F81)</f>
        <v>546327864</v>
      </c>
      <c r="G67" s="21">
        <f t="shared" si="61"/>
        <v>544703996</v>
      </c>
      <c r="H67" s="21">
        <f t="shared" si="61"/>
        <v>386963012</v>
      </c>
      <c r="I67" s="21">
        <f t="shared" si="61"/>
        <v>13843616</v>
      </c>
      <c r="J67" s="21">
        <f t="shared" si="61"/>
        <v>79759976</v>
      </c>
      <c r="K67" s="21">
        <f t="shared" si="61"/>
        <v>881324</v>
      </c>
      <c r="L67" s="21">
        <f t="shared" si="61"/>
        <v>28592902</v>
      </c>
      <c r="M67" s="21">
        <f t="shared" si="61"/>
        <v>23331894</v>
      </c>
      <c r="N67" s="21">
        <f t="shared" si="61"/>
        <v>678883</v>
      </c>
      <c r="O67" s="21">
        <f t="shared" si="61"/>
        <v>21720444</v>
      </c>
      <c r="P67" s="21">
        <f t="shared" si="61"/>
        <v>4554529</v>
      </c>
      <c r="Q67" s="21">
        <f t="shared" si="61"/>
        <v>5202708</v>
      </c>
      <c r="R67" s="21">
        <f t="shared" si="61"/>
        <v>194070</v>
      </c>
      <c r="S67" s="21">
        <f t="shared" si="61"/>
        <v>5008638</v>
      </c>
      <c r="T67" s="21">
        <f t="shared" si="61"/>
        <v>0</v>
      </c>
      <c r="U67" s="21">
        <f t="shared" si="61"/>
        <v>5509232</v>
      </c>
      <c r="V67" s="21">
        <f t="shared" si="61"/>
        <v>7813525</v>
      </c>
      <c r="W67" s="21">
        <f t="shared" si="61"/>
        <v>825105</v>
      </c>
      <c r="X67" s="21">
        <f t="shared" si="61"/>
        <v>1486344</v>
      </c>
      <c r="Y67" s="21">
        <f t="shared" si="61"/>
        <v>3138303</v>
      </c>
      <c r="Z67" s="21">
        <f t="shared" si="61"/>
        <v>1457635</v>
      </c>
      <c r="AA67" s="21">
        <f t="shared" si="61"/>
        <v>601343</v>
      </c>
      <c r="AB67" s="21">
        <f t="shared" si="61"/>
        <v>64643</v>
      </c>
      <c r="AC67" s="21">
        <f t="shared" si="61"/>
        <v>0</v>
      </c>
      <c r="AD67" s="21">
        <f t="shared" si="61"/>
        <v>240152</v>
      </c>
      <c r="AE67" s="21">
        <f t="shared" si="61"/>
        <v>45611927</v>
      </c>
      <c r="AF67" s="21">
        <f t="shared" si="61"/>
        <v>0</v>
      </c>
      <c r="AG67" s="21">
        <f t="shared" si="61"/>
        <v>408493</v>
      </c>
      <c r="AH67" s="21">
        <f t="shared" si="61"/>
        <v>1404213</v>
      </c>
      <c r="AI67" s="21">
        <f t="shared" si="61"/>
        <v>41338</v>
      </c>
      <c r="AJ67" s="21">
        <f t="shared" si="61"/>
        <v>123165</v>
      </c>
      <c r="AK67" s="21">
        <f t="shared" si="61"/>
        <v>194495</v>
      </c>
      <c r="AL67" s="21">
        <f t="shared" si="61"/>
        <v>2365472</v>
      </c>
      <c r="AM67" s="21">
        <f t="shared" si="61"/>
        <v>2029634</v>
      </c>
      <c r="AN67" s="21">
        <f t="shared" si="61"/>
        <v>150069</v>
      </c>
      <c r="AO67" s="21">
        <f t="shared" si="61"/>
        <v>93268</v>
      </c>
      <c r="AP67" s="21">
        <f>SUM(AP68+AP70+AP73+AP75+AP77+AP79+AP81)</f>
        <v>0</v>
      </c>
      <c r="AQ67" s="21">
        <f t="shared" si="61"/>
        <v>1670482</v>
      </c>
      <c r="AR67" s="21">
        <f t="shared" si="61"/>
        <v>672122</v>
      </c>
      <c r="AS67" s="21">
        <f t="shared" si="61"/>
        <v>42648</v>
      </c>
      <c r="AT67" s="21">
        <f t="shared" si="61"/>
        <v>0</v>
      </c>
      <c r="AU67" s="21">
        <f t="shared" si="61"/>
        <v>0</v>
      </c>
      <c r="AV67" s="21">
        <f t="shared" si="61"/>
        <v>0</v>
      </c>
      <c r="AW67" s="21">
        <f t="shared" si="61"/>
        <v>29193388</v>
      </c>
      <c r="AX67" s="21">
        <f t="shared" si="61"/>
        <v>46800</v>
      </c>
      <c r="AY67" s="21">
        <f t="shared" si="61"/>
        <v>0</v>
      </c>
      <c r="AZ67" s="21">
        <f t="shared" si="61"/>
        <v>7176340</v>
      </c>
      <c r="BA67" s="21">
        <f t="shared" si="61"/>
        <v>1623868</v>
      </c>
      <c r="BB67" s="21">
        <f t="shared" si="61"/>
        <v>0</v>
      </c>
      <c r="BC67" s="21">
        <f t="shared" si="61"/>
        <v>0</v>
      </c>
      <c r="BD67" s="21">
        <f t="shared" si="61"/>
        <v>0</v>
      </c>
      <c r="BE67" s="21">
        <f t="shared" si="61"/>
        <v>0</v>
      </c>
      <c r="BF67" s="21">
        <f t="shared" si="61"/>
        <v>0</v>
      </c>
      <c r="BG67" s="21">
        <f t="shared" si="61"/>
        <v>0</v>
      </c>
      <c r="BH67" s="21">
        <f t="shared" si="61"/>
        <v>0</v>
      </c>
      <c r="BI67" s="21">
        <f t="shared" si="61"/>
        <v>0</v>
      </c>
      <c r="BJ67" s="21">
        <f t="shared" si="61"/>
        <v>0</v>
      </c>
      <c r="BK67" s="21">
        <f t="shared" si="61"/>
        <v>459294</v>
      </c>
      <c r="BL67" s="21">
        <f t="shared" si="61"/>
        <v>459294</v>
      </c>
      <c r="BM67" s="21">
        <f t="shared" si="61"/>
        <v>1164574</v>
      </c>
      <c r="BN67" s="21">
        <f t="shared" si="61"/>
        <v>0</v>
      </c>
      <c r="BO67" s="21">
        <f t="shared" si="61"/>
        <v>0</v>
      </c>
      <c r="BP67" s="21">
        <f t="shared" si="61"/>
        <v>6230</v>
      </c>
      <c r="BQ67" s="21">
        <f t="shared" si="61"/>
        <v>0</v>
      </c>
      <c r="BR67" s="21">
        <f t="shared" si="61"/>
        <v>0</v>
      </c>
      <c r="BS67" s="21">
        <f t="shared" si="61"/>
        <v>0</v>
      </c>
      <c r="BT67" s="21">
        <f t="shared" ref="BT67:CW67" si="62">SUM(BT68+BT70+BT73+BT75+BT77+BT79+BT81)</f>
        <v>0</v>
      </c>
      <c r="BU67" s="21">
        <f t="shared" si="62"/>
        <v>0</v>
      </c>
      <c r="BV67" s="21">
        <f t="shared" si="62"/>
        <v>0</v>
      </c>
      <c r="BW67" s="21">
        <f t="shared" si="62"/>
        <v>406772</v>
      </c>
      <c r="BX67" s="21">
        <f t="shared" si="62"/>
        <v>751572</v>
      </c>
      <c r="BY67" s="21">
        <f t="shared" si="62"/>
        <v>14826356</v>
      </c>
      <c r="BZ67" s="21">
        <f t="shared" si="62"/>
        <v>14826356</v>
      </c>
      <c r="CA67" s="21">
        <f t="shared" si="62"/>
        <v>14526356</v>
      </c>
      <c r="CB67" s="21">
        <f t="shared" si="62"/>
        <v>0</v>
      </c>
      <c r="CC67" s="21">
        <f t="shared" si="62"/>
        <v>14526356</v>
      </c>
      <c r="CD67" s="21">
        <f t="shared" si="62"/>
        <v>0</v>
      </c>
      <c r="CE67" s="21">
        <f t="shared" si="62"/>
        <v>0</v>
      </c>
      <c r="CF67" s="21">
        <f>SUM(CF68+CF70+CF73+CF75+CF77+CF79+CF81)</f>
        <v>0</v>
      </c>
      <c r="CG67" s="21">
        <f t="shared" si="62"/>
        <v>0</v>
      </c>
      <c r="CH67" s="21">
        <f t="shared" si="62"/>
        <v>0</v>
      </c>
      <c r="CI67" s="21">
        <f t="shared" si="62"/>
        <v>0</v>
      </c>
      <c r="CJ67" s="21">
        <f t="shared" si="62"/>
        <v>0</v>
      </c>
      <c r="CK67" s="21">
        <f t="shared" si="62"/>
        <v>300000</v>
      </c>
      <c r="CL67" s="21">
        <f t="shared" si="62"/>
        <v>0</v>
      </c>
      <c r="CM67" s="21">
        <f>SUM(CM68+CM70+CM73+CM75+CM77+CM79+CM81)</f>
        <v>0</v>
      </c>
      <c r="CN67" s="21">
        <f t="shared" si="62"/>
        <v>0</v>
      </c>
      <c r="CO67" s="21">
        <f t="shared" si="62"/>
        <v>300000</v>
      </c>
      <c r="CP67" s="21">
        <f t="shared" si="62"/>
        <v>0</v>
      </c>
      <c r="CQ67" s="21">
        <f t="shared" si="62"/>
        <v>0</v>
      </c>
      <c r="CR67" s="21">
        <f t="shared" si="62"/>
        <v>0</v>
      </c>
      <c r="CS67" s="21">
        <f t="shared" si="62"/>
        <v>0</v>
      </c>
      <c r="CT67" s="21">
        <f t="shared" si="62"/>
        <v>0</v>
      </c>
      <c r="CU67" s="21">
        <f t="shared" si="62"/>
        <v>0</v>
      </c>
      <c r="CV67" s="21">
        <f t="shared" si="62"/>
        <v>0</v>
      </c>
      <c r="CW67" s="22">
        <f t="shared" si="62"/>
        <v>0</v>
      </c>
      <c r="CX67" s="40"/>
    </row>
    <row r="68" spans="1:102" ht="15.75" hidden="1" x14ac:dyDescent="0.25">
      <c r="A68" s="13" t="s">
        <v>50</v>
      </c>
      <c r="B68" s="14" t="s">
        <v>3</v>
      </c>
      <c r="C68" s="14" t="s">
        <v>1</v>
      </c>
      <c r="D68" s="30" t="s">
        <v>90</v>
      </c>
      <c r="E68" s="15">
        <f t="shared" ref="E68:BP68" si="63">SUM(E69)</f>
        <v>283247814</v>
      </c>
      <c r="F68" s="16">
        <f t="shared" si="63"/>
        <v>272700312</v>
      </c>
      <c r="G68" s="16">
        <f t="shared" si="63"/>
        <v>272006306</v>
      </c>
      <c r="H68" s="16">
        <f t="shared" si="63"/>
        <v>197071763</v>
      </c>
      <c r="I68" s="16">
        <f t="shared" si="63"/>
        <v>8295856</v>
      </c>
      <c r="J68" s="16">
        <f t="shared" si="63"/>
        <v>31525988</v>
      </c>
      <c r="K68" s="16">
        <f t="shared" si="63"/>
        <v>291647</v>
      </c>
      <c r="L68" s="16">
        <f t="shared" si="63"/>
        <v>14210000</v>
      </c>
      <c r="M68" s="16">
        <f t="shared" si="63"/>
        <v>5521786</v>
      </c>
      <c r="N68" s="16">
        <f t="shared" si="63"/>
        <v>0</v>
      </c>
      <c r="O68" s="16">
        <f t="shared" si="63"/>
        <v>10260000</v>
      </c>
      <c r="P68" s="16">
        <f t="shared" si="63"/>
        <v>1242555</v>
      </c>
      <c r="Q68" s="16">
        <f t="shared" si="63"/>
        <v>195157</v>
      </c>
      <c r="R68" s="16">
        <f t="shared" si="63"/>
        <v>93371</v>
      </c>
      <c r="S68" s="16">
        <f t="shared" si="63"/>
        <v>101786</v>
      </c>
      <c r="T68" s="16">
        <f t="shared" si="63"/>
        <v>0</v>
      </c>
      <c r="U68" s="16">
        <f t="shared" si="63"/>
        <v>3800000</v>
      </c>
      <c r="V68" s="16">
        <f t="shared" si="63"/>
        <v>3015758</v>
      </c>
      <c r="W68" s="16">
        <f t="shared" si="63"/>
        <v>65000</v>
      </c>
      <c r="X68" s="16">
        <f t="shared" si="63"/>
        <v>1096862</v>
      </c>
      <c r="Y68" s="16">
        <f t="shared" si="63"/>
        <v>1055538</v>
      </c>
      <c r="Z68" s="16">
        <f t="shared" si="63"/>
        <v>355236</v>
      </c>
      <c r="AA68" s="16">
        <f t="shared" si="63"/>
        <v>344962</v>
      </c>
      <c r="AB68" s="16">
        <f t="shared" si="63"/>
        <v>47123</v>
      </c>
      <c r="AC68" s="16">
        <f t="shared" si="63"/>
        <v>0</v>
      </c>
      <c r="AD68" s="16">
        <f t="shared" si="63"/>
        <v>51037</v>
      </c>
      <c r="AE68" s="16">
        <f t="shared" si="63"/>
        <v>28101784</v>
      </c>
      <c r="AF68" s="16">
        <f t="shared" si="63"/>
        <v>0</v>
      </c>
      <c r="AG68" s="16">
        <f t="shared" si="63"/>
        <v>98033</v>
      </c>
      <c r="AH68" s="16">
        <f t="shared" si="63"/>
        <v>248009</v>
      </c>
      <c r="AI68" s="16">
        <f t="shared" si="63"/>
        <v>39747</v>
      </c>
      <c r="AJ68" s="16">
        <f t="shared" si="63"/>
        <v>54522</v>
      </c>
      <c r="AK68" s="16">
        <f t="shared" si="63"/>
        <v>75333</v>
      </c>
      <c r="AL68" s="16">
        <f t="shared" si="63"/>
        <v>1957376</v>
      </c>
      <c r="AM68" s="16">
        <f t="shared" si="63"/>
        <v>1736351</v>
      </c>
      <c r="AN68" s="16">
        <f t="shared" si="63"/>
        <v>18042</v>
      </c>
      <c r="AO68" s="16">
        <f t="shared" si="63"/>
        <v>11108</v>
      </c>
      <c r="AP68" s="16">
        <f t="shared" si="63"/>
        <v>0</v>
      </c>
      <c r="AQ68" s="16">
        <f t="shared" si="63"/>
        <v>297993</v>
      </c>
      <c r="AR68" s="16">
        <f t="shared" si="63"/>
        <v>107567</v>
      </c>
      <c r="AS68" s="16">
        <f t="shared" si="63"/>
        <v>0</v>
      </c>
      <c r="AT68" s="16">
        <f t="shared" si="63"/>
        <v>0</v>
      </c>
      <c r="AU68" s="16">
        <f t="shared" si="63"/>
        <v>0</v>
      </c>
      <c r="AV68" s="16">
        <f t="shared" si="63"/>
        <v>0</v>
      </c>
      <c r="AW68" s="16">
        <f t="shared" si="63"/>
        <v>17569978</v>
      </c>
      <c r="AX68" s="16">
        <f t="shared" si="63"/>
        <v>0</v>
      </c>
      <c r="AY68" s="16">
        <f t="shared" si="63"/>
        <v>0</v>
      </c>
      <c r="AZ68" s="16">
        <f t="shared" si="63"/>
        <v>5887725</v>
      </c>
      <c r="BA68" s="16">
        <f t="shared" si="63"/>
        <v>694006</v>
      </c>
      <c r="BB68" s="16">
        <f t="shared" si="63"/>
        <v>0</v>
      </c>
      <c r="BC68" s="16">
        <f t="shared" si="63"/>
        <v>0</v>
      </c>
      <c r="BD68" s="16">
        <f t="shared" si="63"/>
        <v>0</v>
      </c>
      <c r="BE68" s="16">
        <f t="shared" si="63"/>
        <v>0</v>
      </c>
      <c r="BF68" s="16">
        <f t="shared" si="63"/>
        <v>0</v>
      </c>
      <c r="BG68" s="16">
        <f t="shared" si="63"/>
        <v>0</v>
      </c>
      <c r="BH68" s="16">
        <f t="shared" si="63"/>
        <v>0</v>
      </c>
      <c r="BI68" s="16">
        <f t="shared" si="63"/>
        <v>0</v>
      </c>
      <c r="BJ68" s="16">
        <f t="shared" si="63"/>
        <v>0</v>
      </c>
      <c r="BK68" s="16">
        <f t="shared" si="63"/>
        <v>304566</v>
      </c>
      <c r="BL68" s="16">
        <f t="shared" si="63"/>
        <v>304566</v>
      </c>
      <c r="BM68" s="16">
        <f t="shared" si="63"/>
        <v>389440</v>
      </c>
      <c r="BN68" s="16">
        <f t="shared" si="63"/>
        <v>0</v>
      </c>
      <c r="BO68" s="16">
        <f t="shared" si="63"/>
        <v>0</v>
      </c>
      <c r="BP68" s="16">
        <f t="shared" si="63"/>
        <v>6230</v>
      </c>
      <c r="BQ68" s="16">
        <f t="shared" ref="BQ68:CW68" si="64">SUM(BQ69)</f>
        <v>0</v>
      </c>
      <c r="BR68" s="16">
        <f t="shared" si="64"/>
        <v>0</v>
      </c>
      <c r="BS68" s="16">
        <f t="shared" si="64"/>
        <v>0</v>
      </c>
      <c r="BT68" s="16">
        <f t="shared" si="64"/>
        <v>0</v>
      </c>
      <c r="BU68" s="16">
        <f t="shared" si="64"/>
        <v>0</v>
      </c>
      <c r="BV68" s="16">
        <f t="shared" si="64"/>
        <v>0</v>
      </c>
      <c r="BW68" s="16">
        <f t="shared" si="64"/>
        <v>383210</v>
      </c>
      <c r="BX68" s="16">
        <f t="shared" si="64"/>
        <v>0</v>
      </c>
      <c r="BY68" s="16">
        <f t="shared" si="64"/>
        <v>10547502</v>
      </c>
      <c r="BZ68" s="16">
        <f t="shared" si="64"/>
        <v>10547502</v>
      </c>
      <c r="CA68" s="16">
        <f t="shared" si="64"/>
        <v>10547502</v>
      </c>
      <c r="CB68" s="16">
        <f t="shared" si="64"/>
        <v>0</v>
      </c>
      <c r="CC68" s="16">
        <f t="shared" si="64"/>
        <v>10547502</v>
      </c>
      <c r="CD68" s="16">
        <f t="shared" si="64"/>
        <v>0</v>
      </c>
      <c r="CE68" s="16">
        <f t="shared" si="64"/>
        <v>0</v>
      </c>
      <c r="CF68" s="16">
        <f t="shared" si="64"/>
        <v>0</v>
      </c>
      <c r="CG68" s="16">
        <f t="shared" si="64"/>
        <v>0</v>
      </c>
      <c r="CH68" s="16">
        <f t="shared" si="64"/>
        <v>0</v>
      </c>
      <c r="CI68" s="16">
        <f t="shared" si="64"/>
        <v>0</v>
      </c>
      <c r="CJ68" s="16">
        <f t="shared" si="64"/>
        <v>0</v>
      </c>
      <c r="CK68" s="16">
        <f t="shared" si="64"/>
        <v>0</v>
      </c>
      <c r="CL68" s="16">
        <f t="shared" si="64"/>
        <v>0</v>
      </c>
      <c r="CM68" s="16">
        <f t="shared" si="64"/>
        <v>0</v>
      </c>
      <c r="CN68" s="16">
        <f t="shared" si="64"/>
        <v>0</v>
      </c>
      <c r="CO68" s="16">
        <f t="shared" si="64"/>
        <v>0</v>
      </c>
      <c r="CP68" s="16">
        <f t="shared" si="64"/>
        <v>0</v>
      </c>
      <c r="CQ68" s="16">
        <f t="shared" si="64"/>
        <v>0</v>
      </c>
      <c r="CR68" s="16">
        <f t="shared" si="64"/>
        <v>0</v>
      </c>
      <c r="CS68" s="16">
        <f t="shared" si="64"/>
        <v>0</v>
      </c>
      <c r="CT68" s="16">
        <f t="shared" si="64"/>
        <v>0</v>
      </c>
      <c r="CU68" s="16">
        <f t="shared" si="64"/>
        <v>0</v>
      </c>
      <c r="CV68" s="16">
        <f t="shared" si="64"/>
        <v>0</v>
      </c>
      <c r="CW68" s="17">
        <f t="shared" si="64"/>
        <v>0</v>
      </c>
      <c r="CX68" s="40"/>
    </row>
    <row r="69" spans="1:102" ht="15.75" hidden="1" x14ac:dyDescent="0.25">
      <c r="A69" s="13" t="s">
        <v>1</v>
      </c>
      <c r="B69" s="14" t="s">
        <v>1</v>
      </c>
      <c r="C69" s="14" t="s">
        <v>91</v>
      </c>
      <c r="D69" s="30" t="s">
        <v>92</v>
      </c>
      <c r="E69" s="15">
        <f>SUM(F69+BY69+CT69)</f>
        <v>283247814</v>
      </c>
      <c r="F69" s="16">
        <f>SUM(G69+BA69)</f>
        <v>272700312</v>
      </c>
      <c r="G69" s="16">
        <f>SUM(H69+I69+J69+Q69+T69+U69+V69+AE69)</f>
        <v>272006306</v>
      </c>
      <c r="H69" s="16">
        <f>193513809+3557954</f>
        <v>197071763</v>
      </c>
      <c r="I69" s="16">
        <v>8295856</v>
      </c>
      <c r="J69" s="16">
        <f t="shared" si="4"/>
        <v>31525988</v>
      </c>
      <c r="K69" s="16">
        <v>291647</v>
      </c>
      <c r="L69" s="16">
        <v>14210000</v>
      </c>
      <c r="M69" s="16">
        <v>5521786</v>
      </c>
      <c r="N69" s="16">
        <v>0</v>
      </c>
      <c r="O69" s="16">
        <v>10260000</v>
      </c>
      <c r="P69" s="16">
        <v>1242555</v>
      </c>
      <c r="Q69" s="16">
        <f t="shared" si="5"/>
        <v>195157</v>
      </c>
      <c r="R69" s="16">
        <v>93371</v>
      </c>
      <c r="S69" s="16">
        <v>101786</v>
      </c>
      <c r="T69" s="16">
        <v>0</v>
      </c>
      <c r="U69" s="16">
        <v>3800000</v>
      </c>
      <c r="V69" s="16">
        <f>SUM(W69:AD69)</f>
        <v>3015758</v>
      </c>
      <c r="W69" s="16">
        <v>65000</v>
      </c>
      <c r="X69" s="16">
        <f>1070452+26410</f>
        <v>1096862</v>
      </c>
      <c r="Y69" s="16">
        <f>1049918+5620</f>
        <v>1055538</v>
      </c>
      <c r="Z69" s="16">
        <f>354746+490</f>
        <v>355236</v>
      </c>
      <c r="AA69" s="16">
        <v>344962</v>
      </c>
      <c r="AB69" s="16">
        <v>47123</v>
      </c>
      <c r="AC69" s="16">
        <v>0</v>
      </c>
      <c r="AD69" s="16">
        <f>52446-1409</f>
        <v>51037</v>
      </c>
      <c r="AE69" s="16">
        <f>SUM(AF69:AZ69)</f>
        <v>28101784</v>
      </c>
      <c r="AF69" s="16">
        <v>0</v>
      </c>
      <c r="AG69" s="16">
        <v>98033</v>
      </c>
      <c r="AH69" s="16">
        <v>248009</v>
      </c>
      <c r="AI69" s="16">
        <f>39747</f>
        <v>39747</v>
      </c>
      <c r="AJ69" s="16">
        <f>54522</f>
        <v>54522</v>
      </c>
      <c r="AK69" s="16">
        <f>75333</f>
        <v>75333</v>
      </c>
      <c r="AL69" s="16">
        <v>1957376</v>
      </c>
      <c r="AM69" s="16">
        <v>1736351</v>
      </c>
      <c r="AN69" s="16">
        <v>18042</v>
      </c>
      <c r="AO69" s="16">
        <v>11108</v>
      </c>
      <c r="AP69" s="16"/>
      <c r="AQ69" s="16">
        <v>297993</v>
      </c>
      <c r="AR69" s="16">
        <v>107567</v>
      </c>
      <c r="AS69" s="16">
        <v>0</v>
      </c>
      <c r="AT69" s="16">
        <v>0</v>
      </c>
      <c r="AU69" s="16">
        <v>0</v>
      </c>
      <c r="AV69" s="16">
        <v>0</v>
      </c>
      <c r="AW69" s="16">
        <v>17569978</v>
      </c>
      <c r="AX69" s="16">
        <v>0</v>
      </c>
      <c r="AY69" s="16"/>
      <c r="AZ69" s="16">
        <v>5887725</v>
      </c>
      <c r="BA69" s="16">
        <f>SUM(BB69+BF69+BI69+BK69+BM69)</f>
        <v>694006</v>
      </c>
      <c r="BB69" s="16">
        <f>SUM(BC69:BE69)</f>
        <v>0</v>
      </c>
      <c r="BC69" s="16">
        <v>0</v>
      </c>
      <c r="BD69" s="16">
        <v>0</v>
      </c>
      <c r="BE69" s="16">
        <v>0</v>
      </c>
      <c r="BF69" s="16">
        <f t="shared" si="6"/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f t="shared" si="7"/>
        <v>304566</v>
      </c>
      <c r="BL69" s="16">
        <v>304566</v>
      </c>
      <c r="BM69" s="16">
        <f t="shared" si="8"/>
        <v>389440</v>
      </c>
      <c r="BN69" s="16">
        <v>0</v>
      </c>
      <c r="BO69" s="16">
        <v>0</v>
      </c>
      <c r="BP69" s="16">
        <v>6230</v>
      </c>
      <c r="BQ69" s="16">
        <v>0</v>
      </c>
      <c r="BR69" s="16">
        <v>0</v>
      </c>
      <c r="BS69" s="16">
        <v>0</v>
      </c>
      <c r="BT69" s="16">
        <v>0</v>
      </c>
      <c r="BU69" s="16">
        <v>0</v>
      </c>
      <c r="BV69" s="16">
        <v>0</v>
      </c>
      <c r="BW69" s="16">
        <v>383210</v>
      </c>
      <c r="BX69" s="16">
        <v>0</v>
      </c>
      <c r="BY69" s="16">
        <f>SUM(BZ69+CS69)</f>
        <v>10547502</v>
      </c>
      <c r="BZ69" s="16">
        <f>SUM(CA69+CD69+CK69)</f>
        <v>10547502</v>
      </c>
      <c r="CA69" s="16">
        <f t="shared" si="9"/>
        <v>10547502</v>
      </c>
      <c r="CB69" s="16">
        <v>0</v>
      </c>
      <c r="CC69" s="16">
        <v>10547502</v>
      </c>
      <c r="CD69" s="16">
        <f t="shared" si="10"/>
        <v>0</v>
      </c>
      <c r="CE69" s="16">
        <v>0</v>
      </c>
      <c r="CF69" s="16">
        <v>0</v>
      </c>
      <c r="CG69" s="16">
        <v>0</v>
      </c>
      <c r="CH69" s="16">
        <v>0</v>
      </c>
      <c r="CI69" s="16">
        <v>0</v>
      </c>
      <c r="CJ69" s="16">
        <v>0</v>
      </c>
      <c r="CK69" s="16">
        <f t="shared" si="11"/>
        <v>0</v>
      </c>
      <c r="CL69" s="16">
        <v>0</v>
      </c>
      <c r="CM69" s="16">
        <v>0</v>
      </c>
      <c r="CN69" s="16">
        <v>0</v>
      </c>
      <c r="CO69" s="16">
        <v>0</v>
      </c>
      <c r="CP69" s="16">
        <v>0</v>
      </c>
      <c r="CQ69" s="16"/>
      <c r="CR69" s="16"/>
      <c r="CS69" s="16">
        <v>0</v>
      </c>
      <c r="CT69" s="16">
        <f t="shared" si="12"/>
        <v>0</v>
      </c>
      <c r="CU69" s="16">
        <f t="shared" si="13"/>
        <v>0</v>
      </c>
      <c r="CV69" s="16">
        <v>0</v>
      </c>
      <c r="CW69" s="17">
        <v>0</v>
      </c>
      <c r="CX69" s="40"/>
    </row>
    <row r="70" spans="1:102" ht="31.5" hidden="1" x14ac:dyDescent="0.25">
      <c r="A70" s="13" t="s">
        <v>50</v>
      </c>
      <c r="B70" s="14" t="s">
        <v>15</v>
      </c>
      <c r="C70" s="14" t="s">
        <v>1</v>
      </c>
      <c r="D70" s="30" t="s">
        <v>500</v>
      </c>
      <c r="E70" s="15">
        <f>SUM(E71:E72)</f>
        <v>93934613</v>
      </c>
      <c r="F70" s="16">
        <f t="shared" ref="F70:BS70" si="65">SUM(F71:F72)</f>
        <v>92758062</v>
      </c>
      <c r="G70" s="16">
        <f t="shared" si="65"/>
        <v>92743062</v>
      </c>
      <c r="H70" s="16">
        <f t="shared" si="65"/>
        <v>53084080</v>
      </c>
      <c r="I70" s="16">
        <f t="shared" si="65"/>
        <v>1815124</v>
      </c>
      <c r="J70" s="16">
        <f t="shared" si="65"/>
        <v>27866694</v>
      </c>
      <c r="K70" s="16">
        <f t="shared" si="65"/>
        <v>396973</v>
      </c>
      <c r="L70" s="16">
        <f t="shared" si="65"/>
        <v>5875008</v>
      </c>
      <c r="M70" s="16">
        <f t="shared" si="65"/>
        <v>16960028</v>
      </c>
      <c r="N70" s="16">
        <f t="shared" si="65"/>
        <v>0</v>
      </c>
      <c r="O70" s="16">
        <f t="shared" si="65"/>
        <v>3281334</v>
      </c>
      <c r="P70" s="16">
        <f t="shared" si="65"/>
        <v>1353351</v>
      </c>
      <c r="Q70" s="16">
        <f t="shared" si="65"/>
        <v>27611</v>
      </c>
      <c r="R70" s="16">
        <f t="shared" si="65"/>
        <v>27611</v>
      </c>
      <c r="S70" s="16">
        <f t="shared" si="65"/>
        <v>0</v>
      </c>
      <c r="T70" s="16">
        <f t="shared" si="65"/>
        <v>0</v>
      </c>
      <c r="U70" s="16">
        <f t="shared" si="65"/>
        <v>490176</v>
      </c>
      <c r="V70" s="16">
        <f t="shared" si="65"/>
        <v>3519832</v>
      </c>
      <c r="W70" s="16">
        <f t="shared" si="65"/>
        <v>550096</v>
      </c>
      <c r="X70" s="16">
        <f t="shared" si="65"/>
        <v>25930</v>
      </c>
      <c r="Y70" s="16">
        <f t="shared" si="65"/>
        <v>1529883</v>
      </c>
      <c r="Z70" s="16">
        <f t="shared" si="65"/>
        <v>1041215</v>
      </c>
      <c r="AA70" s="16">
        <f t="shared" si="65"/>
        <v>206069</v>
      </c>
      <c r="AB70" s="16">
        <f t="shared" si="65"/>
        <v>0</v>
      </c>
      <c r="AC70" s="16">
        <f t="shared" si="65"/>
        <v>0</v>
      </c>
      <c r="AD70" s="16">
        <f t="shared" si="65"/>
        <v>166639</v>
      </c>
      <c r="AE70" s="16">
        <f t="shared" si="65"/>
        <v>5939545</v>
      </c>
      <c r="AF70" s="16">
        <f t="shared" si="65"/>
        <v>0</v>
      </c>
      <c r="AG70" s="16">
        <f t="shared" si="65"/>
        <v>0</v>
      </c>
      <c r="AH70" s="16">
        <f t="shared" si="65"/>
        <v>710862</v>
      </c>
      <c r="AI70" s="16">
        <f t="shared" si="65"/>
        <v>0</v>
      </c>
      <c r="AJ70" s="16">
        <f t="shared" si="65"/>
        <v>12492</v>
      </c>
      <c r="AK70" s="16">
        <f t="shared" si="65"/>
        <v>0</v>
      </c>
      <c r="AL70" s="16">
        <f t="shared" si="65"/>
        <v>125632</v>
      </c>
      <c r="AM70" s="16">
        <f t="shared" si="65"/>
        <v>62374</v>
      </c>
      <c r="AN70" s="16">
        <f t="shared" si="65"/>
        <v>13386</v>
      </c>
      <c r="AO70" s="16">
        <f t="shared" si="65"/>
        <v>0</v>
      </c>
      <c r="AP70" s="16">
        <f>SUM(AP71:AP72)</f>
        <v>0</v>
      </c>
      <c r="AQ70" s="16">
        <f t="shared" si="65"/>
        <v>313124</v>
      </c>
      <c r="AR70" s="16">
        <f t="shared" si="65"/>
        <v>0</v>
      </c>
      <c r="AS70" s="16">
        <f t="shared" si="65"/>
        <v>0</v>
      </c>
      <c r="AT70" s="16">
        <f t="shared" si="65"/>
        <v>0</v>
      </c>
      <c r="AU70" s="16">
        <f t="shared" si="65"/>
        <v>0</v>
      </c>
      <c r="AV70" s="16">
        <f t="shared" si="65"/>
        <v>0</v>
      </c>
      <c r="AW70" s="16">
        <f t="shared" si="65"/>
        <v>4350829</v>
      </c>
      <c r="AX70" s="16">
        <f t="shared" si="65"/>
        <v>0</v>
      </c>
      <c r="AY70" s="16">
        <f t="shared" si="65"/>
        <v>0</v>
      </c>
      <c r="AZ70" s="16">
        <f t="shared" si="65"/>
        <v>350846</v>
      </c>
      <c r="BA70" s="16">
        <f t="shared" si="65"/>
        <v>15000</v>
      </c>
      <c r="BB70" s="16">
        <f t="shared" si="65"/>
        <v>0</v>
      </c>
      <c r="BC70" s="16">
        <f t="shared" si="65"/>
        <v>0</v>
      </c>
      <c r="BD70" s="16">
        <f t="shared" si="65"/>
        <v>0</v>
      </c>
      <c r="BE70" s="16">
        <f t="shared" si="65"/>
        <v>0</v>
      </c>
      <c r="BF70" s="16">
        <f t="shared" si="65"/>
        <v>0</v>
      </c>
      <c r="BG70" s="16">
        <f t="shared" si="65"/>
        <v>0</v>
      </c>
      <c r="BH70" s="16">
        <f t="shared" si="65"/>
        <v>0</v>
      </c>
      <c r="BI70" s="16">
        <f t="shared" si="65"/>
        <v>0</v>
      </c>
      <c r="BJ70" s="16">
        <f t="shared" si="65"/>
        <v>0</v>
      </c>
      <c r="BK70" s="16">
        <f t="shared" si="65"/>
        <v>15000</v>
      </c>
      <c r="BL70" s="16">
        <f t="shared" si="65"/>
        <v>15000</v>
      </c>
      <c r="BM70" s="16">
        <f t="shared" si="65"/>
        <v>0</v>
      </c>
      <c r="BN70" s="16">
        <f t="shared" si="65"/>
        <v>0</v>
      </c>
      <c r="BO70" s="16">
        <f t="shared" si="65"/>
        <v>0</v>
      </c>
      <c r="BP70" s="16">
        <f t="shared" si="65"/>
        <v>0</v>
      </c>
      <c r="BQ70" s="16">
        <f t="shared" si="65"/>
        <v>0</v>
      </c>
      <c r="BR70" s="16">
        <f t="shared" si="65"/>
        <v>0</v>
      </c>
      <c r="BS70" s="16">
        <f t="shared" si="65"/>
        <v>0</v>
      </c>
      <c r="BT70" s="16">
        <f t="shared" ref="BT70:CW70" si="66">SUM(BT71:BT72)</f>
        <v>0</v>
      </c>
      <c r="BU70" s="16">
        <f t="shared" si="66"/>
        <v>0</v>
      </c>
      <c r="BV70" s="16">
        <f t="shared" si="66"/>
        <v>0</v>
      </c>
      <c r="BW70" s="16">
        <f t="shared" si="66"/>
        <v>0</v>
      </c>
      <c r="BX70" s="16">
        <f t="shared" si="66"/>
        <v>0</v>
      </c>
      <c r="BY70" s="16">
        <f t="shared" si="66"/>
        <v>1176551</v>
      </c>
      <c r="BZ70" s="16">
        <f t="shared" si="66"/>
        <v>1176551</v>
      </c>
      <c r="CA70" s="16">
        <f t="shared" si="66"/>
        <v>1176551</v>
      </c>
      <c r="CB70" s="16">
        <f t="shared" si="66"/>
        <v>0</v>
      </c>
      <c r="CC70" s="16">
        <f t="shared" si="66"/>
        <v>1176551</v>
      </c>
      <c r="CD70" s="16">
        <f t="shared" si="66"/>
        <v>0</v>
      </c>
      <c r="CE70" s="16">
        <f t="shared" si="66"/>
        <v>0</v>
      </c>
      <c r="CF70" s="16">
        <f>SUM(CF71:CF72)</f>
        <v>0</v>
      </c>
      <c r="CG70" s="16">
        <f t="shared" si="66"/>
        <v>0</v>
      </c>
      <c r="CH70" s="16">
        <f t="shared" si="66"/>
        <v>0</v>
      </c>
      <c r="CI70" s="16">
        <f t="shared" si="66"/>
        <v>0</v>
      </c>
      <c r="CJ70" s="16">
        <f t="shared" si="66"/>
        <v>0</v>
      </c>
      <c r="CK70" s="16">
        <f t="shared" si="66"/>
        <v>0</v>
      </c>
      <c r="CL70" s="16">
        <f t="shared" si="66"/>
        <v>0</v>
      </c>
      <c r="CM70" s="16">
        <f>SUM(CM71:CM72)</f>
        <v>0</v>
      </c>
      <c r="CN70" s="16">
        <f t="shared" si="66"/>
        <v>0</v>
      </c>
      <c r="CO70" s="16">
        <f t="shared" si="66"/>
        <v>0</v>
      </c>
      <c r="CP70" s="16">
        <f t="shared" si="66"/>
        <v>0</v>
      </c>
      <c r="CQ70" s="16">
        <f t="shared" si="66"/>
        <v>0</v>
      </c>
      <c r="CR70" s="16">
        <f t="shared" si="66"/>
        <v>0</v>
      </c>
      <c r="CS70" s="16">
        <f t="shared" si="66"/>
        <v>0</v>
      </c>
      <c r="CT70" s="16">
        <f t="shared" si="66"/>
        <v>0</v>
      </c>
      <c r="CU70" s="16">
        <f t="shared" si="66"/>
        <v>0</v>
      </c>
      <c r="CV70" s="16">
        <f t="shared" si="66"/>
        <v>0</v>
      </c>
      <c r="CW70" s="17">
        <f t="shared" si="66"/>
        <v>0</v>
      </c>
      <c r="CX70" s="40"/>
    </row>
    <row r="71" spans="1:102" ht="15.75" hidden="1" x14ac:dyDescent="0.25">
      <c r="A71" s="13" t="s">
        <v>1</v>
      </c>
      <c r="B71" s="14" t="s">
        <v>1</v>
      </c>
      <c r="C71" s="14" t="s">
        <v>93</v>
      </c>
      <c r="D71" s="30" t="s">
        <v>94</v>
      </c>
      <c r="E71" s="15">
        <f>SUM(F71+BY71+CT71)</f>
        <v>5456088</v>
      </c>
      <c r="F71" s="16">
        <f>SUM(G71+BA71)</f>
        <v>5363637</v>
      </c>
      <c r="G71" s="16">
        <f>SUM(H71+I71+J71+Q71+T71+U71+V71+AE71)</f>
        <v>5363637</v>
      </c>
      <c r="H71" s="16">
        <v>4281945</v>
      </c>
      <c r="I71" s="16">
        <v>107049</v>
      </c>
      <c r="J71" s="16">
        <f t="shared" si="4"/>
        <v>279988</v>
      </c>
      <c r="K71" s="16">
        <v>0</v>
      </c>
      <c r="L71" s="16">
        <v>118309</v>
      </c>
      <c r="M71" s="16">
        <v>0</v>
      </c>
      <c r="N71" s="16">
        <v>0</v>
      </c>
      <c r="O71" s="16">
        <v>159520</v>
      </c>
      <c r="P71" s="16">
        <v>2159</v>
      </c>
      <c r="Q71" s="16">
        <f t="shared" si="5"/>
        <v>11992</v>
      </c>
      <c r="R71" s="16">
        <v>11992</v>
      </c>
      <c r="S71" s="16">
        <v>0</v>
      </c>
      <c r="T71" s="16">
        <v>0</v>
      </c>
      <c r="U71" s="16">
        <v>227163</v>
      </c>
      <c r="V71" s="16">
        <f>SUM(W71:AD71)</f>
        <v>41613</v>
      </c>
      <c r="W71" s="16">
        <v>0</v>
      </c>
      <c r="X71" s="16">
        <v>23182</v>
      </c>
      <c r="Y71" s="16">
        <v>15341</v>
      </c>
      <c r="Z71" s="16">
        <v>1570</v>
      </c>
      <c r="AA71" s="16">
        <v>975</v>
      </c>
      <c r="AB71" s="16">
        <v>0</v>
      </c>
      <c r="AC71" s="16">
        <v>0</v>
      </c>
      <c r="AD71" s="16">
        <v>545</v>
      </c>
      <c r="AE71" s="16">
        <f>SUM(AF71:AZ71)</f>
        <v>413887</v>
      </c>
      <c r="AF71" s="16">
        <v>0</v>
      </c>
      <c r="AG71" s="16">
        <v>0</v>
      </c>
      <c r="AH71" s="16">
        <v>10862</v>
      </c>
      <c r="AI71" s="16">
        <v>0</v>
      </c>
      <c r="AJ71" s="16">
        <v>1591</v>
      </c>
      <c r="AK71" s="16">
        <v>0</v>
      </c>
      <c r="AL71" s="16">
        <v>46225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350510</v>
      </c>
      <c r="AX71" s="16">
        <v>0</v>
      </c>
      <c r="AY71" s="16">
        <v>0</v>
      </c>
      <c r="AZ71" s="16">
        <v>4699</v>
      </c>
      <c r="BA71" s="16">
        <f>SUM(BB71+BF71+BI71+BK71+BM71)</f>
        <v>0</v>
      </c>
      <c r="BB71" s="16">
        <f>SUM(BC71:BE71)</f>
        <v>0</v>
      </c>
      <c r="BC71" s="16">
        <v>0</v>
      </c>
      <c r="BD71" s="16">
        <v>0</v>
      </c>
      <c r="BE71" s="16">
        <v>0</v>
      </c>
      <c r="BF71" s="16">
        <f t="shared" si="6"/>
        <v>0</v>
      </c>
      <c r="BG71" s="16">
        <v>0</v>
      </c>
      <c r="BH71" s="16">
        <v>0</v>
      </c>
      <c r="BI71" s="16">
        <v>0</v>
      </c>
      <c r="BJ71" s="16">
        <v>0</v>
      </c>
      <c r="BK71" s="16">
        <f t="shared" si="7"/>
        <v>0</v>
      </c>
      <c r="BL71" s="16">
        <v>0</v>
      </c>
      <c r="BM71" s="16">
        <f t="shared" si="8"/>
        <v>0</v>
      </c>
      <c r="BN71" s="16">
        <v>0</v>
      </c>
      <c r="BO71" s="16">
        <v>0</v>
      </c>
      <c r="BP71" s="16">
        <v>0</v>
      </c>
      <c r="BQ71" s="16">
        <v>0</v>
      </c>
      <c r="BR71" s="16">
        <v>0</v>
      </c>
      <c r="BS71" s="16">
        <v>0</v>
      </c>
      <c r="BT71" s="16">
        <v>0</v>
      </c>
      <c r="BU71" s="16">
        <v>0</v>
      </c>
      <c r="BV71" s="16">
        <v>0</v>
      </c>
      <c r="BW71" s="16">
        <v>0</v>
      </c>
      <c r="BX71" s="16">
        <v>0</v>
      </c>
      <c r="BY71" s="16">
        <f>SUM(BZ71+CS71)</f>
        <v>92451</v>
      </c>
      <c r="BZ71" s="16">
        <f>SUM(CA71+CD71+CK71)</f>
        <v>92451</v>
      </c>
      <c r="CA71" s="16">
        <f t="shared" si="9"/>
        <v>92451</v>
      </c>
      <c r="CB71" s="16">
        <v>0</v>
      </c>
      <c r="CC71" s="16">
        <v>92451</v>
      </c>
      <c r="CD71" s="16">
        <f t="shared" si="10"/>
        <v>0</v>
      </c>
      <c r="CE71" s="16">
        <v>0</v>
      </c>
      <c r="CF71" s="16">
        <v>0</v>
      </c>
      <c r="CG71" s="16">
        <v>0</v>
      </c>
      <c r="CH71" s="16">
        <v>0</v>
      </c>
      <c r="CI71" s="16">
        <v>0</v>
      </c>
      <c r="CJ71" s="16">
        <v>0</v>
      </c>
      <c r="CK71" s="16">
        <f t="shared" si="11"/>
        <v>0</v>
      </c>
      <c r="CL71" s="16">
        <v>0</v>
      </c>
      <c r="CM71" s="16">
        <v>0</v>
      </c>
      <c r="CN71" s="16">
        <v>0</v>
      </c>
      <c r="CO71" s="16">
        <v>0</v>
      </c>
      <c r="CP71" s="16">
        <v>0</v>
      </c>
      <c r="CQ71" s="16">
        <v>0</v>
      </c>
      <c r="CR71" s="16">
        <v>0</v>
      </c>
      <c r="CS71" s="16">
        <v>0</v>
      </c>
      <c r="CT71" s="16">
        <f t="shared" si="12"/>
        <v>0</v>
      </c>
      <c r="CU71" s="16">
        <f t="shared" si="13"/>
        <v>0</v>
      </c>
      <c r="CV71" s="16">
        <v>0</v>
      </c>
      <c r="CW71" s="17">
        <v>0</v>
      </c>
      <c r="CX71" s="40"/>
    </row>
    <row r="72" spans="1:102" ht="15.75" hidden="1" x14ac:dyDescent="0.25">
      <c r="A72" s="13" t="s">
        <v>1</v>
      </c>
      <c r="B72" s="14" t="s">
        <v>1</v>
      </c>
      <c r="C72" s="14" t="s">
        <v>95</v>
      </c>
      <c r="D72" s="30" t="s">
        <v>96</v>
      </c>
      <c r="E72" s="15">
        <f>SUM(F72+BY72+CT72)</f>
        <v>88478525</v>
      </c>
      <c r="F72" s="16">
        <f>SUM(G72+BA72)</f>
        <v>87394425</v>
      </c>
      <c r="G72" s="16">
        <f>SUM(H72+I72+J72+Q72+T72+U72+V72+AE72)</f>
        <v>87379425</v>
      </c>
      <c r="H72" s="16">
        <v>48802135</v>
      </c>
      <c r="I72" s="16">
        <v>1708075</v>
      </c>
      <c r="J72" s="16">
        <f t="shared" si="4"/>
        <v>27586706</v>
      </c>
      <c r="K72" s="16">
        <v>396973</v>
      </c>
      <c r="L72" s="16">
        <v>5756699</v>
      </c>
      <c r="M72" s="16">
        <v>16960028</v>
      </c>
      <c r="N72" s="16">
        <v>0</v>
      </c>
      <c r="O72" s="16">
        <v>3121814</v>
      </c>
      <c r="P72" s="16">
        <v>1351192</v>
      </c>
      <c r="Q72" s="16">
        <f t="shared" si="5"/>
        <v>15619</v>
      </c>
      <c r="R72" s="16">
        <v>15619</v>
      </c>
      <c r="S72" s="16">
        <v>0</v>
      </c>
      <c r="T72" s="16">
        <v>0</v>
      </c>
      <c r="U72" s="16">
        <v>263013</v>
      </c>
      <c r="V72" s="16">
        <f>SUM(W72:AD72)</f>
        <v>3478219</v>
      </c>
      <c r="W72" s="16">
        <v>550096</v>
      </c>
      <c r="X72" s="16">
        <v>2748</v>
      </c>
      <c r="Y72" s="16">
        <v>1514542</v>
      </c>
      <c r="Z72" s="16">
        <v>1039645</v>
      </c>
      <c r="AA72" s="16">
        <v>205094</v>
      </c>
      <c r="AB72" s="16">
        <v>0</v>
      </c>
      <c r="AC72" s="16">
        <v>0</v>
      </c>
      <c r="AD72" s="16">
        <v>166094</v>
      </c>
      <c r="AE72" s="16">
        <f>SUM(AF72:AZ72)</f>
        <v>5525658</v>
      </c>
      <c r="AF72" s="16">
        <v>0</v>
      </c>
      <c r="AG72" s="16">
        <v>0</v>
      </c>
      <c r="AH72" s="16">
        <v>700000</v>
      </c>
      <c r="AI72" s="16">
        <v>0</v>
      </c>
      <c r="AJ72" s="16">
        <v>10901</v>
      </c>
      <c r="AK72" s="16">
        <v>0</v>
      </c>
      <c r="AL72" s="16">
        <v>79407</v>
      </c>
      <c r="AM72" s="16">
        <v>62374</v>
      </c>
      <c r="AN72" s="16">
        <v>13386</v>
      </c>
      <c r="AO72" s="16">
        <v>0</v>
      </c>
      <c r="AP72" s="16">
        <v>0</v>
      </c>
      <c r="AQ72" s="16">
        <v>313124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4000319</v>
      </c>
      <c r="AX72" s="16">
        <v>0</v>
      </c>
      <c r="AY72" s="16">
        <v>0</v>
      </c>
      <c r="AZ72" s="16">
        <v>346147</v>
      </c>
      <c r="BA72" s="16">
        <f>SUM(BB72+BF72+BI72+BK72+BM72)</f>
        <v>15000</v>
      </c>
      <c r="BB72" s="16">
        <f>SUM(BC72:BE72)</f>
        <v>0</v>
      </c>
      <c r="BC72" s="16">
        <v>0</v>
      </c>
      <c r="BD72" s="16">
        <v>0</v>
      </c>
      <c r="BE72" s="16">
        <v>0</v>
      </c>
      <c r="BF72" s="16">
        <f t="shared" si="6"/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f t="shared" si="7"/>
        <v>15000</v>
      </c>
      <c r="BL72" s="16">
        <v>15000</v>
      </c>
      <c r="BM72" s="16">
        <f t="shared" si="8"/>
        <v>0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0</v>
      </c>
      <c r="BY72" s="16">
        <f>SUM(BZ72+CS72)</f>
        <v>1084100</v>
      </c>
      <c r="BZ72" s="16">
        <f>SUM(CA72+CD72+CK72)</f>
        <v>1084100</v>
      </c>
      <c r="CA72" s="16">
        <f t="shared" si="9"/>
        <v>1084100</v>
      </c>
      <c r="CB72" s="16">
        <v>0</v>
      </c>
      <c r="CC72" s="16">
        <v>1084100</v>
      </c>
      <c r="CD72" s="16">
        <f t="shared" si="10"/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v>0</v>
      </c>
      <c r="CK72" s="16">
        <f t="shared" si="11"/>
        <v>0</v>
      </c>
      <c r="CL72" s="16">
        <v>0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v>0</v>
      </c>
      <c r="CT72" s="16">
        <f t="shared" si="12"/>
        <v>0</v>
      </c>
      <c r="CU72" s="16">
        <f t="shared" si="13"/>
        <v>0</v>
      </c>
      <c r="CV72" s="16">
        <v>0</v>
      </c>
      <c r="CW72" s="17">
        <v>0</v>
      </c>
      <c r="CX72" s="40"/>
    </row>
    <row r="73" spans="1:102" ht="15.75" hidden="1" x14ac:dyDescent="0.25">
      <c r="A73" s="13" t="s">
        <v>50</v>
      </c>
      <c r="B73" s="14" t="s">
        <v>50</v>
      </c>
      <c r="C73" s="14" t="s">
        <v>1</v>
      </c>
      <c r="D73" s="30" t="s">
        <v>97</v>
      </c>
      <c r="E73" s="15">
        <f t="shared" ref="E73:BP73" si="67">SUM(E74)</f>
        <v>103702753</v>
      </c>
      <c r="F73" s="16">
        <f t="shared" si="67"/>
        <v>102902695</v>
      </c>
      <c r="G73" s="16">
        <f t="shared" si="67"/>
        <v>102469295</v>
      </c>
      <c r="H73" s="16">
        <f t="shared" si="67"/>
        <v>74259203</v>
      </c>
      <c r="I73" s="16">
        <f t="shared" si="67"/>
        <v>1006318</v>
      </c>
      <c r="J73" s="16">
        <f t="shared" si="67"/>
        <v>12906467</v>
      </c>
      <c r="K73" s="16">
        <f t="shared" si="67"/>
        <v>184304</v>
      </c>
      <c r="L73" s="16">
        <f t="shared" si="67"/>
        <v>6884857</v>
      </c>
      <c r="M73" s="16">
        <f t="shared" si="67"/>
        <v>850080</v>
      </c>
      <c r="N73" s="16">
        <f t="shared" si="67"/>
        <v>678883</v>
      </c>
      <c r="O73" s="16">
        <f t="shared" si="67"/>
        <v>4000000</v>
      </c>
      <c r="P73" s="16">
        <f t="shared" si="67"/>
        <v>308343</v>
      </c>
      <c r="Q73" s="16">
        <f t="shared" si="67"/>
        <v>4668876</v>
      </c>
      <c r="R73" s="16">
        <f t="shared" si="67"/>
        <v>68876</v>
      </c>
      <c r="S73" s="16">
        <f t="shared" si="67"/>
        <v>4600000</v>
      </c>
      <c r="T73" s="16">
        <f t="shared" si="67"/>
        <v>0</v>
      </c>
      <c r="U73" s="16">
        <f t="shared" si="67"/>
        <v>480000</v>
      </c>
      <c r="V73" s="16">
        <f t="shared" si="67"/>
        <v>763533</v>
      </c>
      <c r="W73" s="16">
        <f t="shared" si="67"/>
        <v>55801</v>
      </c>
      <c r="X73" s="16">
        <f t="shared" si="67"/>
        <v>223862</v>
      </c>
      <c r="Y73" s="16">
        <f t="shared" si="67"/>
        <v>408145</v>
      </c>
      <c r="Z73" s="16">
        <f t="shared" si="67"/>
        <v>39246</v>
      </c>
      <c r="AA73" s="16">
        <f t="shared" si="67"/>
        <v>26694</v>
      </c>
      <c r="AB73" s="16">
        <f t="shared" si="67"/>
        <v>0</v>
      </c>
      <c r="AC73" s="16">
        <f t="shared" si="67"/>
        <v>0</v>
      </c>
      <c r="AD73" s="16">
        <f t="shared" si="67"/>
        <v>9785</v>
      </c>
      <c r="AE73" s="16">
        <f t="shared" si="67"/>
        <v>8384898</v>
      </c>
      <c r="AF73" s="16">
        <f t="shared" si="67"/>
        <v>0</v>
      </c>
      <c r="AG73" s="16">
        <f t="shared" si="67"/>
        <v>87015</v>
      </c>
      <c r="AH73" s="16">
        <f t="shared" si="67"/>
        <v>323635</v>
      </c>
      <c r="AI73" s="16">
        <f t="shared" si="67"/>
        <v>0</v>
      </c>
      <c r="AJ73" s="16">
        <f t="shared" si="67"/>
        <v>39788</v>
      </c>
      <c r="AK73" s="16">
        <f t="shared" si="67"/>
        <v>80109</v>
      </c>
      <c r="AL73" s="16">
        <f t="shared" si="67"/>
        <v>15000</v>
      </c>
      <c r="AM73" s="16">
        <f t="shared" si="67"/>
        <v>91399</v>
      </c>
      <c r="AN73" s="16">
        <f t="shared" si="67"/>
        <v>18042</v>
      </c>
      <c r="AO73" s="16">
        <f t="shared" si="67"/>
        <v>0</v>
      </c>
      <c r="AP73" s="16">
        <f t="shared" si="67"/>
        <v>0</v>
      </c>
      <c r="AQ73" s="16">
        <f t="shared" si="67"/>
        <v>1018010</v>
      </c>
      <c r="AR73" s="16">
        <f t="shared" si="67"/>
        <v>0</v>
      </c>
      <c r="AS73" s="16">
        <f t="shared" si="67"/>
        <v>0</v>
      </c>
      <c r="AT73" s="16">
        <f t="shared" si="67"/>
        <v>0</v>
      </c>
      <c r="AU73" s="16">
        <f t="shared" si="67"/>
        <v>0</v>
      </c>
      <c r="AV73" s="16">
        <f t="shared" si="67"/>
        <v>0</v>
      </c>
      <c r="AW73" s="16">
        <f t="shared" si="67"/>
        <v>6300000</v>
      </c>
      <c r="AX73" s="16">
        <f t="shared" si="67"/>
        <v>36800</v>
      </c>
      <c r="AY73" s="16">
        <f t="shared" si="67"/>
        <v>0</v>
      </c>
      <c r="AZ73" s="16">
        <f t="shared" si="67"/>
        <v>375100</v>
      </c>
      <c r="BA73" s="16">
        <f t="shared" si="67"/>
        <v>433400</v>
      </c>
      <c r="BB73" s="16">
        <f t="shared" si="67"/>
        <v>0</v>
      </c>
      <c r="BC73" s="16">
        <f t="shared" si="67"/>
        <v>0</v>
      </c>
      <c r="BD73" s="16">
        <f t="shared" si="67"/>
        <v>0</v>
      </c>
      <c r="BE73" s="16">
        <f t="shared" si="67"/>
        <v>0</v>
      </c>
      <c r="BF73" s="16">
        <f t="shared" si="67"/>
        <v>0</v>
      </c>
      <c r="BG73" s="16">
        <f t="shared" si="67"/>
        <v>0</v>
      </c>
      <c r="BH73" s="16">
        <f t="shared" si="67"/>
        <v>0</v>
      </c>
      <c r="BI73" s="16">
        <f t="shared" si="67"/>
        <v>0</v>
      </c>
      <c r="BJ73" s="16">
        <f t="shared" si="67"/>
        <v>0</v>
      </c>
      <c r="BK73" s="16">
        <f t="shared" si="67"/>
        <v>133400</v>
      </c>
      <c r="BL73" s="16">
        <f t="shared" si="67"/>
        <v>133400</v>
      </c>
      <c r="BM73" s="16">
        <f t="shared" si="67"/>
        <v>300000</v>
      </c>
      <c r="BN73" s="16">
        <f t="shared" si="67"/>
        <v>0</v>
      </c>
      <c r="BO73" s="16">
        <f t="shared" si="67"/>
        <v>0</v>
      </c>
      <c r="BP73" s="16">
        <f t="shared" si="67"/>
        <v>0</v>
      </c>
      <c r="BQ73" s="16">
        <f t="shared" ref="BQ73:CW73" si="68">SUM(BQ74)</f>
        <v>0</v>
      </c>
      <c r="BR73" s="16">
        <f t="shared" si="68"/>
        <v>0</v>
      </c>
      <c r="BS73" s="16">
        <f t="shared" si="68"/>
        <v>0</v>
      </c>
      <c r="BT73" s="16">
        <f t="shared" si="68"/>
        <v>0</v>
      </c>
      <c r="BU73" s="16">
        <f t="shared" si="68"/>
        <v>0</v>
      </c>
      <c r="BV73" s="16">
        <f t="shared" si="68"/>
        <v>0</v>
      </c>
      <c r="BW73" s="16">
        <f t="shared" si="68"/>
        <v>0</v>
      </c>
      <c r="BX73" s="16">
        <f t="shared" si="68"/>
        <v>300000</v>
      </c>
      <c r="BY73" s="16">
        <f t="shared" si="68"/>
        <v>800058</v>
      </c>
      <c r="BZ73" s="16">
        <f t="shared" si="68"/>
        <v>800058</v>
      </c>
      <c r="CA73" s="16">
        <f t="shared" si="68"/>
        <v>800058</v>
      </c>
      <c r="CB73" s="16">
        <f t="shared" si="68"/>
        <v>0</v>
      </c>
      <c r="CC73" s="16">
        <f t="shared" si="68"/>
        <v>800058</v>
      </c>
      <c r="CD73" s="16">
        <f t="shared" si="68"/>
        <v>0</v>
      </c>
      <c r="CE73" s="16">
        <f t="shared" si="68"/>
        <v>0</v>
      </c>
      <c r="CF73" s="16">
        <f t="shared" si="68"/>
        <v>0</v>
      </c>
      <c r="CG73" s="16">
        <f t="shared" si="68"/>
        <v>0</v>
      </c>
      <c r="CH73" s="16">
        <f t="shared" si="68"/>
        <v>0</v>
      </c>
      <c r="CI73" s="16">
        <f t="shared" si="68"/>
        <v>0</v>
      </c>
      <c r="CJ73" s="16">
        <f t="shared" si="68"/>
        <v>0</v>
      </c>
      <c r="CK73" s="16">
        <f t="shared" si="68"/>
        <v>0</v>
      </c>
      <c r="CL73" s="16">
        <f t="shared" si="68"/>
        <v>0</v>
      </c>
      <c r="CM73" s="16">
        <f t="shared" si="68"/>
        <v>0</v>
      </c>
      <c r="CN73" s="16">
        <f t="shared" si="68"/>
        <v>0</v>
      </c>
      <c r="CO73" s="16">
        <f t="shared" si="68"/>
        <v>0</v>
      </c>
      <c r="CP73" s="16">
        <f t="shared" si="68"/>
        <v>0</v>
      </c>
      <c r="CQ73" s="16">
        <f t="shared" si="68"/>
        <v>0</v>
      </c>
      <c r="CR73" s="16">
        <f t="shared" si="68"/>
        <v>0</v>
      </c>
      <c r="CS73" s="16">
        <f t="shared" si="68"/>
        <v>0</v>
      </c>
      <c r="CT73" s="16">
        <f t="shared" si="68"/>
        <v>0</v>
      </c>
      <c r="CU73" s="16">
        <f t="shared" si="68"/>
        <v>0</v>
      </c>
      <c r="CV73" s="16">
        <f t="shared" si="68"/>
        <v>0</v>
      </c>
      <c r="CW73" s="17">
        <f t="shared" si="68"/>
        <v>0</v>
      </c>
      <c r="CX73" s="40"/>
    </row>
    <row r="74" spans="1:102" ht="31.5" hidden="1" x14ac:dyDescent="0.25">
      <c r="A74" s="13" t="s">
        <v>1</v>
      </c>
      <c r="B74" s="14" t="s">
        <v>1</v>
      </c>
      <c r="C74" s="14" t="s">
        <v>98</v>
      </c>
      <c r="D74" s="30" t="s">
        <v>99</v>
      </c>
      <c r="E74" s="15">
        <f>SUM(F74+BY74+CT74)</f>
        <v>103702753</v>
      </c>
      <c r="F74" s="16">
        <f>SUM(G74+BA74)</f>
        <v>102902695</v>
      </c>
      <c r="G74" s="16">
        <f>SUM(H74+I74+J74+Q74+T74+U74+V74+AE74)</f>
        <v>102469295</v>
      </c>
      <c r="H74" s="16">
        <f>69357765+4901438</f>
        <v>74259203</v>
      </c>
      <c r="I74" s="16">
        <f>900988+105330</f>
        <v>1006318</v>
      </c>
      <c r="J74" s="16">
        <f t="shared" si="4"/>
        <v>12906467</v>
      </c>
      <c r="K74" s="16">
        <v>184304</v>
      </c>
      <c r="L74" s="16">
        <v>6884857</v>
      </c>
      <c r="M74" s="16">
        <v>850080</v>
      </c>
      <c r="N74" s="16">
        <v>678883</v>
      </c>
      <c r="O74" s="16">
        <v>4000000</v>
      </c>
      <c r="P74" s="16">
        <v>308343</v>
      </c>
      <c r="Q74" s="16">
        <f t="shared" si="5"/>
        <v>4668876</v>
      </c>
      <c r="R74" s="16">
        <v>68876</v>
      </c>
      <c r="S74" s="16">
        <v>4600000</v>
      </c>
      <c r="T74" s="16">
        <v>0</v>
      </c>
      <c r="U74" s="16">
        <v>480000</v>
      </c>
      <c r="V74" s="16">
        <f>SUM(W74:AD74)</f>
        <v>763533</v>
      </c>
      <c r="W74" s="16">
        <v>55801</v>
      </c>
      <c r="X74" s="16">
        <v>223862</v>
      </c>
      <c r="Y74" s="16">
        <v>408145</v>
      </c>
      <c r="Z74" s="16">
        <v>39246</v>
      </c>
      <c r="AA74" s="16">
        <v>26694</v>
      </c>
      <c r="AB74" s="16">
        <v>0</v>
      </c>
      <c r="AC74" s="16">
        <v>0</v>
      </c>
      <c r="AD74" s="16">
        <v>9785</v>
      </c>
      <c r="AE74" s="16">
        <f>SUM(AF74:AZ74)</f>
        <v>8384898</v>
      </c>
      <c r="AF74" s="16">
        <v>0</v>
      </c>
      <c r="AG74" s="16">
        <v>87015</v>
      </c>
      <c r="AH74" s="16">
        <v>323635</v>
      </c>
      <c r="AI74" s="16">
        <v>0</v>
      </c>
      <c r="AJ74" s="16">
        <v>39788</v>
      </c>
      <c r="AK74" s="16">
        <v>80109</v>
      </c>
      <c r="AL74" s="16">
        <v>15000</v>
      </c>
      <c r="AM74" s="16">
        <v>91399</v>
      </c>
      <c r="AN74" s="16">
        <v>18042</v>
      </c>
      <c r="AO74" s="16">
        <v>0</v>
      </c>
      <c r="AP74" s="16">
        <v>0</v>
      </c>
      <c r="AQ74" s="16">
        <v>1018010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6300000</v>
      </c>
      <c r="AX74" s="16">
        <v>36800</v>
      </c>
      <c r="AY74" s="16">
        <v>0</v>
      </c>
      <c r="AZ74" s="16">
        <v>375100</v>
      </c>
      <c r="BA74" s="16">
        <f>SUM(BB74+BF74+BI74+BK74+BM74)</f>
        <v>433400</v>
      </c>
      <c r="BB74" s="16">
        <f>SUM(BC74:BE74)</f>
        <v>0</v>
      </c>
      <c r="BC74" s="16">
        <v>0</v>
      </c>
      <c r="BD74" s="16">
        <v>0</v>
      </c>
      <c r="BE74" s="16">
        <v>0</v>
      </c>
      <c r="BF74" s="16">
        <f t="shared" si="6"/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f t="shared" si="7"/>
        <v>133400</v>
      </c>
      <c r="BL74" s="16">
        <v>133400</v>
      </c>
      <c r="BM74" s="16">
        <f t="shared" si="8"/>
        <v>300000</v>
      </c>
      <c r="BN74" s="16">
        <v>0</v>
      </c>
      <c r="BO74" s="16">
        <v>0</v>
      </c>
      <c r="BP74" s="16">
        <v>0</v>
      </c>
      <c r="BQ74" s="16">
        <v>0</v>
      </c>
      <c r="BR74" s="16">
        <v>0</v>
      </c>
      <c r="BS74" s="16">
        <v>0</v>
      </c>
      <c r="BT74" s="16">
        <v>0</v>
      </c>
      <c r="BU74" s="16">
        <v>0</v>
      </c>
      <c r="BV74" s="16">
        <v>0</v>
      </c>
      <c r="BW74" s="16">
        <v>0</v>
      </c>
      <c r="BX74" s="16">
        <v>300000</v>
      </c>
      <c r="BY74" s="16">
        <f>SUM(BZ74+CS74)</f>
        <v>800058</v>
      </c>
      <c r="BZ74" s="16">
        <f>SUM(CA74+CD74+CK74)</f>
        <v>800058</v>
      </c>
      <c r="CA74" s="16">
        <f t="shared" si="9"/>
        <v>800058</v>
      </c>
      <c r="CB74" s="16">
        <v>0</v>
      </c>
      <c r="CC74" s="16">
        <f>1714370-914312</f>
        <v>800058</v>
      </c>
      <c r="CD74" s="16">
        <f t="shared" si="10"/>
        <v>0</v>
      </c>
      <c r="CE74" s="16">
        <v>0</v>
      </c>
      <c r="CF74" s="16">
        <v>0</v>
      </c>
      <c r="CG74" s="16">
        <v>0</v>
      </c>
      <c r="CH74" s="16">
        <v>0</v>
      </c>
      <c r="CI74" s="16">
        <v>0</v>
      </c>
      <c r="CJ74" s="16">
        <v>0</v>
      </c>
      <c r="CK74" s="16">
        <f t="shared" si="11"/>
        <v>0</v>
      </c>
      <c r="CL74" s="16">
        <v>0</v>
      </c>
      <c r="CM74" s="16">
        <v>0</v>
      </c>
      <c r="CN74" s="16">
        <v>0</v>
      </c>
      <c r="CO74" s="16">
        <v>0</v>
      </c>
      <c r="CP74" s="16">
        <v>0</v>
      </c>
      <c r="CQ74" s="16">
        <v>0</v>
      </c>
      <c r="CR74" s="16">
        <v>0</v>
      </c>
      <c r="CS74" s="16">
        <v>0</v>
      </c>
      <c r="CT74" s="16">
        <f t="shared" si="12"/>
        <v>0</v>
      </c>
      <c r="CU74" s="16">
        <f t="shared" si="13"/>
        <v>0</v>
      </c>
      <c r="CV74" s="16">
        <v>0</v>
      </c>
      <c r="CW74" s="17">
        <v>0</v>
      </c>
      <c r="CX74" s="40"/>
    </row>
    <row r="75" spans="1:102" ht="15.75" hidden="1" x14ac:dyDescent="0.25">
      <c r="A75" s="13" t="s">
        <v>50</v>
      </c>
      <c r="B75" s="14" t="s">
        <v>100</v>
      </c>
      <c r="C75" s="14" t="s">
        <v>1</v>
      </c>
      <c r="D75" s="30" t="s">
        <v>101</v>
      </c>
      <c r="E75" s="15">
        <f t="shared" ref="E75:BP75" si="69">SUM(E76)</f>
        <v>18903438</v>
      </c>
      <c r="F75" s="16">
        <f t="shared" si="69"/>
        <v>18226654</v>
      </c>
      <c r="G75" s="16">
        <f t="shared" si="69"/>
        <v>18219369</v>
      </c>
      <c r="H75" s="16">
        <f t="shared" si="69"/>
        <v>15212356</v>
      </c>
      <c r="I75" s="16">
        <f t="shared" si="69"/>
        <v>566318</v>
      </c>
      <c r="J75" s="16">
        <f t="shared" si="69"/>
        <v>1475820</v>
      </c>
      <c r="K75" s="16">
        <f t="shared" si="69"/>
        <v>0</v>
      </c>
      <c r="L75" s="16">
        <f t="shared" si="69"/>
        <v>660831</v>
      </c>
      <c r="M75" s="16">
        <f t="shared" si="69"/>
        <v>0</v>
      </c>
      <c r="N75" s="16">
        <f t="shared" si="69"/>
        <v>0</v>
      </c>
      <c r="O75" s="16">
        <f t="shared" si="69"/>
        <v>407944</v>
      </c>
      <c r="P75" s="16">
        <f t="shared" si="69"/>
        <v>407045</v>
      </c>
      <c r="Q75" s="16">
        <f t="shared" si="69"/>
        <v>9038</v>
      </c>
      <c r="R75" s="16">
        <f t="shared" si="69"/>
        <v>826</v>
      </c>
      <c r="S75" s="16">
        <f t="shared" si="69"/>
        <v>8212</v>
      </c>
      <c r="T75" s="16">
        <f t="shared" si="69"/>
        <v>0</v>
      </c>
      <c r="U75" s="16">
        <f t="shared" si="69"/>
        <v>253226</v>
      </c>
      <c r="V75" s="16">
        <f t="shared" si="69"/>
        <v>212427</v>
      </c>
      <c r="W75" s="16">
        <f t="shared" si="69"/>
        <v>49509</v>
      </c>
      <c r="X75" s="16">
        <f t="shared" si="69"/>
        <v>87262</v>
      </c>
      <c r="Y75" s="16">
        <f t="shared" si="69"/>
        <v>59214</v>
      </c>
      <c r="Z75" s="16">
        <f t="shared" si="69"/>
        <v>7820</v>
      </c>
      <c r="AA75" s="16">
        <f t="shared" si="69"/>
        <v>8622</v>
      </c>
      <c r="AB75" s="16">
        <f t="shared" si="69"/>
        <v>0</v>
      </c>
      <c r="AC75" s="16">
        <f t="shared" si="69"/>
        <v>0</v>
      </c>
      <c r="AD75" s="16">
        <f t="shared" si="69"/>
        <v>0</v>
      </c>
      <c r="AE75" s="16">
        <f t="shared" si="69"/>
        <v>490184</v>
      </c>
      <c r="AF75" s="16">
        <f t="shared" si="69"/>
        <v>0</v>
      </c>
      <c r="AG75" s="16">
        <f t="shared" si="69"/>
        <v>1976</v>
      </c>
      <c r="AH75" s="16">
        <f t="shared" si="69"/>
        <v>37809</v>
      </c>
      <c r="AI75" s="16">
        <f t="shared" si="69"/>
        <v>1591</v>
      </c>
      <c r="AJ75" s="16">
        <f t="shared" si="69"/>
        <v>0</v>
      </c>
      <c r="AK75" s="16">
        <f t="shared" si="69"/>
        <v>0</v>
      </c>
      <c r="AL75" s="16">
        <f t="shared" si="69"/>
        <v>0</v>
      </c>
      <c r="AM75" s="16">
        <f t="shared" si="69"/>
        <v>0</v>
      </c>
      <c r="AN75" s="16">
        <f t="shared" si="69"/>
        <v>14550</v>
      </c>
      <c r="AO75" s="16">
        <f t="shared" si="69"/>
        <v>2280</v>
      </c>
      <c r="AP75" s="16">
        <f t="shared" si="69"/>
        <v>0</v>
      </c>
      <c r="AQ75" s="16">
        <f t="shared" si="69"/>
        <v>0</v>
      </c>
      <c r="AR75" s="16">
        <f t="shared" si="69"/>
        <v>375000</v>
      </c>
      <c r="AS75" s="16">
        <f t="shared" si="69"/>
        <v>22200</v>
      </c>
      <c r="AT75" s="16">
        <f t="shared" si="69"/>
        <v>0</v>
      </c>
      <c r="AU75" s="16">
        <f t="shared" si="69"/>
        <v>0</v>
      </c>
      <c r="AV75" s="16">
        <f t="shared" si="69"/>
        <v>0</v>
      </c>
      <c r="AW75" s="16">
        <f t="shared" si="69"/>
        <v>17830</v>
      </c>
      <c r="AX75" s="16">
        <f t="shared" si="69"/>
        <v>10000</v>
      </c>
      <c r="AY75" s="16">
        <f t="shared" si="69"/>
        <v>0</v>
      </c>
      <c r="AZ75" s="16">
        <f t="shared" si="69"/>
        <v>6948</v>
      </c>
      <c r="BA75" s="16">
        <f t="shared" si="69"/>
        <v>7285</v>
      </c>
      <c r="BB75" s="16">
        <f t="shared" si="69"/>
        <v>0</v>
      </c>
      <c r="BC75" s="16">
        <f t="shared" si="69"/>
        <v>0</v>
      </c>
      <c r="BD75" s="16">
        <f t="shared" si="69"/>
        <v>0</v>
      </c>
      <c r="BE75" s="16">
        <f t="shared" si="69"/>
        <v>0</v>
      </c>
      <c r="BF75" s="16">
        <f t="shared" si="69"/>
        <v>0</v>
      </c>
      <c r="BG75" s="16">
        <f t="shared" si="69"/>
        <v>0</v>
      </c>
      <c r="BH75" s="16">
        <f t="shared" si="69"/>
        <v>0</v>
      </c>
      <c r="BI75" s="16">
        <f t="shared" si="69"/>
        <v>0</v>
      </c>
      <c r="BJ75" s="16">
        <f t="shared" si="69"/>
        <v>0</v>
      </c>
      <c r="BK75" s="16">
        <f t="shared" si="69"/>
        <v>0</v>
      </c>
      <c r="BL75" s="16">
        <f t="shared" si="69"/>
        <v>0</v>
      </c>
      <c r="BM75" s="16">
        <f t="shared" si="69"/>
        <v>7285</v>
      </c>
      <c r="BN75" s="16">
        <f t="shared" si="69"/>
        <v>0</v>
      </c>
      <c r="BO75" s="16">
        <f t="shared" si="69"/>
        <v>0</v>
      </c>
      <c r="BP75" s="16">
        <f t="shared" si="69"/>
        <v>0</v>
      </c>
      <c r="BQ75" s="16">
        <f t="shared" ref="BQ75:CW75" si="70">SUM(BQ76)</f>
        <v>0</v>
      </c>
      <c r="BR75" s="16">
        <f t="shared" si="70"/>
        <v>0</v>
      </c>
      <c r="BS75" s="16">
        <f t="shared" si="70"/>
        <v>0</v>
      </c>
      <c r="BT75" s="16">
        <f t="shared" si="70"/>
        <v>0</v>
      </c>
      <c r="BU75" s="16">
        <f t="shared" si="70"/>
        <v>0</v>
      </c>
      <c r="BV75" s="16">
        <f t="shared" si="70"/>
        <v>0</v>
      </c>
      <c r="BW75" s="16">
        <f t="shared" si="70"/>
        <v>7285</v>
      </c>
      <c r="BX75" s="16">
        <f t="shared" si="70"/>
        <v>0</v>
      </c>
      <c r="BY75" s="16">
        <f t="shared" si="70"/>
        <v>676784</v>
      </c>
      <c r="BZ75" s="16">
        <f t="shared" si="70"/>
        <v>676784</v>
      </c>
      <c r="CA75" s="16">
        <f t="shared" si="70"/>
        <v>676784</v>
      </c>
      <c r="CB75" s="16">
        <f t="shared" si="70"/>
        <v>0</v>
      </c>
      <c r="CC75" s="16">
        <f t="shared" si="70"/>
        <v>676784</v>
      </c>
      <c r="CD75" s="16">
        <f t="shared" si="70"/>
        <v>0</v>
      </c>
      <c r="CE75" s="16">
        <f t="shared" si="70"/>
        <v>0</v>
      </c>
      <c r="CF75" s="16">
        <f t="shared" si="70"/>
        <v>0</v>
      </c>
      <c r="CG75" s="16">
        <f t="shared" si="70"/>
        <v>0</v>
      </c>
      <c r="CH75" s="16">
        <f t="shared" si="70"/>
        <v>0</v>
      </c>
      <c r="CI75" s="16">
        <f t="shared" si="70"/>
        <v>0</v>
      </c>
      <c r="CJ75" s="16">
        <f t="shared" si="70"/>
        <v>0</v>
      </c>
      <c r="CK75" s="16">
        <f t="shared" si="70"/>
        <v>0</v>
      </c>
      <c r="CL75" s="16">
        <f t="shared" si="70"/>
        <v>0</v>
      </c>
      <c r="CM75" s="16">
        <f t="shared" si="70"/>
        <v>0</v>
      </c>
      <c r="CN75" s="16">
        <f t="shared" si="70"/>
        <v>0</v>
      </c>
      <c r="CO75" s="16">
        <f t="shared" si="70"/>
        <v>0</v>
      </c>
      <c r="CP75" s="16">
        <f t="shared" si="70"/>
        <v>0</v>
      </c>
      <c r="CQ75" s="16">
        <f t="shared" si="70"/>
        <v>0</v>
      </c>
      <c r="CR75" s="16">
        <f t="shared" si="70"/>
        <v>0</v>
      </c>
      <c r="CS75" s="16">
        <f t="shared" si="70"/>
        <v>0</v>
      </c>
      <c r="CT75" s="16">
        <f t="shared" si="70"/>
        <v>0</v>
      </c>
      <c r="CU75" s="16">
        <f t="shared" si="70"/>
        <v>0</v>
      </c>
      <c r="CV75" s="16">
        <f t="shared" si="70"/>
        <v>0</v>
      </c>
      <c r="CW75" s="17">
        <f t="shared" si="70"/>
        <v>0</v>
      </c>
      <c r="CX75" s="40"/>
    </row>
    <row r="76" spans="1:102" ht="15.75" hidden="1" x14ac:dyDescent="0.25">
      <c r="A76" s="13" t="s">
        <v>1</v>
      </c>
      <c r="B76" s="14" t="s">
        <v>1</v>
      </c>
      <c r="C76" s="14" t="s">
        <v>102</v>
      </c>
      <c r="D76" s="30" t="s">
        <v>103</v>
      </c>
      <c r="E76" s="15">
        <f>SUM(F76+BY76+CT76)</f>
        <v>18903438</v>
      </c>
      <c r="F76" s="16">
        <f>SUM(G76+BA76)</f>
        <v>18226654</v>
      </c>
      <c r="G76" s="16">
        <f>SUM(H76+I76+J76+Q76+T76+U76+V76+AE76)</f>
        <v>18219369</v>
      </c>
      <c r="H76" s="16">
        <f>15116357+95999</f>
        <v>15212356</v>
      </c>
      <c r="I76" s="16">
        <f>545155+21163</f>
        <v>566318</v>
      </c>
      <c r="J76" s="16">
        <f t="shared" ref="J76:J145" si="71">SUM(K76:P76)</f>
        <v>1475820</v>
      </c>
      <c r="K76" s="16">
        <v>0</v>
      </c>
      <c r="L76" s="16">
        <v>660831</v>
      </c>
      <c r="M76" s="16">
        <v>0</v>
      </c>
      <c r="N76" s="16">
        <v>0</v>
      </c>
      <c r="O76" s="16">
        <f>425774-17830</f>
        <v>407944</v>
      </c>
      <c r="P76" s="16">
        <f>300947+106098</f>
        <v>407045</v>
      </c>
      <c r="Q76" s="16">
        <f t="shared" ref="Q76:Q145" si="72">SUM(R76:S76)</f>
        <v>9038</v>
      </c>
      <c r="R76" s="16">
        <v>826</v>
      </c>
      <c r="S76" s="16">
        <v>8212</v>
      </c>
      <c r="T76" s="16">
        <v>0</v>
      </c>
      <c r="U76" s="16">
        <v>253226</v>
      </c>
      <c r="V76" s="16">
        <f>SUM(W76:AD76)</f>
        <v>212427</v>
      </c>
      <c r="W76" s="16">
        <v>49509</v>
      </c>
      <c r="X76" s="16">
        <v>87262</v>
      </c>
      <c r="Y76" s="16">
        <v>59214</v>
      </c>
      <c r="Z76" s="16">
        <v>7820</v>
      </c>
      <c r="AA76" s="16">
        <v>8622</v>
      </c>
      <c r="AB76" s="16">
        <v>0</v>
      </c>
      <c r="AC76" s="16">
        <v>0</v>
      </c>
      <c r="AD76" s="16">
        <v>0</v>
      </c>
      <c r="AE76" s="16">
        <f>SUM(AF76:AZ76)</f>
        <v>490184</v>
      </c>
      <c r="AF76" s="16">
        <v>0</v>
      </c>
      <c r="AG76" s="16">
        <v>1976</v>
      </c>
      <c r="AH76" s="16">
        <v>37809</v>
      </c>
      <c r="AI76" s="16">
        <v>1591</v>
      </c>
      <c r="AJ76" s="16">
        <v>0</v>
      </c>
      <c r="AK76" s="16">
        <v>0</v>
      </c>
      <c r="AL76" s="16">
        <f>161098-161098</f>
        <v>0</v>
      </c>
      <c r="AM76" s="16">
        <v>0</v>
      </c>
      <c r="AN76" s="16">
        <v>14550</v>
      </c>
      <c r="AO76" s="16">
        <v>2280</v>
      </c>
      <c r="AP76" s="16"/>
      <c r="AQ76" s="16">
        <v>0</v>
      </c>
      <c r="AR76" s="16">
        <v>375000</v>
      </c>
      <c r="AS76" s="16">
        <v>22200</v>
      </c>
      <c r="AT76" s="16">
        <v>0</v>
      </c>
      <c r="AU76" s="16">
        <v>0</v>
      </c>
      <c r="AV76" s="16">
        <v>0</v>
      </c>
      <c r="AW76" s="16">
        <f>0+17830</f>
        <v>17830</v>
      </c>
      <c r="AX76" s="16">
        <v>10000</v>
      </c>
      <c r="AY76" s="16"/>
      <c r="AZ76" s="16">
        <f>4948+2000</f>
        <v>6948</v>
      </c>
      <c r="BA76" s="16">
        <f>SUM(BB76+BF76+BI76+BK76+BM76)</f>
        <v>7285</v>
      </c>
      <c r="BB76" s="16">
        <f>SUM(BC76:BE76)</f>
        <v>0</v>
      </c>
      <c r="BC76" s="16">
        <v>0</v>
      </c>
      <c r="BD76" s="16">
        <v>0</v>
      </c>
      <c r="BE76" s="16">
        <v>0</v>
      </c>
      <c r="BF76" s="16">
        <f t="shared" ref="BF76:BF145" si="73">SUM(BG76:BH76)</f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f t="shared" ref="BK76:BK145" si="74">SUM(BL76)</f>
        <v>0</v>
      </c>
      <c r="BL76" s="16">
        <v>0</v>
      </c>
      <c r="BM76" s="16">
        <f t="shared" ref="BM76:BM145" si="75">SUM(BN76:BX76)</f>
        <v>7285</v>
      </c>
      <c r="BN76" s="16">
        <v>0</v>
      </c>
      <c r="BO76" s="16"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7285</v>
      </c>
      <c r="BX76" s="16">
        <v>0</v>
      </c>
      <c r="BY76" s="16">
        <f>SUM(BZ76+CS76)</f>
        <v>676784</v>
      </c>
      <c r="BZ76" s="16">
        <f>SUM(CA76+CD76+CK76)</f>
        <v>676784</v>
      </c>
      <c r="CA76" s="16">
        <f t="shared" ref="CA76:CA145" si="76">SUM(CB76:CC76)</f>
        <v>676784</v>
      </c>
      <c r="CB76" s="16">
        <v>0</v>
      </c>
      <c r="CC76" s="16">
        <f>623784+53000</f>
        <v>676784</v>
      </c>
      <c r="CD76" s="16">
        <f t="shared" ref="CD76:CD145" si="77">SUM(CE76:CI76)</f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f t="shared" ref="CK76:CK145" si="78">SUM(CL76:CP76)</f>
        <v>0</v>
      </c>
      <c r="CL76" s="16">
        <v>0</v>
      </c>
      <c r="CM76" s="16">
        <v>0</v>
      </c>
      <c r="CN76" s="16">
        <v>0</v>
      </c>
      <c r="CO76" s="16">
        <v>0</v>
      </c>
      <c r="CP76" s="16">
        <v>0</v>
      </c>
      <c r="CQ76" s="16"/>
      <c r="CR76" s="16"/>
      <c r="CS76" s="16">
        <v>0</v>
      </c>
      <c r="CT76" s="16">
        <f t="shared" ref="CT76:CT145" si="79">SUM(CU76)</f>
        <v>0</v>
      </c>
      <c r="CU76" s="16">
        <f t="shared" ref="CU76:CU145" si="80">SUM(CV76:CW76)</f>
        <v>0</v>
      </c>
      <c r="CV76" s="16">
        <v>0</v>
      </c>
      <c r="CW76" s="17">
        <v>0</v>
      </c>
      <c r="CX76" s="40"/>
    </row>
    <row r="77" spans="1:102" ht="31.5" hidden="1" x14ac:dyDescent="0.25">
      <c r="A77" s="13" t="s">
        <v>50</v>
      </c>
      <c r="B77" s="14" t="s">
        <v>54</v>
      </c>
      <c r="C77" s="14" t="s">
        <v>1</v>
      </c>
      <c r="D77" s="30" t="s">
        <v>104</v>
      </c>
      <c r="E77" s="15">
        <f t="shared" ref="E77:AJ77" si="81">SUM(E78)</f>
        <v>27112458</v>
      </c>
      <c r="F77" s="16">
        <f t="shared" si="81"/>
        <v>26021927</v>
      </c>
      <c r="G77" s="16">
        <f t="shared" si="81"/>
        <v>26012168</v>
      </c>
      <c r="H77" s="16">
        <f t="shared" si="81"/>
        <v>21000000</v>
      </c>
      <c r="I77" s="16">
        <f t="shared" si="81"/>
        <v>1150805</v>
      </c>
      <c r="J77" s="16">
        <f t="shared" si="81"/>
        <v>2411610</v>
      </c>
      <c r="K77" s="16">
        <f t="shared" si="81"/>
        <v>0</v>
      </c>
      <c r="L77" s="16">
        <f t="shared" si="81"/>
        <v>608859</v>
      </c>
      <c r="M77" s="16">
        <f t="shared" si="81"/>
        <v>0</v>
      </c>
      <c r="N77" s="16">
        <f t="shared" si="81"/>
        <v>0</v>
      </c>
      <c r="O77" s="16">
        <f t="shared" si="81"/>
        <v>737485</v>
      </c>
      <c r="P77" s="16">
        <f t="shared" si="81"/>
        <v>1065266</v>
      </c>
      <c r="Q77" s="16">
        <f t="shared" si="81"/>
        <v>1127</v>
      </c>
      <c r="R77" s="16">
        <f t="shared" si="81"/>
        <v>1127</v>
      </c>
      <c r="S77" s="16">
        <f t="shared" si="81"/>
        <v>0</v>
      </c>
      <c r="T77" s="16">
        <f t="shared" si="81"/>
        <v>0</v>
      </c>
      <c r="U77" s="16">
        <f t="shared" si="81"/>
        <v>194708</v>
      </c>
      <c r="V77" s="16">
        <f t="shared" si="81"/>
        <v>116828</v>
      </c>
      <c r="W77" s="16">
        <f t="shared" si="81"/>
        <v>35575</v>
      </c>
      <c r="X77" s="16">
        <f t="shared" si="81"/>
        <v>17420</v>
      </c>
      <c r="Y77" s="16">
        <f t="shared" si="81"/>
        <v>30181</v>
      </c>
      <c r="Z77" s="16">
        <f t="shared" si="81"/>
        <v>4415</v>
      </c>
      <c r="AA77" s="16">
        <f t="shared" si="81"/>
        <v>3782</v>
      </c>
      <c r="AB77" s="16">
        <f t="shared" si="81"/>
        <v>17520</v>
      </c>
      <c r="AC77" s="16">
        <f t="shared" si="81"/>
        <v>0</v>
      </c>
      <c r="AD77" s="16">
        <f t="shared" si="81"/>
        <v>7935</v>
      </c>
      <c r="AE77" s="16">
        <f t="shared" si="81"/>
        <v>1137090</v>
      </c>
      <c r="AF77" s="16">
        <f t="shared" si="81"/>
        <v>0</v>
      </c>
      <c r="AG77" s="16">
        <f t="shared" si="81"/>
        <v>206340</v>
      </c>
      <c r="AH77" s="16">
        <f t="shared" si="81"/>
        <v>48322</v>
      </c>
      <c r="AI77" s="16">
        <f t="shared" si="81"/>
        <v>0</v>
      </c>
      <c r="AJ77" s="16">
        <f t="shared" si="81"/>
        <v>13181</v>
      </c>
      <c r="AK77" s="16">
        <f t="shared" ref="AK77:CV77" si="82">SUM(AK78)</f>
        <v>39053</v>
      </c>
      <c r="AL77" s="16">
        <f t="shared" si="82"/>
        <v>0</v>
      </c>
      <c r="AM77" s="16">
        <f t="shared" si="82"/>
        <v>100000</v>
      </c>
      <c r="AN77" s="16">
        <f t="shared" si="82"/>
        <v>18042</v>
      </c>
      <c r="AO77" s="16">
        <f t="shared" si="82"/>
        <v>24815</v>
      </c>
      <c r="AP77" s="16">
        <f t="shared" si="82"/>
        <v>0</v>
      </c>
      <c r="AQ77" s="16">
        <f t="shared" si="82"/>
        <v>0</v>
      </c>
      <c r="AR77" s="16">
        <f t="shared" si="82"/>
        <v>174188</v>
      </c>
      <c r="AS77" s="16">
        <f t="shared" si="82"/>
        <v>0</v>
      </c>
      <c r="AT77" s="16">
        <f t="shared" si="82"/>
        <v>0</v>
      </c>
      <c r="AU77" s="16">
        <f t="shared" si="82"/>
        <v>0</v>
      </c>
      <c r="AV77" s="16">
        <f t="shared" si="82"/>
        <v>0</v>
      </c>
      <c r="AW77" s="16">
        <f t="shared" si="82"/>
        <v>0</v>
      </c>
      <c r="AX77" s="16">
        <f t="shared" si="82"/>
        <v>0</v>
      </c>
      <c r="AY77" s="16">
        <f t="shared" si="82"/>
        <v>0</v>
      </c>
      <c r="AZ77" s="16">
        <f t="shared" si="82"/>
        <v>513149</v>
      </c>
      <c r="BA77" s="16">
        <f t="shared" si="82"/>
        <v>9759</v>
      </c>
      <c r="BB77" s="16">
        <f t="shared" si="82"/>
        <v>0</v>
      </c>
      <c r="BC77" s="16">
        <f t="shared" si="82"/>
        <v>0</v>
      </c>
      <c r="BD77" s="16">
        <f t="shared" si="82"/>
        <v>0</v>
      </c>
      <c r="BE77" s="16">
        <f t="shared" si="82"/>
        <v>0</v>
      </c>
      <c r="BF77" s="16">
        <f t="shared" si="82"/>
        <v>0</v>
      </c>
      <c r="BG77" s="16">
        <f t="shared" si="82"/>
        <v>0</v>
      </c>
      <c r="BH77" s="16">
        <f t="shared" si="82"/>
        <v>0</v>
      </c>
      <c r="BI77" s="16">
        <f t="shared" si="82"/>
        <v>0</v>
      </c>
      <c r="BJ77" s="16">
        <f t="shared" si="82"/>
        <v>0</v>
      </c>
      <c r="BK77" s="16">
        <f t="shared" si="82"/>
        <v>0</v>
      </c>
      <c r="BL77" s="16">
        <f t="shared" si="82"/>
        <v>0</v>
      </c>
      <c r="BM77" s="16">
        <f t="shared" si="82"/>
        <v>9759</v>
      </c>
      <c r="BN77" s="16">
        <f t="shared" si="82"/>
        <v>0</v>
      </c>
      <c r="BO77" s="16">
        <f t="shared" si="82"/>
        <v>0</v>
      </c>
      <c r="BP77" s="16">
        <f t="shared" si="82"/>
        <v>0</v>
      </c>
      <c r="BQ77" s="16">
        <f t="shared" si="82"/>
        <v>0</v>
      </c>
      <c r="BR77" s="16">
        <f t="shared" si="82"/>
        <v>0</v>
      </c>
      <c r="BS77" s="16">
        <f t="shared" si="82"/>
        <v>0</v>
      </c>
      <c r="BT77" s="16">
        <f t="shared" si="82"/>
        <v>0</v>
      </c>
      <c r="BU77" s="16">
        <f t="shared" si="82"/>
        <v>0</v>
      </c>
      <c r="BV77" s="16">
        <f t="shared" si="82"/>
        <v>0</v>
      </c>
      <c r="BW77" s="16">
        <f t="shared" si="82"/>
        <v>9759</v>
      </c>
      <c r="BX77" s="16">
        <f t="shared" si="82"/>
        <v>0</v>
      </c>
      <c r="BY77" s="16">
        <f t="shared" si="82"/>
        <v>1090531</v>
      </c>
      <c r="BZ77" s="16">
        <f t="shared" si="82"/>
        <v>1090531</v>
      </c>
      <c r="CA77" s="16">
        <f t="shared" si="82"/>
        <v>790531</v>
      </c>
      <c r="CB77" s="16">
        <f t="shared" si="82"/>
        <v>0</v>
      </c>
      <c r="CC77" s="16">
        <f t="shared" si="82"/>
        <v>790531</v>
      </c>
      <c r="CD77" s="16">
        <f t="shared" si="82"/>
        <v>0</v>
      </c>
      <c r="CE77" s="16">
        <f t="shared" si="82"/>
        <v>0</v>
      </c>
      <c r="CF77" s="16">
        <f t="shared" si="82"/>
        <v>0</v>
      </c>
      <c r="CG77" s="16">
        <f t="shared" si="82"/>
        <v>0</v>
      </c>
      <c r="CH77" s="16">
        <f t="shared" si="82"/>
        <v>0</v>
      </c>
      <c r="CI77" s="16">
        <f t="shared" si="82"/>
        <v>0</v>
      </c>
      <c r="CJ77" s="16">
        <f t="shared" si="82"/>
        <v>0</v>
      </c>
      <c r="CK77" s="16">
        <f t="shared" si="82"/>
        <v>300000</v>
      </c>
      <c r="CL77" s="16">
        <f t="shared" si="82"/>
        <v>0</v>
      </c>
      <c r="CM77" s="16">
        <f t="shared" si="82"/>
        <v>0</v>
      </c>
      <c r="CN77" s="16">
        <f t="shared" si="82"/>
        <v>0</v>
      </c>
      <c r="CO77" s="16">
        <f t="shared" si="82"/>
        <v>300000</v>
      </c>
      <c r="CP77" s="16">
        <f t="shared" si="82"/>
        <v>0</v>
      </c>
      <c r="CQ77" s="16">
        <f>SUM(CQ78)</f>
        <v>0</v>
      </c>
      <c r="CR77" s="16">
        <f>SUM(CR78)</f>
        <v>0</v>
      </c>
      <c r="CS77" s="16">
        <f t="shared" si="82"/>
        <v>0</v>
      </c>
      <c r="CT77" s="16">
        <f t="shared" si="82"/>
        <v>0</v>
      </c>
      <c r="CU77" s="16">
        <f t="shared" si="82"/>
        <v>0</v>
      </c>
      <c r="CV77" s="16">
        <f t="shared" si="82"/>
        <v>0</v>
      </c>
      <c r="CW77" s="17">
        <f t="shared" ref="CW77" si="83">SUM(CW78)</f>
        <v>0</v>
      </c>
      <c r="CX77" s="40"/>
    </row>
    <row r="78" spans="1:102" ht="15.75" hidden="1" x14ac:dyDescent="0.25">
      <c r="A78" s="13" t="s">
        <v>1</v>
      </c>
      <c r="B78" s="14" t="s">
        <v>1</v>
      </c>
      <c r="C78" s="14" t="s">
        <v>105</v>
      </c>
      <c r="D78" s="30" t="s">
        <v>106</v>
      </c>
      <c r="E78" s="15">
        <f>SUM(F78+BY78+CT78)</f>
        <v>27112458</v>
      </c>
      <c r="F78" s="16">
        <f>SUM(G78+BA78)</f>
        <v>26021927</v>
      </c>
      <c r="G78" s="16">
        <f>SUM(H78+I78+J78+Q78+T78+U78+V78+AE78)</f>
        <v>26012168</v>
      </c>
      <c r="H78" s="16">
        <f>17399118+3600882</f>
        <v>21000000</v>
      </c>
      <c r="I78" s="16">
        <v>1150805</v>
      </c>
      <c r="J78" s="16">
        <f t="shared" si="71"/>
        <v>2411610</v>
      </c>
      <c r="K78" s="16">
        <v>0</v>
      </c>
      <c r="L78" s="16">
        <f>908859-300000</f>
        <v>608859</v>
      </c>
      <c r="M78" s="16">
        <v>0</v>
      </c>
      <c r="N78" s="16">
        <v>0</v>
      </c>
      <c r="O78" s="16">
        <v>737485</v>
      </c>
      <c r="P78" s="16">
        <f>695266+370000</f>
        <v>1065266</v>
      </c>
      <c r="Q78" s="16">
        <f t="shared" si="72"/>
        <v>1127</v>
      </c>
      <c r="R78" s="16">
        <v>1127</v>
      </c>
      <c r="S78" s="16">
        <v>0</v>
      </c>
      <c r="T78" s="16">
        <v>0</v>
      </c>
      <c r="U78" s="16">
        <v>194708</v>
      </c>
      <c r="V78" s="16">
        <f>SUM(W78:AD78)</f>
        <v>116828</v>
      </c>
      <c r="W78" s="16">
        <v>35575</v>
      </c>
      <c r="X78" s="16">
        <v>17420</v>
      </c>
      <c r="Y78" s="16">
        <v>30181</v>
      </c>
      <c r="Z78" s="16">
        <v>4415</v>
      </c>
      <c r="AA78" s="16">
        <v>3782</v>
      </c>
      <c r="AB78" s="16">
        <v>17520</v>
      </c>
      <c r="AC78" s="16">
        <v>0</v>
      </c>
      <c r="AD78" s="16">
        <v>7935</v>
      </c>
      <c r="AE78" s="16">
        <f>SUM(AF78:AZ78)</f>
        <v>1137090</v>
      </c>
      <c r="AF78" s="16">
        <v>0</v>
      </c>
      <c r="AG78" s="16">
        <v>206340</v>
      </c>
      <c r="AH78" s="16">
        <v>48322</v>
      </c>
      <c r="AI78" s="16">
        <v>0</v>
      </c>
      <c r="AJ78" s="16">
        <v>13181</v>
      </c>
      <c r="AK78" s="16">
        <f>0+39053</f>
        <v>39053</v>
      </c>
      <c r="AL78" s="16">
        <f>139053-139053</f>
        <v>0</v>
      </c>
      <c r="AM78" s="16">
        <f>0+100000</f>
        <v>100000</v>
      </c>
      <c r="AN78" s="16">
        <v>18042</v>
      </c>
      <c r="AO78" s="16">
        <v>24815</v>
      </c>
      <c r="AP78" s="16"/>
      <c r="AQ78" s="16">
        <v>0</v>
      </c>
      <c r="AR78" s="16">
        <v>174188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/>
      <c r="AZ78" s="16">
        <f>283149+230000</f>
        <v>513149</v>
      </c>
      <c r="BA78" s="16">
        <f>SUM(BB78+BF78+BI78+BK78+BM78)</f>
        <v>9759</v>
      </c>
      <c r="BB78" s="16">
        <f>SUM(BC78:BE78)</f>
        <v>0</v>
      </c>
      <c r="BC78" s="16">
        <v>0</v>
      </c>
      <c r="BD78" s="16">
        <v>0</v>
      </c>
      <c r="BE78" s="16">
        <v>0</v>
      </c>
      <c r="BF78" s="16">
        <f t="shared" si="73"/>
        <v>0</v>
      </c>
      <c r="BG78" s="16">
        <v>0</v>
      </c>
      <c r="BH78" s="16">
        <v>0</v>
      </c>
      <c r="BI78" s="16">
        <v>0</v>
      </c>
      <c r="BJ78" s="16">
        <v>0</v>
      </c>
      <c r="BK78" s="16">
        <f t="shared" si="74"/>
        <v>0</v>
      </c>
      <c r="BL78" s="16">
        <v>0</v>
      </c>
      <c r="BM78" s="16">
        <f t="shared" si="75"/>
        <v>9759</v>
      </c>
      <c r="BN78" s="16">
        <v>0</v>
      </c>
      <c r="BO78" s="16">
        <v>0</v>
      </c>
      <c r="BP78" s="16">
        <v>0</v>
      </c>
      <c r="BQ78" s="16">
        <v>0</v>
      </c>
      <c r="BR78" s="16">
        <v>0</v>
      </c>
      <c r="BS78" s="16">
        <v>0</v>
      </c>
      <c r="BT78" s="16">
        <v>0</v>
      </c>
      <c r="BU78" s="16">
        <v>0</v>
      </c>
      <c r="BV78" s="16">
        <v>0</v>
      </c>
      <c r="BW78" s="16">
        <v>9759</v>
      </c>
      <c r="BX78" s="16">
        <v>0</v>
      </c>
      <c r="BY78" s="16">
        <f>SUM(BZ78+CS78)</f>
        <v>1090531</v>
      </c>
      <c r="BZ78" s="16">
        <f>SUM(CA78+CD78+CK78)</f>
        <v>1090531</v>
      </c>
      <c r="CA78" s="16">
        <f t="shared" si="76"/>
        <v>790531</v>
      </c>
      <c r="CB78" s="16">
        <v>0</v>
      </c>
      <c r="CC78" s="16">
        <f>1390531-600000</f>
        <v>790531</v>
      </c>
      <c r="CD78" s="16">
        <f t="shared" si="77"/>
        <v>0</v>
      </c>
      <c r="CE78" s="16">
        <v>0</v>
      </c>
      <c r="CF78" s="16">
        <v>0</v>
      </c>
      <c r="CG78" s="16">
        <v>0</v>
      </c>
      <c r="CH78" s="16">
        <v>0</v>
      </c>
      <c r="CI78" s="16">
        <v>0</v>
      </c>
      <c r="CJ78" s="16">
        <v>0</v>
      </c>
      <c r="CK78" s="16">
        <f t="shared" si="78"/>
        <v>300000</v>
      </c>
      <c r="CL78" s="16">
        <v>0</v>
      </c>
      <c r="CM78" s="16">
        <v>0</v>
      </c>
      <c r="CN78" s="16">
        <v>0</v>
      </c>
      <c r="CO78" s="16">
        <f>0+300000</f>
        <v>300000</v>
      </c>
      <c r="CP78" s="16">
        <v>0</v>
      </c>
      <c r="CQ78" s="16"/>
      <c r="CR78" s="16"/>
      <c r="CS78" s="16">
        <v>0</v>
      </c>
      <c r="CT78" s="16">
        <f t="shared" si="79"/>
        <v>0</v>
      </c>
      <c r="CU78" s="16">
        <f t="shared" si="80"/>
        <v>0</v>
      </c>
      <c r="CV78" s="16">
        <v>0</v>
      </c>
      <c r="CW78" s="17">
        <v>0</v>
      </c>
      <c r="CX78" s="40"/>
    </row>
    <row r="79" spans="1:102" ht="15.75" hidden="1" x14ac:dyDescent="0.25">
      <c r="A79" s="13" t="s">
        <v>50</v>
      </c>
      <c r="B79" s="14" t="s">
        <v>107</v>
      </c>
      <c r="C79" s="14" t="s">
        <v>1</v>
      </c>
      <c r="D79" s="30" t="s">
        <v>108</v>
      </c>
      <c r="E79" s="15">
        <f t="shared" ref="E79:AJ79" si="84">SUM(E80)</f>
        <v>6813807</v>
      </c>
      <c r="F79" s="16">
        <f t="shared" si="84"/>
        <v>6714624</v>
      </c>
      <c r="G79" s="16">
        <f t="shared" si="84"/>
        <v>6708106</v>
      </c>
      <c r="H79" s="16">
        <f t="shared" si="84"/>
        <v>4917301</v>
      </c>
      <c r="I79" s="16">
        <f t="shared" si="84"/>
        <v>991754</v>
      </c>
      <c r="J79" s="16">
        <f t="shared" si="84"/>
        <v>337203</v>
      </c>
      <c r="K79" s="16">
        <f t="shared" si="84"/>
        <v>0</v>
      </c>
      <c r="L79" s="16">
        <f t="shared" si="84"/>
        <v>60905</v>
      </c>
      <c r="M79" s="16">
        <f t="shared" si="84"/>
        <v>0</v>
      </c>
      <c r="N79" s="16">
        <f t="shared" si="84"/>
        <v>0</v>
      </c>
      <c r="O79" s="16">
        <f t="shared" si="84"/>
        <v>209046</v>
      </c>
      <c r="P79" s="16">
        <f t="shared" si="84"/>
        <v>67252</v>
      </c>
      <c r="Q79" s="16">
        <f t="shared" si="84"/>
        <v>2259</v>
      </c>
      <c r="R79" s="16">
        <f t="shared" si="84"/>
        <v>2259</v>
      </c>
      <c r="S79" s="16">
        <f t="shared" si="84"/>
        <v>0</v>
      </c>
      <c r="T79" s="16">
        <f t="shared" si="84"/>
        <v>0</v>
      </c>
      <c r="U79" s="16">
        <f t="shared" si="84"/>
        <v>186901</v>
      </c>
      <c r="V79" s="16">
        <f t="shared" si="84"/>
        <v>69427</v>
      </c>
      <c r="W79" s="16">
        <f t="shared" si="84"/>
        <v>5430</v>
      </c>
      <c r="X79" s="16">
        <f t="shared" si="84"/>
        <v>35008</v>
      </c>
      <c r="Y79" s="16">
        <f t="shared" si="84"/>
        <v>19564</v>
      </c>
      <c r="Z79" s="16">
        <f t="shared" si="84"/>
        <v>2306</v>
      </c>
      <c r="AA79" s="16">
        <f t="shared" si="84"/>
        <v>6699</v>
      </c>
      <c r="AB79" s="16">
        <f t="shared" si="84"/>
        <v>0</v>
      </c>
      <c r="AC79" s="16">
        <f t="shared" si="84"/>
        <v>0</v>
      </c>
      <c r="AD79" s="16">
        <f t="shared" si="84"/>
        <v>420</v>
      </c>
      <c r="AE79" s="16">
        <f t="shared" si="84"/>
        <v>203261</v>
      </c>
      <c r="AF79" s="16">
        <f t="shared" si="84"/>
        <v>0</v>
      </c>
      <c r="AG79" s="16">
        <f t="shared" si="84"/>
        <v>15129</v>
      </c>
      <c r="AH79" s="16">
        <f t="shared" si="84"/>
        <v>15936</v>
      </c>
      <c r="AI79" s="16">
        <f t="shared" si="84"/>
        <v>0</v>
      </c>
      <c r="AJ79" s="16">
        <f t="shared" si="84"/>
        <v>1591</v>
      </c>
      <c r="AK79" s="16">
        <f t="shared" ref="AK79:CV79" si="85">SUM(AK80)</f>
        <v>0</v>
      </c>
      <c r="AL79" s="16">
        <f t="shared" si="85"/>
        <v>49591</v>
      </c>
      <c r="AM79" s="16">
        <f t="shared" si="85"/>
        <v>34955</v>
      </c>
      <c r="AN79" s="16">
        <f t="shared" si="85"/>
        <v>15627</v>
      </c>
      <c r="AO79" s="16">
        <f t="shared" si="85"/>
        <v>55065</v>
      </c>
      <c r="AP79" s="16">
        <f t="shared" si="85"/>
        <v>0</v>
      </c>
      <c r="AQ79" s="16">
        <f t="shared" si="85"/>
        <v>0</v>
      </c>
      <c r="AR79" s="16">
        <f t="shared" si="85"/>
        <v>15367</v>
      </c>
      <c r="AS79" s="16">
        <f t="shared" si="85"/>
        <v>0</v>
      </c>
      <c r="AT79" s="16">
        <f t="shared" si="85"/>
        <v>0</v>
      </c>
      <c r="AU79" s="16">
        <f t="shared" si="85"/>
        <v>0</v>
      </c>
      <c r="AV79" s="16">
        <f t="shared" si="85"/>
        <v>0</v>
      </c>
      <c r="AW79" s="16">
        <f t="shared" si="85"/>
        <v>0</v>
      </c>
      <c r="AX79" s="16">
        <f t="shared" si="85"/>
        <v>0</v>
      </c>
      <c r="AY79" s="16">
        <f t="shared" si="85"/>
        <v>0</v>
      </c>
      <c r="AZ79" s="16">
        <f t="shared" si="85"/>
        <v>0</v>
      </c>
      <c r="BA79" s="16">
        <f t="shared" si="85"/>
        <v>6518</v>
      </c>
      <c r="BB79" s="16">
        <f t="shared" si="85"/>
        <v>0</v>
      </c>
      <c r="BC79" s="16">
        <f t="shared" si="85"/>
        <v>0</v>
      </c>
      <c r="BD79" s="16">
        <f t="shared" si="85"/>
        <v>0</v>
      </c>
      <c r="BE79" s="16">
        <f t="shared" si="85"/>
        <v>0</v>
      </c>
      <c r="BF79" s="16">
        <f t="shared" si="85"/>
        <v>0</v>
      </c>
      <c r="BG79" s="16">
        <f t="shared" si="85"/>
        <v>0</v>
      </c>
      <c r="BH79" s="16">
        <f t="shared" si="85"/>
        <v>0</v>
      </c>
      <c r="BI79" s="16">
        <f t="shared" si="85"/>
        <v>0</v>
      </c>
      <c r="BJ79" s="16">
        <f t="shared" si="85"/>
        <v>0</v>
      </c>
      <c r="BK79" s="16">
        <f t="shared" si="85"/>
        <v>0</v>
      </c>
      <c r="BL79" s="16">
        <f t="shared" si="85"/>
        <v>0</v>
      </c>
      <c r="BM79" s="16">
        <f t="shared" si="85"/>
        <v>6518</v>
      </c>
      <c r="BN79" s="16">
        <f t="shared" si="85"/>
        <v>0</v>
      </c>
      <c r="BO79" s="16">
        <f t="shared" si="85"/>
        <v>0</v>
      </c>
      <c r="BP79" s="16">
        <f t="shared" si="85"/>
        <v>0</v>
      </c>
      <c r="BQ79" s="16">
        <f t="shared" si="85"/>
        <v>0</v>
      </c>
      <c r="BR79" s="16">
        <f t="shared" si="85"/>
        <v>0</v>
      </c>
      <c r="BS79" s="16">
        <f t="shared" si="85"/>
        <v>0</v>
      </c>
      <c r="BT79" s="16">
        <f t="shared" si="85"/>
        <v>0</v>
      </c>
      <c r="BU79" s="16">
        <f t="shared" si="85"/>
        <v>0</v>
      </c>
      <c r="BV79" s="16">
        <f t="shared" si="85"/>
        <v>0</v>
      </c>
      <c r="BW79" s="16">
        <f t="shared" si="85"/>
        <v>6518</v>
      </c>
      <c r="BX79" s="16">
        <f t="shared" si="85"/>
        <v>0</v>
      </c>
      <c r="BY79" s="16">
        <f t="shared" si="85"/>
        <v>99183</v>
      </c>
      <c r="BZ79" s="16">
        <f t="shared" si="85"/>
        <v>99183</v>
      </c>
      <c r="CA79" s="16">
        <f t="shared" si="85"/>
        <v>99183</v>
      </c>
      <c r="CB79" s="16">
        <f t="shared" si="85"/>
        <v>0</v>
      </c>
      <c r="CC79" s="16">
        <f t="shared" si="85"/>
        <v>99183</v>
      </c>
      <c r="CD79" s="16">
        <f t="shared" si="85"/>
        <v>0</v>
      </c>
      <c r="CE79" s="16">
        <f t="shared" si="85"/>
        <v>0</v>
      </c>
      <c r="CF79" s="16">
        <f t="shared" si="85"/>
        <v>0</v>
      </c>
      <c r="CG79" s="16">
        <f t="shared" si="85"/>
        <v>0</v>
      </c>
      <c r="CH79" s="16">
        <f t="shared" si="85"/>
        <v>0</v>
      </c>
      <c r="CI79" s="16">
        <f t="shared" si="85"/>
        <v>0</v>
      </c>
      <c r="CJ79" s="16">
        <f t="shared" si="85"/>
        <v>0</v>
      </c>
      <c r="CK79" s="16">
        <f t="shared" si="85"/>
        <v>0</v>
      </c>
      <c r="CL79" s="16">
        <f t="shared" si="85"/>
        <v>0</v>
      </c>
      <c r="CM79" s="16">
        <f t="shared" si="85"/>
        <v>0</v>
      </c>
      <c r="CN79" s="16">
        <f t="shared" si="85"/>
        <v>0</v>
      </c>
      <c r="CO79" s="16">
        <f t="shared" si="85"/>
        <v>0</v>
      </c>
      <c r="CP79" s="16">
        <f t="shared" si="85"/>
        <v>0</v>
      </c>
      <c r="CQ79" s="16">
        <f t="shared" si="85"/>
        <v>0</v>
      </c>
      <c r="CR79" s="16">
        <f t="shared" si="85"/>
        <v>0</v>
      </c>
      <c r="CS79" s="16">
        <f t="shared" si="85"/>
        <v>0</v>
      </c>
      <c r="CT79" s="16">
        <f t="shared" si="85"/>
        <v>0</v>
      </c>
      <c r="CU79" s="16">
        <f t="shared" si="85"/>
        <v>0</v>
      </c>
      <c r="CV79" s="16">
        <f t="shared" si="85"/>
        <v>0</v>
      </c>
      <c r="CW79" s="17">
        <f t="shared" ref="CW79" si="86">SUM(CW80)</f>
        <v>0</v>
      </c>
      <c r="CX79" s="40"/>
    </row>
    <row r="80" spans="1:102" ht="15.75" hidden="1" x14ac:dyDescent="0.25">
      <c r="A80" s="13" t="s">
        <v>1</v>
      </c>
      <c r="B80" s="14" t="s">
        <v>1</v>
      </c>
      <c r="C80" s="14" t="s">
        <v>109</v>
      </c>
      <c r="D80" s="30" t="s">
        <v>110</v>
      </c>
      <c r="E80" s="15">
        <f>SUM(F80+BY80+CT80)</f>
        <v>6813807</v>
      </c>
      <c r="F80" s="16">
        <f>SUM(G80+BA80)</f>
        <v>6714624</v>
      </c>
      <c r="G80" s="16">
        <f>SUM(H80+I80+J80+Q80+T80+U80+V80+AE80)</f>
        <v>6708106</v>
      </c>
      <c r="H80" s="16">
        <v>4917301</v>
      </c>
      <c r="I80" s="16">
        <v>991754</v>
      </c>
      <c r="J80" s="16">
        <f t="shared" si="71"/>
        <v>337203</v>
      </c>
      <c r="K80" s="16">
        <v>0</v>
      </c>
      <c r="L80" s="16">
        <v>60905</v>
      </c>
      <c r="M80" s="16">
        <v>0</v>
      </c>
      <c r="N80" s="16">
        <v>0</v>
      </c>
      <c r="O80" s="16">
        <v>209046</v>
      </c>
      <c r="P80" s="16">
        <v>67252</v>
      </c>
      <c r="Q80" s="16">
        <f t="shared" si="72"/>
        <v>2259</v>
      </c>
      <c r="R80" s="16">
        <v>2259</v>
      </c>
      <c r="S80" s="16">
        <v>0</v>
      </c>
      <c r="T80" s="16">
        <v>0</v>
      </c>
      <c r="U80" s="16">
        <v>186901</v>
      </c>
      <c r="V80" s="16">
        <f>SUM(W80:AD80)</f>
        <v>69427</v>
      </c>
      <c r="W80" s="16">
        <v>5430</v>
      </c>
      <c r="X80" s="16">
        <v>35008</v>
      </c>
      <c r="Y80" s="16">
        <v>19564</v>
      </c>
      <c r="Z80" s="16">
        <v>2306</v>
      </c>
      <c r="AA80" s="16">
        <v>6699</v>
      </c>
      <c r="AB80" s="16">
        <v>0</v>
      </c>
      <c r="AC80" s="16">
        <v>0</v>
      </c>
      <c r="AD80" s="16">
        <v>420</v>
      </c>
      <c r="AE80" s="16">
        <f>SUM(AF80:AZ80)</f>
        <v>203261</v>
      </c>
      <c r="AF80" s="16">
        <v>0</v>
      </c>
      <c r="AG80" s="16">
        <v>15129</v>
      </c>
      <c r="AH80" s="16">
        <v>15936</v>
      </c>
      <c r="AI80" s="16">
        <v>0</v>
      </c>
      <c r="AJ80" s="16">
        <v>1591</v>
      </c>
      <c r="AK80" s="16">
        <v>0</v>
      </c>
      <c r="AL80" s="16">
        <v>49591</v>
      </c>
      <c r="AM80" s="16">
        <v>34955</v>
      </c>
      <c r="AN80" s="16">
        <v>15627</v>
      </c>
      <c r="AO80" s="16">
        <v>55065</v>
      </c>
      <c r="AP80" s="16"/>
      <c r="AQ80" s="16">
        <v>0</v>
      </c>
      <c r="AR80" s="16">
        <v>15367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/>
      <c r="AZ80" s="16">
        <v>0</v>
      </c>
      <c r="BA80" s="16">
        <f>SUM(BB80+BF80+BI80+BK80+BM80)</f>
        <v>6518</v>
      </c>
      <c r="BB80" s="16">
        <f>SUM(BC80:BE80)</f>
        <v>0</v>
      </c>
      <c r="BC80" s="16">
        <v>0</v>
      </c>
      <c r="BD80" s="16">
        <v>0</v>
      </c>
      <c r="BE80" s="16">
        <v>0</v>
      </c>
      <c r="BF80" s="16">
        <f t="shared" si="73"/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f t="shared" si="74"/>
        <v>0</v>
      </c>
      <c r="BL80" s="16">
        <v>0</v>
      </c>
      <c r="BM80" s="16">
        <f t="shared" si="75"/>
        <v>6518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6">
        <v>0</v>
      </c>
      <c r="BU80" s="16">
        <v>0</v>
      </c>
      <c r="BV80" s="16">
        <v>0</v>
      </c>
      <c r="BW80" s="16">
        <v>6518</v>
      </c>
      <c r="BX80" s="16">
        <v>0</v>
      </c>
      <c r="BY80" s="16">
        <f>SUM(BZ80+CS80)</f>
        <v>99183</v>
      </c>
      <c r="BZ80" s="16">
        <f>SUM(CA80+CD80+CK80)</f>
        <v>99183</v>
      </c>
      <c r="CA80" s="16">
        <f t="shared" si="76"/>
        <v>99183</v>
      </c>
      <c r="CB80" s="16">
        <v>0</v>
      </c>
      <c r="CC80" s="16">
        <v>99183</v>
      </c>
      <c r="CD80" s="16">
        <f t="shared" si="77"/>
        <v>0</v>
      </c>
      <c r="CE80" s="16">
        <v>0</v>
      </c>
      <c r="CF80" s="16">
        <v>0</v>
      </c>
      <c r="CG80" s="16">
        <v>0</v>
      </c>
      <c r="CH80" s="16">
        <v>0</v>
      </c>
      <c r="CI80" s="16">
        <v>0</v>
      </c>
      <c r="CJ80" s="16">
        <v>0</v>
      </c>
      <c r="CK80" s="16">
        <f t="shared" si="78"/>
        <v>0</v>
      </c>
      <c r="CL80" s="16">
        <v>0</v>
      </c>
      <c r="CM80" s="16">
        <v>0</v>
      </c>
      <c r="CN80" s="16">
        <v>0</v>
      </c>
      <c r="CO80" s="16">
        <v>0</v>
      </c>
      <c r="CP80" s="16">
        <v>0</v>
      </c>
      <c r="CQ80" s="16"/>
      <c r="CR80" s="16"/>
      <c r="CS80" s="16">
        <v>0</v>
      </c>
      <c r="CT80" s="16">
        <f t="shared" si="79"/>
        <v>0</v>
      </c>
      <c r="CU80" s="16">
        <f t="shared" si="80"/>
        <v>0</v>
      </c>
      <c r="CV80" s="16">
        <v>0</v>
      </c>
      <c r="CW80" s="17">
        <v>0</v>
      </c>
      <c r="CX80" s="40"/>
    </row>
    <row r="81" spans="1:102" ht="15.75" hidden="1" x14ac:dyDescent="0.25">
      <c r="A81" s="13" t="s">
        <v>50</v>
      </c>
      <c r="B81" s="14" t="s">
        <v>111</v>
      </c>
      <c r="C81" s="14" t="s">
        <v>1</v>
      </c>
      <c r="D81" s="30" t="s">
        <v>112</v>
      </c>
      <c r="E81" s="15">
        <f t="shared" ref="E81:BP81" si="87">SUM(E82)</f>
        <v>27439337</v>
      </c>
      <c r="F81" s="16">
        <f t="shared" si="87"/>
        <v>27003590</v>
      </c>
      <c r="G81" s="16">
        <f t="shared" si="87"/>
        <v>26545690</v>
      </c>
      <c r="H81" s="16">
        <f t="shared" si="87"/>
        <v>21418309</v>
      </c>
      <c r="I81" s="16">
        <f t="shared" si="87"/>
        <v>17441</v>
      </c>
      <c r="J81" s="16">
        <f t="shared" si="87"/>
        <v>3236194</v>
      </c>
      <c r="K81" s="16">
        <f t="shared" si="87"/>
        <v>8400</v>
      </c>
      <c r="L81" s="16">
        <f t="shared" si="87"/>
        <v>292442</v>
      </c>
      <c r="M81" s="16">
        <f t="shared" si="87"/>
        <v>0</v>
      </c>
      <c r="N81" s="16">
        <f t="shared" si="87"/>
        <v>0</v>
      </c>
      <c r="O81" s="16">
        <f t="shared" si="87"/>
        <v>2824635</v>
      </c>
      <c r="P81" s="16">
        <f t="shared" si="87"/>
        <v>110717</v>
      </c>
      <c r="Q81" s="16">
        <f t="shared" si="87"/>
        <v>298640</v>
      </c>
      <c r="R81" s="16">
        <f t="shared" si="87"/>
        <v>0</v>
      </c>
      <c r="S81" s="16">
        <f t="shared" si="87"/>
        <v>298640</v>
      </c>
      <c r="T81" s="16">
        <f t="shared" si="87"/>
        <v>0</v>
      </c>
      <c r="U81" s="16">
        <f t="shared" si="87"/>
        <v>104221</v>
      </c>
      <c r="V81" s="16">
        <f t="shared" si="87"/>
        <v>115720</v>
      </c>
      <c r="W81" s="16">
        <f t="shared" si="87"/>
        <v>63694</v>
      </c>
      <c r="X81" s="16">
        <f t="shared" si="87"/>
        <v>0</v>
      </c>
      <c r="Y81" s="16">
        <f t="shared" si="87"/>
        <v>35778</v>
      </c>
      <c r="Z81" s="16">
        <f t="shared" si="87"/>
        <v>7397</v>
      </c>
      <c r="AA81" s="16">
        <f t="shared" si="87"/>
        <v>4515</v>
      </c>
      <c r="AB81" s="16">
        <f t="shared" si="87"/>
        <v>0</v>
      </c>
      <c r="AC81" s="16">
        <f t="shared" si="87"/>
        <v>0</v>
      </c>
      <c r="AD81" s="16">
        <f t="shared" si="87"/>
        <v>4336</v>
      </c>
      <c r="AE81" s="16">
        <f t="shared" si="87"/>
        <v>1355165</v>
      </c>
      <c r="AF81" s="16">
        <f t="shared" si="87"/>
        <v>0</v>
      </c>
      <c r="AG81" s="16">
        <f t="shared" si="87"/>
        <v>0</v>
      </c>
      <c r="AH81" s="16">
        <f t="shared" si="87"/>
        <v>19640</v>
      </c>
      <c r="AI81" s="16">
        <f t="shared" si="87"/>
        <v>0</v>
      </c>
      <c r="AJ81" s="16">
        <f t="shared" si="87"/>
        <v>1591</v>
      </c>
      <c r="AK81" s="16">
        <f t="shared" si="87"/>
        <v>0</v>
      </c>
      <c r="AL81" s="16">
        <f t="shared" si="87"/>
        <v>217873</v>
      </c>
      <c r="AM81" s="16">
        <f t="shared" si="87"/>
        <v>4555</v>
      </c>
      <c r="AN81" s="16">
        <f t="shared" si="87"/>
        <v>52380</v>
      </c>
      <c r="AO81" s="16">
        <f t="shared" si="87"/>
        <v>0</v>
      </c>
      <c r="AP81" s="16">
        <f t="shared" si="87"/>
        <v>0</v>
      </c>
      <c r="AQ81" s="16">
        <f t="shared" si="87"/>
        <v>41355</v>
      </c>
      <c r="AR81" s="16">
        <f t="shared" si="87"/>
        <v>0</v>
      </c>
      <c r="AS81" s="16">
        <f t="shared" si="87"/>
        <v>20448</v>
      </c>
      <c r="AT81" s="16">
        <f t="shared" si="87"/>
        <v>0</v>
      </c>
      <c r="AU81" s="16">
        <f t="shared" si="87"/>
        <v>0</v>
      </c>
      <c r="AV81" s="16">
        <f t="shared" si="87"/>
        <v>0</v>
      </c>
      <c r="AW81" s="16">
        <f t="shared" si="87"/>
        <v>954751</v>
      </c>
      <c r="AX81" s="16">
        <f t="shared" si="87"/>
        <v>0</v>
      </c>
      <c r="AY81" s="16">
        <f t="shared" si="87"/>
        <v>0</v>
      </c>
      <c r="AZ81" s="16">
        <f t="shared" si="87"/>
        <v>42572</v>
      </c>
      <c r="BA81" s="16">
        <f t="shared" si="87"/>
        <v>457900</v>
      </c>
      <c r="BB81" s="16">
        <f t="shared" si="87"/>
        <v>0</v>
      </c>
      <c r="BC81" s="16">
        <f t="shared" si="87"/>
        <v>0</v>
      </c>
      <c r="BD81" s="16">
        <f t="shared" si="87"/>
        <v>0</v>
      </c>
      <c r="BE81" s="16">
        <f t="shared" si="87"/>
        <v>0</v>
      </c>
      <c r="BF81" s="16">
        <f t="shared" si="87"/>
        <v>0</v>
      </c>
      <c r="BG81" s="16">
        <f t="shared" si="87"/>
        <v>0</v>
      </c>
      <c r="BH81" s="16">
        <f t="shared" si="87"/>
        <v>0</v>
      </c>
      <c r="BI81" s="16">
        <f t="shared" si="87"/>
        <v>0</v>
      </c>
      <c r="BJ81" s="16">
        <f t="shared" si="87"/>
        <v>0</v>
      </c>
      <c r="BK81" s="16">
        <f t="shared" si="87"/>
        <v>6328</v>
      </c>
      <c r="BL81" s="16">
        <f t="shared" si="87"/>
        <v>6328</v>
      </c>
      <c r="BM81" s="16">
        <f t="shared" si="87"/>
        <v>451572</v>
      </c>
      <c r="BN81" s="16">
        <f t="shared" si="87"/>
        <v>0</v>
      </c>
      <c r="BO81" s="16">
        <f t="shared" si="87"/>
        <v>0</v>
      </c>
      <c r="BP81" s="16">
        <f t="shared" si="87"/>
        <v>0</v>
      </c>
      <c r="BQ81" s="16">
        <f t="shared" ref="BQ81:CW81" si="88">SUM(BQ82)</f>
        <v>0</v>
      </c>
      <c r="BR81" s="16">
        <f t="shared" si="88"/>
        <v>0</v>
      </c>
      <c r="BS81" s="16">
        <f t="shared" si="88"/>
        <v>0</v>
      </c>
      <c r="BT81" s="16">
        <f t="shared" si="88"/>
        <v>0</v>
      </c>
      <c r="BU81" s="16">
        <f t="shared" si="88"/>
        <v>0</v>
      </c>
      <c r="BV81" s="16">
        <f t="shared" si="88"/>
        <v>0</v>
      </c>
      <c r="BW81" s="16">
        <f t="shared" si="88"/>
        <v>0</v>
      </c>
      <c r="BX81" s="16">
        <f t="shared" si="88"/>
        <v>451572</v>
      </c>
      <c r="BY81" s="16">
        <f t="shared" si="88"/>
        <v>435747</v>
      </c>
      <c r="BZ81" s="16">
        <f t="shared" si="88"/>
        <v>435747</v>
      </c>
      <c r="CA81" s="16">
        <f t="shared" si="88"/>
        <v>435747</v>
      </c>
      <c r="CB81" s="16">
        <f t="shared" si="88"/>
        <v>0</v>
      </c>
      <c r="CC81" s="16">
        <f t="shared" si="88"/>
        <v>435747</v>
      </c>
      <c r="CD81" s="16">
        <f t="shared" si="88"/>
        <v>0</v>
      </c>
      <c r="CE81" s="16">
        <f t="shared" si="88"/>
        <v>0</v>
      </c>
      <c r="CF81" s="16">
        <f t="shared" si="88"/>
        <v>0</v>
      </c>
      <c r="CG81" s="16">
        <f t="shared" si="88"/>
        <v>0</v>
      </c>
      <c r="CH81" s="16">
        <f t="shared" si="88"/>
        <v>0</v>
      </c>
      <c r="CI81" s="16">
        <f t="shared" si="88"/>
        <v>0</v>
      </c>
      <c r="CJ81" s="16">
        <f t="shared" si="88"/>
        <v>0</v>
      </c>
      <c r="CK81" s="16">
        <f t="shared" si="88"/>
        <v>0</v>
      </c>
      <c r="CL81" s="16">
        <f t="shared" si="88"/>
        <v>0</v>
      </c>
      <c r="CM81" s="16">
        <f t="shared" si="88"/>
        <v>0</v>
      </c>
      <c r="CN81" s="16">
        <f t="shared" si="88"/>
        <v>0</v>
      </c>
      <c r="CO81" s="16">
        <f t="shared" si="88"/>
        <v>0</v>
      </c>
      <c r="CP81" s="16">
        <f t="shared" si="88"/>
        <v>0</v>
      </c>
      <c r="CQ81" s="16">
        <f t="shared" si="88"/>
        <v>0</v>
      </c>
      <c r="CR81" s="16">
        <f t="shared" si="88"/>
        <v>0</v>
      </c>
      <c r="CS81" s="16">
        <f t="shared" si="88"/>
        <v>0</v>
      </c>
      <c r="CT81" s="16">
        <f t="shared" si="88"/>
        <v>0</v>
      </c>
      <c r="CU81" s="16">
        <f t="shared" si="88"/>
        <v>0</v>
      </c>
      <c r="CV81" s="16">
        <f t="shared" si="88"/>
        <v>0</v>
      </c>
      <c r="CW81" s="17">
        <f t="shared" si="88"/>
        <v>0</v>
      </c>
      <c r="CX81" s="40"/>
    </row>
    <row r="82" spans="1:102" ht="15.75" hidden="1" x14ac:dyDescent="0.25">
      <c r="A82" s="13" t="s">
        <v>1</v>
      </c>
      <c r="B82" s="14" t="s">
        <v>1</v>
      </c>
      <c r="C82" s="14" t="s">
        <v>113</v>
      </c>
      <c r="D82" s="30" t="s">
        <v>114</v>
      </c>
      <c r="E82" s="15">
        <f>SUM(F82+BY82+CT82)</f>
        <v>27439337</v>
      </c>
      <c r="F82" s="16">
        <f>SUM(G82+BA82)</f>
        <v>27003590</v>
      </c>
      <c r="G82" s="16">
        <f>SUM(H82+I82+J82+Q82+T82+U82+V82+AE82)</f>
        <v>26545690</v>
      </c>
      <c r="H82" s="16">
        <v>21418309</v>
      </c>
      <c r="I82" s="16">
        <v>17441</v>
      </c>
      <c r="J82" s="16">
        <f t="shared" si="71"/>
        <v>3236194</v>
      </c>
      <c r="K82" s="16">
        <v>8400</v>
      </c>
      <c r="L82" s="16">
        <v>292442</v>
      </c>
      <c r="M82" s="16">
        <v>0</v>
      </c>
      <c r="N82" s="16">
        <v>0</v>
      </c>
      <c r="O82" s="16">
        <v>2824635</v>
      </c>
      <c r="P82" s="16">
        <v>110717</v>
      </c>
      <c r="Q82" s="16">
        <f t="shared" si="72"/>
        <v>298640</v>
      </c>
      <c r="R82" s="16">
        <v>0</v>
      </c>
      <c r="S82" s="16">
        <v>298640</v>
      </c>
      <c r="T82" s="16">
        <v>0</v>
      </c>
      <c r="U82" s="16">
        <v>104221</v>
      </c>
      <c r="V82" s="16">
        <f>SUM(W82:AD82)</f>
        <v>115720</v>
      </c>
      <c r="W82" s="16">
        <v>63694</v>
      </c>
      <c r="X82" s="16">
        <v>0</v>
      </c>
      <c r="Y82" s="16">
        <v>35778</v>
      </c>
      <c r="Z82" s="16">
        <v>7397</v>
      </c>
      <c r="AA82" s="16">
        <v>4515</v>
      </c>
      <c r="AB82" s="16">
        <v>0</v>
      </c>
      <c r="AC82" s="16">
        <v>0</v>
      </c>
      <c r="AD82" s="16">
        <v>4336</v>
      </c>
      <c r="AE82" s="16">
        <f>SUM(AF82:AZ82)</f>
        <v>1355165</v>
      </c>
      <c r="AF82" s="16">
        <v>0</v>
      </c>
      <c r="AG82" s="16">
        <v>0</v>
      </c>
      <c r="AH82" s="16">
        <v>19640</v>
      </c>
      <c r="AI82" s="16">
        <v>0</v>
      </c>
      <c r="AJ82" s="16">
        <v>1591</v>
      </c>
      <c r="AK82" s="16">
        <v>0</v>
      </c>
      <c r="AL82" s="16">
        <v>217873</v>
      </c>
      <c r="AM82" s="16">
        <v>4555</v>
      </c>
      <c r="AN82" s="16">
        <v>52380</v>
      </c>
      <c r="AO82" s="16">
        <v>0</v>
      </c>
      <c r="AP82" s="16">
        <v>0</v>
      </c>
      <c r="AQ82" s="16">
        <v>41355</v>
      </c>
      <c r="AR82" s="16">
        <v>0</v>
      </c>
      <c r="AS82" s="16">
        <v>20448</v>
      </c>
      <c r="AT82" s="16">
        <v>0</v>
      </c>
      <c r="AU82" s="16">
        <v>0</v>
      </c>
      <c r="AV82" s="16">
        <v>0</v>
      </c>
      <c r="AW82" s="16">
        <v>954751</v>
      </c>
      <c r="AX82" s="16">
        <v>0</v>
      </c>
      <c r="AY82" s="16">
        <v>0</v>
      </c>
      <c r="AZ82" s="16">
        <f>12572+30000</f>
        <v>42572</v>
      </c>
      <c r="BA82" s="16">
        <f>SUM(BB82+BF82+BI82+BK82+BM82)</f>
        <v>457900</v>
      </c>
      <c r="BB82" s="16">
        <f>SUM(BC82:BE82)</f>
        <v>0</v>
      </c>
      <c r="BC82" s="16">
        <v>0</v>
      </c>
      <c r="BD82" s="16">
        <v>0</v>
      </c>
      <c r="BE82" s="16">
        <v>0</v>
      </c>
      <c r="BF82" s="16">
        <f t="shared" si="73"/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f t="shared" si="74"/>
        <v>6328</v>
      </c>
      <c r="BL82" s="16">
        <v>6328</v>
      </c>
      <c r="BM82" s="16">
        <f t="shared" si="75"/>
        <v>451572</v>
      </c>
      <c r="BN82" s="16">
        <v>0</v>
      </c>
      <c r="BO82" s="16">
        <v>0</v>
      </c>
      <c r="BP82" s="16">
        <v>0</v>
      </c>
      <c r="BQ82" s="16">
        <v>0</v>
      </c>
      <c r="BR82" s="16">
        <v>0</v>
      </c>
      <c r="BS82" s="16">
        <v>0</v>
      </c>
      <c r="BT82" s="16">
        <v>0</v>
      </c>
      <c r="BU82" s="16">
        <v>0</v>
      </c>
      <c r="BV82" s="16">
        <v>0</v>
      </c>
      <c r="BW82" s="16">
        <v>0</v>
      </c>
      <c r="BX82" s="16">
        <f>481572-30000</f>
        <v>451572</v>
      </c>
      <c r="BY82" s="16">
        <f>SUM(BZ82+CS82)</f>
        <v>435747</v>
      </c>
      <c r="BZ82" s="16">
        <f>SUM(CA82+CD82+CK82)</f>
        <v>435747</v>
      </c>
      <c r="CA82" s="16">
        <f t="shared" si="76"/>
        <v>435747</v>
      </c>
      <c r="CB82" s="16">
        <v>0</v>
      </c>
      <c r="CC82" s="16">
        <v>435747</v>
      </c>
      <c r="CD82" s="16">
        <f t="shared" si="77"/>
        <v>0</v>
      </c>
      <c r="CE82" s="16">
        <v>0</v>
      </c>
      <c r="CF82" s="16">
        <v>0</v>
      </c>
      <c r="CG82" s="16">
        <v>0</v>
      </c>
      <c r="CH82" s="16">
        <v>0</v>
      </c>
      <c r="CI82" s="16">
        <v>0</v>
      </c>
      <c r="CJ82" s="16">
        <v>0</v>
      </c>
      <c r="CK82" s="16">
        <f t="shared" si="78"/>
        <v>0</v>
      </c>
      <c r="CL82" s="16">
        <v>0</v>
      </c>
      <c r="CM82" s="16">
        <v>0</v>
      </c>
      <c r="CN82" s="16">
        <v>0</v>
      </c>
      <c r="CO82" s="16">
        <v>0</v>
      </c>
      <c r="CP82" s="16">
        <v>0</v>
      </c>
      <c r="CQ82" s="16">
        <v>0</v>
      </c>
      <c r="CR82" s="16">
        <v>0</v>
      </c>
      <c r="CS82" s="16">
        <v>0</v>
      </c>
      <c r="CT82" s="16">
        <f t="shared" si="79"/>
        <v>0</v>
      </c>
      <c r="CU82" s="16">
        <f t="shared" si="80"/>
        <v>0</v>
      </c>
      <c r="CV82" s="16">
        <v>0</v>
      </c>
      <c r="CW82" s="17">
        <v>0</v>
      </c>
      <c r="CX82" s="40"/>
    </row>
    <row r="83" spans="1:102" ht="31.5" hidden="1" x14ac:dyDescent="0.25">
      <c r="A83" s="18" t="s">
        <v>115</v>
      </c>
      <c r="B83" s="19" t="s">
        <v>1</v>
      </c>
      <c r="C83" s="19" t="s">
        <v>1</v>
      </c>
      <c r="D83" s="31" t="s">
        <v>116</v>
      </c>
      <c r="E83" s="20">
        <f>SUM(E84+E87)</f>
        <v>19460736</v>
      </c>
      <c r="F83" s="21">
        <f t="shared" ref="F83:BS83" si="89">SUM(F84+F87)</f>
        <v>19441257</v>
      </c>
      <c r="G83" s="21">
        <f t="shared" si="89"/>
        <v>19427601</v>
      </c>
      <c r="H83" s="21">
        <f t="shared" si="89"/>
        <v>8497142</v>
      </c>
      <c r="I83" s="21">
        <f t="shared" si="89"/>
        <v>2058886</v>
      </c>
      <c r="J83" s="21">
        <f t="shared" si="89"/>
        <v>268389</v>
      </c>
      <c r="K83" s="21">
        <f t="shared" si="89"/>
        <v>0</v>
      </c>
      <c r="L83" s="21">
        <f t="shared" si="89"/>
        <v>0</v>
      </c>
      <c r="M83" s="21">
        <f t="shared" si="89"/>
        <v>0</v>
      </c>
      <c r="N83" s="21">
        <f t="shared" si="89"/>
        <v>0</v>
      </c>
      <c r="O83" s="21">
        <f t="shared" si="89"/>
        <v>248967</v>
      </c>
      <c r="P83" s="21">
        <f t="shared" si="89"/>
        <v>19422</v>
      </c>
      <c r="Q83" s="21">
        <f t="shared" si="89"/>
        <v>3330</v>
      </c>
      <c r="R83" s="21">
        <f t="shared" si="89"/>
        <v>1594</v>
      </c>
      <c r="S83" s="21">
        <f t="shared" si="89"/>
        <v>1736</v>
      </c>
      <c r="T83" s="21">
        <f t="shared" si="89"/>
        <v>0</v>
      </c>
      <c r="U83" s="21">
        <f t="shared" si="89"/>
        <v>52351</v>
      </c>
      <c r="V83" s="21">
        <f t="shared" si="89"/>
        <v>250372</v>
      </c>
      <c r="W83" s="21">
        <f t="shared" si="89"/>
        <v>0</v>
      </c>
      <c r="X83" s="21">
        <f t="shared" si="89"/>
        <v>146919</v>
      </c>
      <c r="Y83" s="21">
        <f t="shared" si="89"/>
        <v>64230</v>
      </c>
      <c r="Z83" s="21">
        <f t="shared" si="89"/>
        <v>36484</v>
      </c>
      <c r="AA83" s="21">
        <f t="shared" si="89"/>
        <v>2648</v>
      </c>
      <c r="AB83" s="21">
        <f t="shared" si="89"/>
        <v>0</v>
      </c>
      <c r="AC83" s="21">
        <f t="shared" si="89"/>
        <v>0</v>
      </c>
      <c r="AD83" s="21">
        <f t="shared" si="89"/>
        <v>91</v>
      </c>
      <c r="AE83" s="21">
        <f t="shared" si="89"/>
        <v>8297131</v>
      </c>
      <c r="AF83" s="21">
        <f t="shared" si="89"/>
        <v>8198891</v>
      </c>
      <c r="AG83" s="21">
        <f t="shared" si="89"/>
        <v>4246</v>
      </c>
      <c r="AH83" s="21">
        <f t="shared" si="89"/>
        <v>0</v>
      </c>
      <c r="AI83" s="21">
        <f t="shared" si="89"/>
        <v>0</v>
      </c>
      <c r="AJ83" s="21">
        <f t="shared" si="89"/>
        <v>2382</v>
      </c>
      <c r="AK83" s="21">
        <f t="shared" si="89"/>
        <v>0</v>
      </c>
      <c r="AL83" s="21">
        <f t="shared" si="89"/>
        <v>1842</v>
      </c>
      <c r="AM83" s="21">
        <f t="shared" si="89"/>
        <v>51398</v>
      </c>
      <c r="AN83" s="21">
        <f t="shared" si="89"/>
        <v>0</v>
      </c>
      <c r="AO83" s="21">
        <f t="shared" si="89"/>
        <v>0</v>
      </c>
      <c r="AP83" s="21">
        <f>SUM(AP84+AP87)</f>
        <v>0</v>
      </c>
      <c r="AQ83" s="21">
        <f t="shared" si="89"/>
        <v>0</v>
      </c>
      <c r="AR83" s="21">
        <f t="shared" si="89"/>
        <v>0</v>
      </c>
      <c r="AS83" s="21">
        <f t="shared" si="89"/>
        <v>0</v>
      </c>
      <c r="AT83" s="21">
        <f t="shared" si="89"/>
        <v>0</v>
      </c>
      <c r="AU83" s="21">
        <f t="shared" si="89"/>
        <v>0</v>
      </c>
      <c r="AV83" s="21">
        <f t="shared" si="89"/>
        <v>0</v>
      </c>
      <c r="AW83" s="21">
        <f t="shared" si="89"/>
        <v>0</v>
      </c>
      <c r="AX83" s="21">
        <f t="shared" si="89"/>
        <v>0</v>
      </c>
      <c r="AY83" s="21">
        <f t="shared" si="89"/>
        <v>38372</v>
      </c>
      <c r="AZ83" s="21">
        <f t="shared" si="89"/>
        <v>0</v>
      </c>
      <c r="BA83" s="21">
        <f t="shared" si="89"/>
        <v>13656</v>
      </c>
      <c r="BB83" s="21">
        <f t="shared" si="89"/>
        <v>0</v>
      </c>
      <c r="BC83" s="21">
        <f t="shared" si="89"/>
        <v>0</v>
      </c>
      <c r="BD83" s="21">
        <f t="shared" si="89"/>
        <v>0</v>
      </c>
      <c r="BE83" s="21">
        <f t="shared" si="89"/>
        <v>0</v>
      </c>
      <c r="BF83" s="21">
        <f t="shared" si="89"/>
        <v>0</v>
      </c>
      <c r="BG83" s="21">
        <f t="shared" si="89"/>
        <v>0</v>
      </c>
      <c r="BH83" s="21">
        <f t="shared" si="89"/>
        <v>0</v>
      </c>
      <c r="BI83" s="21">
        <f t="shared" si="89"/>
        <v>0</v>
      </c>
      <c r="BJ83" s="21">
        <f t="shared" si="89"/>
        <v>0</v>
      </c>
      <c r="BK83" s="21">
        <f t="shared" si="89"/>
        <v>0</v>
      </c>
      <c r="BL83" s="21">
        <f t="shared" si="89"/>
        <v>0</v>
      </c>
      <c r="BM83" s="21">
        <f t="shared" si="89"/>
        <v>13656</v>
      </c>
      <c r="BN83" s="21">
        <f t="shared" si="89"/>
        <v>0</v>
      </c>
      <c r="BO83" s="21">
        <f t="shared" si="89"/>
        <v>0</v>
      </c>
      <c r="BP83" s="21">
        <f t="shared" si="89"/>
        <v>13656</v>
      </c>
      <c r="BQ83" s="21">
        <f t="shared" si="89"/>
        <v>0</v>
      </c>
      <c r="BR83" s="21">
        <f t="shared" si="89"/>
        <v>0</v>
      </c>
      <c r="BS83" s="21">
        <f t="shared" si="89"/>
        <v>0</v>
      </c>
      <c r="BT83" s="21">
        <f t="shared" ref="BT83:CW83" si="90">SUM(BT84+BT87)</f>
        <v>0</v>
      </c>
      <c r="BU83" s="21">
        <f t="shared" si="90"/>
        <v>0</v>
      </c>
      <c r="BV83" s="21">
        <f t="shared" si="90"/>
        <v>0</v>
      </c>
      <c r="BW83" s="21">
        <f t="shared" si="90"/>
        <v>0</v>
      </c>
      <c r="BX83" s="21">
        <f t="shared" si="90"/>
        <v>0</v>
      </c>
      <c r="BY83" s="21">
        <f t="shared" si="90"/>
        <v>19479</v>
      </c>
      <c r="BZ83" s="21">
        <f t="shared" si="90"/>
        <v>19479</v>
      </c>
      <c r="CA83" s="21">
        <f t="shared" si="90"/>
        <v>19479</v>
      </c>
      <c r="CB83" s="21">
        <f t="shared" si="90"/>
        <v>0</v>
      </c>
      <c r="CC83" s="21">
        <f t="shared" si="90"/>
        <v>19479</v>
      </c>
      <c r="CD83" s="21">
        <f t="shared" si="90"/>
        <v>0</v>
      </c>
      <c r="CE83" s="21">
        <f t="shared" si="90"/>
        <v>0</v>
      </c>
      <c r="CF83" s="21">
        <f>SUM(CF84+CF87)</f>
        <v>0</v>
      </c>
      <c r="CG83" s="21">
        <f t="shared" si="90"/>
        <v>0</v>
      </c>
      <c r="CH83" s="21">
        <f t="shared" si="90"/>
        <v>0</v>
      </c>
      <c r="CI83" s="21">
        <f t="shared" si="90"/>
        <v>0</v>
      </c>
      <c r="CJ83" s="21">
        <f t="shared" si="90"/>
        <v>0</v>
      </c>
      <c r="CK83" s="21">
        <f t="shared" si="90"/>
        <v>0</v>
      </c>
      <c r="CL83" s="21">
        <f t="shared" si="90"/>
        <v>0</v>
      </c>
      <c r="CM83" s="21">
        <f>SUM(CM84+CM87)</f>
        <v>0</v>
      </c>
      <c r="CN83" s="21">
        <f t="shared" si="90"/>
        <v>0</v>
      </c>
      <c r="CO83" s="21">
        <f t="shared" si="90"/>
        <v>0</v>
      </c>
      <c r="CP83" s="21">
        <f t="shared" si="90"/>
        <v>0</v>
      </c>
      <c r="CQ83" s="21">
        <f t="shared" si="90"/>
        <v>0</v>
      </c>
      <c r="CR83" s="21">
        <f t="shared" si="90"/>
        <v>0</v>
      </c>
      <c r="CS83" s="21">
        <f t="shared" si="90"/>
        <v>0</v>
      </c>
      <c r="CT83" s="21">
        <f t="shared" si="90"/>
        <v>0</v>
      </c>
      <c r="CU83" s="21">
        <f t="shared" si="90"/>
        <v>0</v>
      </c>
      <c r="CV83" s="21">
        <f t="shared" si="90"/>
        <v>0</v>
      </c>
      <c r="CW83" s="22">
        <f t="shared" si="90"/>
        <v>0</v>
      </c>
      <c r="CX83" s="40"/>
    </row>
    <row r="84" spans="1:102" ht="15.75" hidden="1" x14ac:dyDescent="0.25">
      <c r="A84" s="13" t="s">
        <v>117</v>
      </c>
      <c r="B84" s="14" t="s">
        <v>7</v>
      </c>
      <c r="C84" s="14" t="s">
        <v>1</v>
      </c>
      <c r="D84" s="30" t="s">
        <v>118</v>
      </c>
      <c r="E84" s="15">
        <f t="shared" ref="E84:AJ84" si="91">SUM(E85:E86)</f>
        <v>11039886</v>
      </c>
      <c r="F84" s="16">
        <f t="shared" si="91"/>
        <v>11036025</v>
      </c>
      <c r="G84" s="16">
        <f t="shared" si="91"/>
        <v>11022369</v>
      </c>
      <c r="H84" s="16">
        <f t="shared" si="91"/>
        <v>8202648</v>
      </c>
      <c r="I84" s="16">
        <f t="shared" si="91"/>
        <v>1990338</v>
      </c>
      <c r="J84" s="16">
        <f t="shared" si="91"/>
        <v>259275</v>
      </c>
      <c r="K84" s="16">
        <f t="shared" si="91"/>
        <v>0</v>
      </c>
      <c r="L84" s="16">
        <f t="shared" si="91"/>
        <v>0</v>
      </c>
      <c r="M84" s="16">
        <f t="shared" si="91"/>
        <v>0</v>
      </c>
      <c r="N84" s="16">
        <f t="shared" si="91"/>
        <v>0</v>
      </c>
      <c r="O84" s="16">
        <f t="shared" si="91"/>
        <v>248967</v>
      </c>
      <c r="P84" s="16">
        <f t="shared" si="91"/>
        <v>10308</v>
      </c>
      <c r="Q84" s="16">
        <f t="shared" si="91"/>
        <v>1594</v>
      </c>
      <c r="R84" s="16">
        <f t="shared" si="91"/>
        <v>1594</v>
      </c>
      <c r="S84" s="16">
        <f t="shared" si="91"/>
        <v>0</v>
      </c>
      <c r="T84" s="16">
        <f t="shared" si="91"/>
        <v>0</v>
      </c>
      <c r="U84" s="16">
        <f t="shared" si="91"/>
        <v>52351</v>
      </c>
      <c r="V84" s="16">
        <f t="shared" si="91"/>
        <v>250372</v>
      </c>
      <c r="W84" s="16">
        <f t="shared" si="91"/>
        <v>0</v>
      </c>
      <c r="X84" s="16">
        <f t="shared" si="91"/>
        <v>146919</v>
      </c>
      <c r="Y84" s="16">
        <f t="shared" si="91"/>
        <v>64230</v>
      </c>
      <c r="Z84" s="16">
        <f t="shared" si="91"/>
        <v>36484</v>
      </c>
      <c r="AA84" s="16">
        <f t="shared" si="91"/>
        <v>2648</v>
      </c>
      <c r="AB84" s="16">
        <f t="shared" si="91"/>
        <v>0</v>
      </c>
      <c r="AC84" s="16">
        <f t="shared" si="91"/>
        <v>0</v>
      </c>
      <c r="AD84" s="16">
        <f t="shared" ref="AD84" si="92">SUM(AD85:AD86)</f>
        <v>91</v>
      </c>
      <c r="AE84" s="16">
        <f t="shared" si="91"/>
        <v>265791</v>
      </c>
      <c r="AF84" s="16">
        <f t="shared" si="91"/>
        <v>169287</v>
      </c>
      <c r="AG84" s="16">
        <f t="shared" si="91"/>
        <v>4246</v>
      </c>
      <c r="AH84" s="16">
        <f t="shared" si="91"/>
        <v>0</v>
      </c>
      <c r="AI84" s="16">
        <f t="shared" si="91"/>
        <v>0</v>
      </c>
      <c r="AJ84" s="16">
        <f t="shared" si="91"/>
        <v>2382</v>
      </c>
      <c r="AK84" s="16">
        <f t="shared" ref="AK84:CV84" si="93">SUM(AK85:AK86)</f>
        <v>0</v>
      </c>
      <c r="AL84" s="16">
        <f t="shared" si="93"/>
        <v>106</v>
      </c>
      <c r="AM84" s="16">
        <f t="shared" si="93"/>
        <v>51398</v>
      </c>
      <c r="AN84" s="16">
        <f t="shared" si="93"/>
        <v>0</v>
      </c>
      <c r="AO84" s="16">
        <f t="shared" si="93"/>
        <v>0</v>
      </c>
      <c r="AP84" s="16">
        <f>SUM(AP85:AP86)</f>
        <v>0</v>
      </c>
      <c r="AQ84" s="16">
        <f t="shared" si="93"/>
        <v>0</v>
      </c>
      <c r="AR84" s="16">
        <f t="shared" si="93"/>
        <v>0</v>
      </c>
      <c r="AS84" s="16">
        <f t="shared" si="93"/>
        <v>0</v>
      </c>
      <c r="AT84" s="16">
        <f t="shared" si="93"/>
        <v>0</v>
      </c>
      <c r="AU84" s="16">
        <f t="shared" si="93"/>
        <v>0</v>
      </c>
      <c r="AV84" s="16">
        <f t="shared" si="93"/>
        <v>0</v>
      </c>
      <c r="AW84" s="16">
        <f t="shared" si="93"/>
        <v>0</v>
      </c>
      <c r="AX84" s="16">
        <f t="shared" si="93"/>
        <v>0</v>
      </c>
      <c r="AY84" s="16">
        <f t="shared" si="93"/>
        <v>38372</v>
      </c>
      <c r="AZ84" s="16">
        <f t="shared" si="93"/>
        <v>0</v>
      </c>
      <c r="BA84" s="16">
        <f t="shared" si="93"/>
        <v>13656</v>
      </c>
      <c r="BB84" s="16">
        <f t="shared" si="93"/>
        <v>0</v>
      </c>
      <c r="BC84" s="16">
        <f t="shared" si="93"/>
        <v>0</v>
      </c>
      <c r="BD84" s="16">
        <f t="shared" si="93"/>
        <v>0</v>
      </c>
      <c r="BE84" s="16">
        <f t="shared" si="93"/>
        <v>0</v>
      </c>
      <c r="BF84" s="16">
        <f t="shared" si="93"/>
        <v>0</v>
      </c>
      <c r="BG84" s="16">
        <f t="shared" si="93"/>
        <v>0</v>
      </c>
      <c r="BH84" s="16">
        <f t="shared" si="93"/>
        <v>0</v>
      </c>
      <c r="BI84" s="16">
        <f t="shared" si="93"/>
        <v>0</v>
      </c>
      <c r="BJ84" s="16">
        <f t="shared" si="93"/>
        <v>0</v>
      </c>
      <c r="BK84" s="16">
        <f t="shared" si="93"/>
        <v>0</v>
      </c>
      <c r="BL84" s="16">
        <f t="shared" si="93"/>
        <v>0</v>
      </c>
      <c r="BM84" s="16">
        <f t="shared" si="93"/>
        <v>13656</v>
      </c>
      <c r="BN84" s="16">
        <f t="shared" si="93"/>
        <v>0</v>
      </c>
      <c r="BO84" s="16">
        <f t="shared" si="93"/>
        <v>0</v>
      </c>
      <c r="BP84" s="16">
        <f t="shared" si="93"/>
        <v>13656</v>
      </c>
      <c r="BQ84" s="16">
        <f t="shared" si="93"/>
        <v>0</v>
      </c>
      <c r="BR84" s="16">
        <f t="shared" si="93"/>
        <v>0</v>
      </c>
      <c r="BS84" s="16">
        <f t="shared" si="93"/>
        <v>0</v>
      </c>
      <c r="BT84" s="16">
        <f t="shared" si="93"/>
        <v>0</v>
      </c>
      <c r="BU84" s="16">
        <f t="shared" si="93"/>
        <v>0</v>
      </c>
      <c r="BV84" s="16">
        <f t="shared" si="93"/>
        <v>0</v>
      </c>
      <c r="BW84" s="16">
        <f t="shared" si="93"/>
        <v>0</v>
      </c>
      <c r="BX84" s="16">
        <f t="shared" si="93"/>
        <v>0</v>
      </c>
      <c r="BY84" s="16">
        <f t="shared" si="93"/>
        <v>3861</v>
      </c>
      <c r="BZ84" s="16">
        <f t="shared" si="93"/>
        <v>3861</v>
      </c>
      <c r="CA84" s="16">
        <f t="shared" si="93"/>
        <v>3861</v>
      </c>
      <c r="CB84" s="16">
        <f t="shared" si="93"/>
        <v>0</v>
      </c>
      <c r="CC84" s="16">
        <f t="shared" si="93"/>
        <v>3861</v>
      </c>
      <c r="CD84" s="16">
        <f t="shared" si="93"/>
        <v>0</v>
      </c>
      <c r="CE84" s="16">
        <f t="shared" si="93"/>
        <v>0</v>
      </c>
      <c r="CF84" s="16">
        <f t="shared" si="93"/>
        <v>0</v>
      </c>
      <c r="CG84" s="16">
        <f t="shared" si="93"/>
        <v>0</v>
      </c>
      <c r="CH84" s="16">
        <f t="shared" si="93"/>
        <v>0</v>
      </c>
      <c r="CI84" s="16">
        <f t="shared" si="93"/>
        <v>0</v>
      </c>
      <c r="CJ84" s="16">
        <f t="shared" si="93"/>
        <v>0</v>
      </c>
      <c r="CK84" s="16">
        <f t="shared" si="93"/>
        <v>0</v>
      </c>
      <c r="CL84" s="16">
        <f t="shared" si="93"/>
        <v>0</v>
      </c>
      <c r="CM84" s="16">
        <f t="shared" si="93"/>
        <v>0</v>
      </c>
      <c r="CN84" s="16">
        <f t="shared" si="93"/>
        <v>0</v>
      </c>
      <c r="CO84" s="16">
        <f t="shared" si="93"/>
        <v>0</v>
      </c>
      <c r="CP84" s="16">
        <f t="shared" si="93"/>
        <v>0</v>
      </c>
      <c r="CQ84" s="16">
        <f t="shared" si="93"/>
        <v>0</v>
      </c>
      <c r="CR84" s="16">
        <f t="shared" si="93"/>
        <v>0</v>
      </c>
      <c r="CS84" s="16">
        <f t="shared" si="93"/>
        <v>0</v>
      </c>
      <c r="CT84" s="16">
        <f t="shared" si="93"/>
        <v>0</v>
      </c>
      <c r="CU84" s="16">
        <f t="shared" si="93"/>
        <v>0</v>
      </c>
      <c r="CV84" s="16">
        <f t="shared" si="93"/>
        <v>0</v>
      </c>
      <c r="CW84" s="17">
        <f t="shared" ref="CW84" si="94">SUM(CW85:CW86)</f>
        <v>0</v>
      </c>
      <c r="CX84" s="40"/>
    </row>
    <row r="85" spans="1:102" ht="18" hidden="1" customHeight="1" x14ac:dyDescent="0.25">
      <c r="A85" s="13" t="s">
        <v>1</v>
      </c>
      <c r="B85" s="14" t="s">
        <v>1</v>
      </c>
      <c r="C85" s="14" t="s">
        <v>29</v>
      </c>
      <c r="D85" s="30" t="s">
        <v>119</v>
      </c>
      <c r="E85" s="15">
        <f>SUM(F85+BY85+CT85)</f>
        <v>8875852</v>
      </c>
      <c r="F85" s="16">
        <f>SUM(G85+BA85)</f>
        <v>8875852</v>
      </c>
      <c r="G85" s="16">
        <f>SUM(H85+I85+J85+Q85+T85+U85+V85+AE85)</f>
        <v>8862196</v>
      </c>
      <c r="H85" s="16">
        <f>7436254+204-890600</f>
        <v>6545858</v>
      </c>
      <c r="I85" s="16">
        <f>1712485-105064</f>
        <v>1607421</v>
      </c>
      <c r="J85" s="16">
        <f t="shared" si="71"/>
        <v>180629</v>
      </c>
      <c r="K85" s="16">
        <v>0</v>
      </c>
      <c r="L85" s="16">
        <v>0</v>
      </c>
      <c r="M85" s="16">
        <v>0</v>
      </c>
      <c r="N85" s="16">
        <v>0</v>
      </c>
      <c r="O85" s="16">
        <v>172773</v>
      </c>
      <c r="P85" s="16">
        <v>7856</v>
      </c>
      <c r="Q85" s="16">
        <f t="shared" si="72"/>
        <v>0</v>
      </c>
      <c r="R85" s="16">
        <v>0</v>
      </c>
      <c r="S85" s="16">
        <v>0</v>
      </c>
      <c r="T85" s="16">
        <v>0</v>
      </c>
      <c r="U85" s="16">
        <v>33423</v>
      </c>
      <c r="V85" s="16">
        <f>SUM(W85:AD85)</f>
        <v>246214</v>
      </c>
      <c r="W85" s="16">
        <v>0</v>
      </c>
      <c r="X85" s="16">
        <v>146919</v>
      </c>
      <c r="Y85" s="16">
        <v>60163</v>
      </c>
      <c r="Z85" s="16">
        <v>36484</v>
      </c>
      <c r="AA85" s="16">
        <v>2648</v>
      </c>
      <c r="AB85" s="16">
        <v>0</v>
      </c>
      <c r="AC85" s="16">
        <v>0</v>
      </c>
      <c r="AD85" s="16">
        <v>0</v>
      </c>
      <c r="AE85" s="16">
        <f>SUM(AF85:AZ85)</f>
        <v>248651</v>
      </c>
      <c r="AF85" s="16">
        <v>158775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f>1282-1176</f>
        <v>106</v>
      </c>
      <c r="AM85" s="16">
        <v>51398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f>0+38372</f>
        <v>38372</v>
      </c>
      <c r="AZ85" s="16">
        <v>0</v>
      </c>
      <c r="BA85" s="16">
        <f>SUM(BB85+BF85+BI85+BK85+BM85)</f>
        <v>13656</v>
      </c>
      <c r="BB85" s="16">
        <f>SUM(BC85:BE85)</f>
        <v>0</v>
      </c>
      <c r="BC85" s="16">
        <v>0</v>
      </c>
      <c r="BD85" s="16">
        <v>0</v>
      </c>
      <c r="BE85" s="16">
        <v>0</v>
      </c>
      <c r="BF85" s="16">
        <f t="shared" si="73"/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f t="shared" si="74"/>
        <v>0</v>
      </c>
      <c r="BL85" s="16">
        <v>0</v>
      </c>
      <c r="BM85" s="16">
        <f t="shared" si="75"/>
        <v>13656</v>
      </c>
      <c r="BN85" s="16">
        <v>0</v>
      </c>
      <c r="BO85" s="16">
        <v>0</v>
      </c>
      <c r="BP85" s="16">
        <f>50852-37196</f>
        <v>13656</v>
      </c>
      <c r="BQ85" s="16">
        <v>0</v>
      </c>
      <c r="BR85" s="16">
        <v>0</v>
      </c>
      <c r="BS85" s="16">
        <v>0</v>
      </c>
      <c r="BT85" s="16">
        <v>0</v>
      </c>
      <c r="BU85" s="16">
        <v>0</v>
      </c>
      <c r="BV85" s="16">
        <v>0</v>
      </c>
      <c r="BW85" s="16">
        <v>0</v>
      </c>
      <c r="BX85" s="16">
        <v>0</v>
      </c>
      <c r="BY85" s="16">
        <f>SUM(BZ85+CS85)</f>
        <v>0</v>
      </c>
      <c r="BZ85" s="16">
        <f>SUM(CA85+CD85+CK85)</f>
        <v>0</v>
      </c>
      <c r="CA85" s="16">
        <f t="shared" si="76"/>
        <v>0</v>
      </c>
      <c r="CB85" s="16">
        <v>0</v>
      </c>
      <c r="CC85" s="16">
        <v>0</v>
      </c>
      <c r="CD85" s="16">
        <f t="shared" si="77"/>
        <v>0</v>
      </c>
      <c r="CE85" s="16">
        <v>0</v>
      </c>
      <c r="CF85" s="16">
        <v>0</v>
      </c>
      <c r="CG85" s="16">
        <v>0</v>
      </c>
      <c r="CH85" s="16">
        <v>0</v>
      </c>
      <c r="CI85" s="16">
        <v>0</v>
      </c>
      <c r="CJ85" s="16">
        <v>0</v>
      </c>
      <c r="CK85" s="16">
        <f t="shared" si="78"/>
        <v>0</v>
      </c>
      <c r="CL85" s="16">
        <v>0</v>
      </c>
      <c r="CM85" s="16">
        <v>0</v>
      </c>
      <c r="CN85" s="16">
        <v>0</v>
      </c>
      <c r="CO85" s="16">
        <v>0</v>
      </c>
      <c r="CP85" s="16">
        <v>0</v>
      </c>
      <c r="CQ85" s="16">
        <v>0</v>
      </c>
      <c r="CR85" s="16">
        <v>0</v>
      </c>
      <c r="CS85" s="16">
        <v>0</v>
      </c>
      <c r="CT85" s="16">
        <f t="shared" si="79"/>
        <v>0</v>
      </c>
      <c r="CU85" s="16">
        <f t="shared" si="80"/>
        <v>0</v>
      </c>
      <c r="CV85" s="16">
        <v>0</v>
      </c>
      <c r="CW85" s="17">
        <v>0</v>
      </c>
      <c r="CX85" s="40"/>
    </row>
    <row r="86" spans="1:102" ht="31.5" hidden="1" x14ac:dyDescent="0.25">
      <c r="A86" s="13" t="s">
        <v>1</v>
      </c>
      <c r="B86" s="14" t="s">
        <v>1</v>
      </c>
      <c r="C86" s="14" t="s">
        <v>39</v>
      </c>
      <c r="D86" s="30" t="s">
        <v>120</v>
      </c>
      <c r="E86" s="15">
        <f>SUM(F86+BY86+CT86)</f>
        <v>2164034</v>
      </c>
      <c r="F86" s="16">
        <f>SUM(G86+BA86)</f>
        <v>2160173</v>
      </c>
      <c r="G86" s="16">
        <f>SUM(H86+I86+J86+Q86+T86+U86+V86+AE86)</f>
        <v>2160173</v>
      </c>
      <c r="H86" s="16">
        <f>1853433-196643</f>
        <v>1656790</v>
      </c>
      <c r="I86" s="16">
        <f>434949-52032</f>
        <v>382917</v>
      </c>
      <c r="J86" s="16">
        <f t="shared" si="71"/>
        <v>78646</v>
      </c>
      <c r="K86" s="16">
        <v>0</v>
      </c>
      <c r="L86" s="16">
        <v>0</v>
      </c>
      <c r="M86" s="16">
        <v>0</v>
      </c>
      <c r="N86" s="16">
        <v>0</v>
      </c>
      <c r="O86" s="16">
        <v>76194</v>
      </c>
      <c r="P86" s="16">
        <v>2452</v>
      </c>
      <c r="Q86" s="16">
        <f t="shared" si="72"/>
        <v>1594</v>
      </c>
      <c r="R86" s="16">
        <v>1594</v>
      </c>
      <c r="S86" s="16">
        <v>0</v>
      </c>
      <c r="T86" s="16">
        <v>0</v>
      </c>
      <c r="U86" s="16">
        <v>18928</v>
      </c>
      <c r="V86" s="16">
        <f>SUM(W86:AD86)</f>
        <v>4158</v>
      </c>
      <c r="W86" s="16">
        <v>0</v>
      </c>
      <c r="X86" s="16">
        <v>0</v>
      </c>
      <c r="Y86" s="16">
        <v>4067</v>
      </c>
      <c r="Z86" s="16">
        <v>0</v>
      </c>
      <c r="AA86" s="16">
        <v>0</v>
      </c>
      <c r="AB86" s="16">
        <v>0</v>
      </c>
      <c r="AC86" s="16">
        <v>0</v>
      </c>
      <c r="AD86" s="16">
        <v>91</v>
      </c>
      <c r="AE86" s="16">
        <f>SUM(AF86:AZ86)</f>
        <v>17140</v>
      </c>
      <c r="AF86" s="16">
        <v>10512</v>
      </c>
      <c r="AG86" s="16">
        <v>4246</v>
      </c>
      <c r="AH86" s="16">
        <v>0</v>
      </c>
      <c r="AI86" s="16">
        <v>0</v>
      </c>
      <c r="AJ86" s="16">
        <v>2382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f>SUM(BB86+BF86+BI86+BK86+BM86)</f>
        <v>0</v>
      </c>
      <c r="BB86" s="16">
        <f>SUM(BC86:BE86)</f>
        <v>0</v>
      </c>
      <c r="BC86" s="16">
        <v>0</v>
      </c>
      <c r="BD86" s="16">
        <v>0</v>
      </c>
      <c r="BE86" s="16">
        <v>0</v>
      </c>
      <c r="BF86" s="16">
        <f t="shared" si="73"/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f t="shared" si="74"/>
        <v>0</v>
      </c>
      <c r="BL86" s="16">
        <v>0</v>
      </c>
      <c r="BM86" s="16">
        <f t="shared" si="75"/>
        <v>0</v>
      </c>
      <c r="BN86" s="16">
        <v>0</v>
      </c>
      <c r="BO86" s="16">
        <v>0</v>
      </c>
      <c r="BP86" s="16">
        <v>0</v>
      </c>
      <c r="BQ86" s="16">
        <v>0</v>
      </c>
      <c r="BR86" s="16">
        <v>0</v>
      </c>
      <c r="BS86" s="16">
        <v>0</v>
      </c>
      <c r="BT86" s="16">
        <v>0</v>
      </c>
      <c r="BU86" s="16">
        <v>0</v>
      </c>
      <c r="BV86" s="16">
        <v>0</v>
      </c>
      <c r="BW86" s="16">
        <v>0</v>
      </c>
      <c r="BX86" s="16">
        <v>0</v>
      </c>
      <c r="BY86" s="16">
        <f>SUM(BZ86+CS86)</f>
        <v>3861</v>
      </c>
      <c r="BZ86" s="16">
        <f>SUM(CA86+CD86+CK86)</f>
        <v>3861</v>
      </c>
      <c r="CA86" s="16">
        <f t="shared" si="76"/>
        <v>3861</v>
      </c>
      <c r="CB86" s="16">
        <v>0</v>
      </c>
      <c r="CC86" s="16">
        <v>3861</v>
      </c>
      <c r="CD86" s="16">
        <f t="shared" si="77"/>
        <v>0</v>
      </c>
      <c r="CE86" s="16">
        <v>0</v>
      </c>
      <c r="CF86" s="16">
        <v>0</v>
      </c>
      <c r="CG86" s="16">
        <v>0</v>
      </c>
      <c r="CH86" s="16">
        <v>0</v>
      </c>
      <c r="CI86" s="16">
        <v>0</v>
      </c>
      <c r="CJ86" s="16">
        <v>0</v>
      </c>
      <c r="CK86" s="16">
        <f t="shared" si="78"/>
        <v>0</v>
      </c>
      <c r="CL86" s="16">
        <v>0</v>
      </c>
      <c r="CM86" s="16">
        <v>0</v>
      </c>
      <c r="CN86" s="16">
        <v>0</v>
      </c>
      <c r="CO86" s="16">
        <v>0</v>
      </c>
      <c r="CP86" s="16">
        <v>0</v>
      </c>
      <c r="CQ86" s="16">
        <v>0</v>
      </c>
      <c r="CR86" s="16">
        <v>0</v>
      </c>
      <c r="CS86" s="16">
        <v>0</v>
      </c>
      <c r="CT86" s="16">
        <f t="shared" si="79"/>
        <v>0</v>
      </c>
      <c r="CU86" s="16">
        <f t="shared" si="80"/>
        <v>0</v>
      </c>
      <c r="CV86" s="16">
        <v>0</v>
      </c>
      <c r="CW86" s="17">
        <v>0</v>
      </c>
      <c r="CX86" s="40"/>
    </row>
    <row r="87" spans="1:102" ht="31.5" hidden="1" x14ac:dyDescent="0.25">
      <c r="A87" s="13" t="s">
        <v>117</v>
      </c>
      <c r="B87" s="14" t="s">
        <v>47</v>
      </c>
      <c r="C87" s="14" t="s">
        <v>1</v>
      </c>
      <c r="D87" s="30" t="s">
        <v>121</v>
      </c>
      <c r="E87" s="15">
        <f t="shared" ref="E87:AJ87" si="95">SUM(E88:E98)</f>
        <v>8420850</v>
      </c>
      <c r="F87" s="16">
        <f t="shared" si="95"/>
        <v>8405232</v>
      </c>
      <c r="G87" s="16">
        <f t="shared" si="95"/>
        <v>8405232</v>
      </c>
      <c r="H87" s="16">
        <f t="shared" si="95"/>
        <v>294494</v>
      </c>
      <c r="I87" s="16">
        <f t="shared" si="95"/>
        <v>68548</v>
      </c>
      <c r="J87" s="16">
        <f t="shared" si="95"/>
        <v>9114</v>
      </c>
      <c r="K87" s="16">
        <f t="shared" si="95"/>
        <v>0</v>
      </c>
      <c r="L87" s="16">
        <f t="shared" si="95"/>
        <v>0</v>
      </c>
      <c r="M87" s="16">
        <f t="shared" si="95"/>
        <v>0</v>
      </c>
      <c r="N87" s="16">
        <f t="shared" si="95"/>
        <v>0</v>
      </c>
      <c r="O87" s="16">
        <f t="shared" si="95"/>
        <v>0</v>
      </c>
      <c r="P87" s="16">
        <f t="shared" si="95"/>
        <v>9114</v>
      </c>
      <c r="Q87" s="16">
        <f t="shared" si="95"/>
        <v>1736</v>
      </c>
      <c r="R87" s="16">
        <f t="shared" si="95"/>
        <v>0</v>
      </c>
      <c r="S87" s="16">
        <f t="shared" si="95"/>
        <v>1736</v>
      </c>
      <c r="T87" s="16">
        <f t="shared" si="95"/>
        <v>0</v>
      </c>
      <c r="U87" s="16">
        <f t="shared" si="95"/>
        <v>0</v>
      </c>
      <c r="V87" s="16">
        <f t="shared" si="95"/>
        <v>0</v>
      </c>
      <c r="W87" s="16">
        <f t="shared" si="95"/>
        <v>0</v>
      </c>
      <c r="X87" s="16">
        <f t="shared" si="95"/>
        <v>0</v>
      </c>
      <c r="Y87" s="16">
        <f t="shared" si="95"/>
        <v>0</v>
      </c>
      <c r="Z87" s="16">
        <f t="shared" si="95"/>
        <v>0</v>
      </c>
      <c r="AA87" s="16">
        <f t="shared" si="95"/>
        <v>0</v>
      </c>
      <c r="AB87" s="16">
        <f t="shared" si="95"/>
        <v>0</v>
      </c>
      <c r="AC87" s="16">
        <f t="shared" si="95"/>
        <v>0</v>
      </c>
      <c r="AD87" s="16">
        <f t="shared" ref="AD87" si="96">SUM(AD88:AD98)</f>
        <v>0</v>
      </c>
      <c r="AE87" s="16">
        <f t="shared" si="95"/>
        <v>8031340</v>
      </c>
      <c r="AF87" s="16">
        <f t="shared" si="95"/>
        <v>8029604</v>
      </c>
      <c r="AG87" s="16">
        <f t="shared" si="95"/>
        <v>0</v>
      </c>
      <c r="AH87" s="16">
        <f t="shared" si="95"/>
        <v>0</v>
      </c>
      <c r="AI87" s="16">
        <f t="shared" si="95"/>
        <v>0</v>
      </c>
      <c r="AJ87" s="16">
        <f t="shared" si="95"/>
        <v>0</v>
      </c>
      <c r="AK87" s="16">
        <f t="shared" ref="AK87:CV87" si="97">SUM(AK88:AK98)</f>
        <v>0</v>
      </c>
      <c r="AL87" s="16">
        <f t="shared" si="97"/>
        <v>1736</v>
      </c>
      <c r="AM87" s="16">
        <f t="shared" si="97"/>
        <v>0</v>
      </c>
      <c r="AN87" s="16">
        <f t="shared" si="97"/>
        <v>0</v>
      </c>
      <c r="AO87" s="16">
        <f t="shared" si="97"/>
        <v>0</v>
      </c>
      <c r="AP87" s="16">
        <f t="shared" si="97"/>
        <v>0</v>
      </c>
      <c r="AQ87" s="16">
        <f t="shared" si="97"/>
        <v>0</v>
      </c>
      <c r="AR87" s="16">
        <f t="shared" si="97"/>
        <v>0</v>
      </c>
      <c r="AS87" s="16">
        <f t="shared" si="97"/>
        <v>0</v>
      </c>
      <c r="AT87" s="16">
        <f t="shared" si="97"/>
        <v>0</v>
      </c>
      <c r="AU87" s="16">
        <f t="shared" si="97"/>
        <v>0</v>
      </c>
      <c r="AV87" s="16">
        <f t="shared" si="97"/>
        <v>0</v>
      </c>
      <c r="AW87" s="16">
        <f t="shared" si="97"/>
        <v>0</v>
      </c>
      <c r="AX87" s="16">
        <f t="shared" si="97"/>
        <v>0</v>
      </c>
      <c r="AY87" s="16">
        <f t="shared" si="97"/>
        <v>0</v>
      </c>
      <c r="AZ87" s="16">
        <f t="shared" si="97"/>
        <v>0</v>
      </c>
      <c r="BA87" s="16">
        <f t="shared" si="97"/>
        <v>0</v>
      </c>
      <c r="BB87" s="16">
        <f t="shared" si="97"/>
        <v>0</v>
      </c>
      <c r="BC87" s="16">
        <f t="shared" si="97"/>
        <v>0</v>
      </c>
      <c r="BD87" s="16">
        <f t="shared" si="97"/>
        <v>0</v>
      </c>
      <c r="BE87" s="16">
        <f t="shared" si="97"/>
        <v>0</v>
      </c>
      <c r="BF87" s="16">
        <f t="shared" si="97"/>
        <v>0</v>
      </c>
      <c r="BG87" s="16">
        <f t="shared" si="97"/>
        <v>0</v>
      </c>
      <c r="BH87" s="16">
        <f t="shared" si="97"/>
        <v>0</v>
      </c>
      <c r="BI87" s="16">
        <f t="shared" si="97"/>
        <v>0</v>
      </c>
      <c r="BJ87" s="16">
        <f t="shared" si="97"/>
        <v>0</v>
      </c>
      <c r="BK87" s="16">
        <f t="shared" si="97"/>
        <v>0</v>
      </c>
      <c r="BL87" s="16">
        <f t="shared" si="97"/>
        <v>0</v>
      </c>
      <c r="BM87" s="16">
        <f t="shared" si="97"/>
        <v>0</v>
      </c>
      <c r="BN87" s="16">
        <f t="shared" si="97"/>
        <v>0</v>
      </c>
      <c r="BO87" s="16">
        <f t="shared" si="97"/>
        <v>0</v>
      </c>
      <c r="BP87" s="16">
        <f t="shared" si="97"/>
        <v>0</v>
      </c>
      <c r="BQ87" s="16">
        <f t="shared" si="97"/>
        <v>0</v>
      </c>
      <c r="BR87" s="16">
        <f t="shared" si="97"/>
        <v>0</v>
      </c>
      <c r="BS87" s="16">
        <f t="shared" si="97"/>
        <v>0</v>
      </c>
      <c r="BT87" s="16">
        <f t="shared" si="97"/>
        <v>0</v>
      </c>
      <c r="BU87" s="16">
        <f t="shared" si="97"/>
        <v>0</v>
      </c>
      <c r="BV87" s="16">
        <f t="shared" si="97"/>
        <v>0</v>
      </c>
      <c r="BW87" s="16">
        <f t="shared" si="97"/>
        <v>0</v>
      </c>
      <c r="BX87" s="16">
        <f t="shared" si="97"/>
        <v>0</v>
      </c>
      <c r="BY87" s="16">
        <f t="shared" si="97"/>
        <v>15618</v>
      </c>
      <c r="BZ87" s="16">
        <f t="shared" si="97"/>
        <v>15618</v>
      </c>
      <c r="CA87" s="16">
        <f t="shared" si="97"/>
        <v>15618</v>
      </c>
      <c r="CB87" s="16">
        <f t="shared" si="97"/>
        <v>0</v>
      </c>
      <c r="CC87" s="16">
        <f t="shared" si="97"/>
        <v>15618</v>
      </c>
      <c r="CD87" s="16">
        <f t="shared" si="97"/>
        <v>0</v>
      </c>
      <c r="CE87" s="16">
        <f t="shared" si="97"/>
        <v>0</v>
      </c>
      <c r="CF87" s="16">
        <f t="shared" si="97"/>
        <v>0</v>
      </c>
      <c r="CG87" s="16">
        <f t="shared" si="97"/>
        <v>0</v>
      </c>
      <c r="CH87" s="16">
        <f t="shared" si="97"/>
        <v>0</v>
      </c>
      <c r="CI87" s="16">
        <f t="shared" si="97"/>
        <v>0</v>
      </c>
      <c r="CJ87" s="16">
        <f t="shared" si="97"/>
        <v>0</v>
      </c>
      <c r="CK87" s="16">
        <f t="shared" si="97"/>
        <v>0</v>
      </c>
      <c r="CL87" s="16">
        <f t="shared" si="97"/>
        <v>0</v>
      </c>
      <c r="CM87" s="16">
        <f t="shared" si="97"/>
        <v>0</v>
      </c>
      <c r="CN87" s="16">
        <f t="shared" si="97"/>
        <v>0</v>
      </c>
      <c r="CO87" s="16">
        <f t="shared" si="97"/>
        <v>0</v>
      </c>
      <c r="CP87" s="16">
        <f t="shared" si="97"/>
        <v>0</v>
      </c>
      <c r="CQ87" s="16">
        <f t="shared" si="97"/>
        <v>0</v>
      </c>
      <c r="CR87" s="16">
        <f t="shared" si="97"/>
        <v>0</v>
      </c>
      <c r="CS87" s="16">
        <f t="shared" si="97"/>
        <v>0</v>
      </c>
      <c r="CT87" s="16">
        <f t="shared" si="97"/>
        <v>0</v>
      </c>
      <c r="CU87" s="16">
        <f t="shared" si="97"/>
        <v>0</v>
      </c>
      <c r="CV87" s="16">
        <f t="shared" si="97"/>
        <v>0</v>
      </c>
      <c r="CW87" s="17">
        <f t="shared" ref="CW87" si="98">SUM(CW88:CW98)</f>
        <v>0</v>
      </c>
      <c r="CX87" s="40"/>
    </row>
    <row r="88" spans="1:102" ht="15.75" hidden="1" x14ac:dyDescent="0.25">
      <c r="A88" s="13" t="s">
        <v>1</v>
      </c>
      <c r="B88" s="14" t="s">
        <v>1</v>
      </c>
      <c r="C88" s="14" t="s">
        <v>17</v>
      </c>
      <c r="D88" s="30" t="s">
        <v>522</v>
      </c>
      <c r="E88" s="15">
        <f t="shared" ref="E88:E98" si="99">SUM(F88+BY88+CT88)</f>
        <v>803480</v>
      </c>
      <c r="F88" s="16">
        <f t="shared" ref="F88:F98" si="100">SUM(G88+BA88)</f>
        <v>803480</v>
      </c>
      <c r="G88" s="16">
        <f t="shared" ref="G88:G98" si="101">SUM(H88+I88+J88+Q88+T88+U88+V88+AE88)</f>
        <v>803480</v>
      </c>
      <c r="H88" s="16">
        <v>0</v>
      </c>
      <c r="I88" s="16">
        <v>0</v>
      </c>
      <c r="J88" s="16">
        <f t="shared" si="71"/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f t="shared" si="72"/>
        <v>0</v>
      </c>
      <c r="R88" s="16">
        <v>0</v>
      </c>
      <c r="S88" s="16">
        <v>0</v>
      </c>
      <c r="T88" s="16">
        <v>0</v>
      </c>
      <c r="U88" s="16">
        <v>0</v>
      </c>
      <c r="V88" s="16">
        <f t="shared" ref="V88:V98" si="102">SUM(W88:AD88)</f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f t="shared" ref="AE88:AE98" si="103">SUM(AF88:AZ88)</f>
        <v>803480</v>
      </c>
      <c r="AF88" s="16">
        <v>803480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f t="shared" ref="BA88:BA98" si="104">SUM(BB88+BF88+BI88+BK88+BM88)</f>
        <v>0</v>
      </c>
      <c r="BB88" s="16">
        <f t="shared" ref="BB88:BB98" si="105">SUM(BC88:BE88)</f>
        <v>0</v>
      </c>
      <c r="BC88" s="16">
        <v>0</v>
      </c>
      <c r="BD88" s="16">
        <v>0</v>
      </c>
      <c r="BE88" s="16">
        <v>0</v>
      </c>
      <c r="BF88" s="16">
        <f t="shared" si="73"/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f t="shared" si="74"/>
        <v>0</v>
      </c>
      <c r="BL88" s="16">
        <v>0</v>
      </c>
      <c r="BM88" s="16">
        <f t="shared" si="75"/>
        <v>0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6">
        <v>0</v>
      </c>
      <c r="BU88" s="16">
        <v>0</v>
      </c>
      <c r="BV88" s="16">
        <v>0</v>
      </c>
      <c r="BW88" s="16">
        <v>0</v>
      </c>
      <c r="BX88" s="16">
        <v>0</v>
      </c>
      <c r="BY88" s="16">
        <f t="shared" ref="BY88:BY98" si="106">SUM(BZ88+CS88)</f>
        <v>0</v>
      </c>
      <c r="BZ88" s="16">
        <f t="shared" ref="BZ88:BZ98" si="107">SUM(CA88+CD88+CK88)</f>
        <v>0</v>
      </c>
      <c r="CA88" s="16">
        <f t="shared" si="76"/>
        <v>0</v>
      </c>
      <c r="CB88" s="16">
        <v>0</v>
      </c>
      <c r="CC88" s="16">
        <v>0</v>
      </c>
      <c r="CD88" s="16">
        <f t="shared" si="77"/>
        <v>0</v>
      </c>
      <c r="CE88" s="16">
        <v>0</v>
      </c>
      <c r="CF88" s="16">
        <v>0</v>
      </c>
      <c r="CG88" s="16">
        <v>0</v>
      </c>
      <c r="CH88" s="16">
        <v>0</v>
      </c>
      <c r="CI88" s="16">
        <v>0</v>
      </c>
      <c r="CJ88" s="16">
        <v>0</v>
      </c>
      <c r="CK88" s="16">
        <f t="shared" si="78"/>
        <v>0</v>
      </c>
      <c r="CL88" s="16">
        <v>0</v>
      </c>
      <c r="CM88" s="16">
        <v>0</v>
      </c>
      <c r="CN88" s="16">
        <v>0</v>
      </c>
      <c r="CO88" s="16">
        <v>0</v>
      </c>
      <c r="CP88" s="16">
        <v>0</v>
      </c>
      <c r="CQ88" s="16">
        <v>0</v>
      </c>
      <c r="CR88" s="16">
        <v>0</v>
      </c>
      <c r="CS88" s="16">
        <v>0</v>
      </c>
      <c r="CT88" s="16">
        <f t="shared" si="79"/>
        <v>0</v>
      </c>
      <c r="CU88" s="16">
        <f t="shared" si="80"/>
        <v>0</v>
      </c>
      <c r="CV88" s="16">
        <v>0</v>
      </c>
      <c r="CW88" s="17">
        <v>0</v>
      </c>
      <c r="CX88" s="40"/>
    </row>
    <row r="89" spans="1:102" ht="15.75" hidden="1" x14ac:dyDescent="0.25">
      <c r="A89" s="13" t="s">
        <v>1</v>
      </c>
      <c r="B89" s="14" t="s">
        <v>1</v>
      </c>
      <c r="C89" s="14" t="s">
        <v>21</v>
      </c>
      <c r="D89" s="30" t="s">
        <v>523</v>
      </c>
      <c r="E89" s="15">
        <f t="shared" si="99"/>
        <v>498305</v>
      </c>
      <c r="F89" s="16">
        <f t="shared" si="100"/>
        <v>498305</v>
      </c>
      <c r="G89" s="16">
        <f t="shared" si="101"/>
        <v>498305</v>
      </c>
      <c r="H89" s="16">
        <v>0</v>
      </c>
      <c r="I89" s="16">
        <v>0</v>
      </c>
      <c r="J89" s="16">
        <f>SUM(K89:P89)</f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f>SUM(R89:S89)</f>
        <v>0</v>
      </c>
      <c r="R89" s="16">
        <v>0</v>
      </c>
      <c r="S89" s="16">
        <v>0</v>
      </c>
      <c r="T89" s="16">
        <v>0</v>
      </c>
      <c r="U89" s="16">
        <v>0</v>
      </c>
      <c r="V89" s="16">
        <f t="shared" si="102"/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f t="shared" si="103"/>
        <v>498305</v>
      </c>
      <c r="AF89" s="16">
        <v>498305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f t="shared" si="104"/>
        <v>0</v>
      </c>
      <c r="BB89" s="16">
        <f t="shared" si="105"/>
        <v>0</v>
      </c>
      <c r="BC89" s="16">
        <v>0</v>
      </c>
      <c r="BD89" s="16">
        <v>0</v>
      </c>
      <c r="BE89" s="16">
        <v>0</v>
      </c>
      <c r="BF89" s="16">
        <f>SUM(BG89:BH89)</f>
        <v>0</v>
      </c>
      <c r="BG89" s="16">
        <v>0</v>
      </c>
      <c r="BH89" s="16">
        <v>0</v>
      </c>
      <c r="BI89" s="16">
        <v>0</v>
      </c>
      <c r="BJ89" s="16">
        <v>0</v>
      </c>
      <c r="BK89" s="16">
        <f>SUM(BL89)</f>
        <v>0</v>
      </c>
      <c r="BL89" s="16">
        <v>0</v>
      </c>
      <c r="BM89" s="16">
        <f>SUM(BN89:BX89)</f>
        <v>0</v>
      </c>
      <c r="BN89" s="16">
        <v>0</v>
      </c>
      <c r="BO89" s="16">
        <v>0</v>
      </c>
      <c r="BP89" s="16">
        <v>0</v>
      </c>
      <c r="BQ89" s="16">
        <v>0</v>
      </c>
      <c r="BR89" s="16">
        <v>0</v>
      </c>
      <c r="BS89" s="16">
        <v>0</v>
      </c>
      <c r="BT89" s="16">
        <v>0</v>
      </c>
      <c r="BU89" s="16">
        <v>0</v>
      </c>
      <c r="BV89" s="16">
        <v>0</v>
      </c>
      <c r="BW89" s="16">
        <v>0</v>
      </c>
      <c r="BX89" s="16">
        <v>0</v>
      </c>
      <c r="BY89" s="16">
        <f t="shared" si="106"/>
        <v>0</v>
      </c>
      <c r="BZ89" s="16">
        <f t="shared" si="107"/>
        <v>0</v>
      </c>
      <c r="CA89" s="16">
        <f>SUM(CB89:CC89)</f>
        <v>0</v>
      </c>
      <c r="CB89" s="16">
        <v>0</v>
      </c>
      <c r="CC89" s="16">
        <v>0</v>
      </c>
      <c r="CD89" s="16">
        <f>SUM(CE89:CI89)</f>
        <v>0</v>
      </c>
      <c r="CE89" s="16">
        <v>0</v>
      </c>
      <c r="CF89" s="16">
        <v>0</v>
      </c>
      <c r="CG89" s="16">
        <v>0</v>
      </c>
      <c r="CH89" s="16">
        <v>0</v>
      </c>
      <c r="CI89" s="16">
        <v>0</v>
      </c>
      <c r="CJ89" s="16">
        <v>0</v>
      </c>
      <c r="CK89" s="16">
        <f>SUM(CL89:CP89)</f>
        <v>0</v>
      </c>
      <c r="CL89" s="16">
        <v>0</v>
      </c>
      <c r="CM89" s="16">
        <v>0</v>
      </c>
      <c r="CN89" s="16">
        <v>0</v>
      </c>
      <c r="CO89" s="16">
        <v>0</v>
      </c>
      <c r="CP89" s="16">
        <v>0</v>
      </c>
      <c r="CQ89" s="16">
        <v>0</v>
      </c>
      <c r="CR89" s="16">
        <v>0</v>
      </c>
      <c r="CS89" s="16">
        <v>0</v>
      </c>
      <c r="CT89" s="16">
        <f>SUM(CU89)</f>
        <v>0</v>
      </c>
      <c r="CU89" s="16">
        <f>SUM(CV89:CW89)</f>
        <v>0</v>
      </c>
      <c r="CV89" s="16">
        <v>0</v>
      </c>
      <c r="CW89" s="17">
        <v>0</v>
      </c>
      <c r="CX89" s="40"/>
    </row>
    <row r="90" spans="1:102" ht="15.75" hidden="1" x14ac:dyDescent="0.25">
      <c r="A90" s="13" t="s">
        <v>1</v>
      </c>
      <c r="B90" s="14" t="s">
        <v>1</v>
      </c>
      <c r="C90" s="14" t="s">
        <v>23</v>
      </c>
      <c r="D90" s="30" t="s">
        <v>524</v>
      </c>
      <c r="E90" s="15">
        <f t="shared" si="99"/>
        <v>5078113</v>
      </c>
      <c r="F90" s="16">
        <f t="shared" si="100"/>
        <v>5078113</v>
      </c>
      <c r="G90" s="16">
        <f t="shared" si="101"/>
        <v>5078113</v>
      </c>
      <c r="H90" s="16">
        <v>0</v>
      </c>
      <c r="I90" s="16">
        <v>0</v>
      </c>
      <c r="J90" s="16">
        <f>SUM(K90:P90)</f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f>SUM(R90:S90)</f>
        <v>0</v>
      </c>
      <c r="R90" s="16">
        <v>0</v>
      </c>
      <c r="S90" s="16">
        <v>0</v>
      </c>
      <c r="T90" s="16">
        <v>0</v>
      </c>
      <c r="U90" s="16">
        <v>0</v>
      </c>
      <c r="V90" s="16">
        <f t="shared" si="102"/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f t="shared" si="103"/>
        <v>5078113</v>
      </c>
      <c r="AF90" s="16">
        <v>5078113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</v>
      </c>
      <c r="AZ90" s="16">
        <v>0</v>
      </c>
      <c r="BA90" s="16">
        <f t="shared" si="104"/>
        <v>0</v>
      </c>
      <c r="BB90" s="16">
        <f t="shared" si="105"/>
        <v>0</v>
      </c>
      <c r="BC90" s="16">
        <v>0</v>
      </c>
      <c r="BD90" s="16">
        <v>0</v>
      </c>
      <c r="BE90" s="16">
        <v>0</v>
      </c>
      <c r="BF90" s="16">
        <f>SUM(BG90:BH90)</f>
        <v>0</v>
      </c>
      <c r="BG90" s="16">
        <v>0</v>
      </c>
      <c r="BH90" s="16">
        <v>0</v>
      </c>
      <c r="BI90" s="16">
        <v>0</v>
      </c>
      <c r="BJ90" s="16">
        <v>0</v>
      </c>
      <c r="BK90" s="16">
        <f>SUM(BL90)</f>
        <v>0</v>
      </c>
      <c r="BL90" s="16">
        <v>0</v>
      </c>
      <c r="BM90" s="16">
        <f>SUM(BN90:BX90)</f>
        <v>0</v>
      </c>
      <c r="BN90" s="16">
        <v>0</v>
      </c>
      <c r="BO90" s="16">
        <v>0</v>
      </c>
      <c r="BP90" s="16">
        <v>0</v>
      </c>
      <c r="BQ90" s="16">
        <v>0</v>
      </c>
      <c r="BR90" s="16">
        <v>0</v>
      </c>
      <c r="BS90" s="16">
        <v>0</v>
      </c>
      <c r="BT90" s="16">
        <v>0</v>
      </c>
      <c r="BU90" s="16">
        <v>0</v>
      </c>
      <c r="BV90" s="16">
        <v>0</v>
      </c>
      <c r="BW90" s="16">
        <v>0</v>
      </c>
      <c r="BX90" s="16">
        <v>0</v>
      </c>
      <c r="BY90" s="16">
        <f t="shared" si="106"/>
        <v>0</v>
      </c>
      <c r="BZ90" s="16">
        <f t="shared" si="107"/>
        <v>0</v>
      </c>
      <c r="CA90" s="16">
        <f>SUM(CB90:CC90)</f>
        <v>0</v>
      </c>
      <c r="CB90" s="16">
        <v>0</v>
      </c>
      <c r="CC90" s="16">
        <v>0</v>
      </c>
      <c r="CD90" s="16">
        <f>SUM(CE90:CI90)</f>
        <v>0</v>
      </c>
      <c r="CE90" s="16">
        <v>0</v>
      </c>
      <c r="CF90" s="16">
        <v>0</v>
      </c>
      <c r="CG90" s="16">
        <v>0</v>
      </c>
      <c r="CH90" s="16">
        <v>0</v>
      </c>
      <c r="CI90" s="16">
        <v>0</v>
      </c>
      <c r="CJ90" s="16">
        <v>0</v>
      </c>
      <c r="CK90" s="16">
        <f>SUM(CL90:CP90)</f>
        <v>0</v>
      </c>
      <c r="CL90" s="16">
        <v>0</v>
      </c>
      <c r="CM90" s="16">
        <v>0</v>
      </c>
      <c r="CN90" s="16">
        <v>0</v>
      </c>
      <c r="CO90" s="16">
        <v>0</v>
      </c>
      <c r="CP90" s="16">
        <v>0</v>
      </c>
      <c r="CQ90" s="16">
        <v>0</v>
      </c>
      <c r="CR90" s="16">
        <v>0</v>
      </c>
      <c r="CS90" s="16">
        <v>0</v>
      </c>
      <c r="CT90" s="16">
        <f>SUM(CU90)</f>
        <v>0</v>
      </c>
      <c r="CU90" s="16">
        <f>SUM(CV90:CW90)</f>
        <v>0</v>
      </c>
      <c r="CV90" s="16">
        <v>0</v>
      </c>
      <c r="CW90" s="17">
        <v>0</v>
      </c>
      <c r="CX90" s="40"/>
    </row>
    <row r="91" spans="1:102" s="49" customFormat="1" ht="15.75" hidden="1" x14ac:dyDescent="0.25">
      <c r="A91" s="42"/>
      <c r="B91" s="43"/>
      <c r="C91" s="44" t="s">
        <v>23</v>
      </c>
      <c r="D91" s="45" t="s">
        <v>551</v>
      </c>
      <c r="E91" s="46">
        <f t="shared" si="99"/>
        <v>0</v>
      </c>
      <c r="F91" s="41">
        <f t="shared" si="100"/>
        <v>0</v>
      </c>
      <c r="G91" s="41">
        <f t="shared" si="101"/>
        <v>0</v>
      </c>
      <c r="H91" s="41"/>
      <c r="I91" s="41"/>
      <c r="J91" s="41">
        <f t="shared" ref="J91:J92" si="108">SUM(K91:P91)</f>
        <v>0</v>
      </c>
      <c r="K91" s="41">
        <v>0</v>
      </c>
      <c r="L91" s="41"/>
      <c r="M91" s="41">
        <v>0</v>
      </c>
      <c r="N91" s="41">
        <v>0</v>
      </c>
      <c r="O91" s="41"/>
      <c r="P91" s="41"/>
      <c r="Q91" s="41">
        <f t="shared" ref="Q91:Q92" si="109">SUM(R91:S91)</f>
        <v>0</v>
      </c>
      <c r="R91" s="41"/>
      <c r="S91" s="41"/>
      <c r="T91" s="41">
        <v>0</v>
      </c>
      <c r="U91" s="41"/>
      <c r="V91" s="41">
        <f t="shared" si="102"/>
        <v>0</v>
      </c>
      <c r="W91" s="41"/>
      <c r="X91" s="41"/>
      <c r="Y91" s="41"/>
      <c r="Z91" s="41"/>
      <c r="AA91" s="41"/>
      <c r="AB91" s="41">
        <v>0</v>
      </c>
      <c r="AC91" s="41">
        <v>0</v>
      </c>
      <c r="AD91" s="41"/>
      <c r="AE91" s="41">
        <f>SUM(AF91:AZ91)</f>
        <v>0</v>
      </c>
      <c r="AF91" s="41">
        <v>0</v>
      </c>
      <c r="AG91" s="41"/>
      <c r="AH91" s="41"/>
      <c r="AI91" s="41">
        <v>0</v>
      </c>
      <c r="AJ91" s="41"/>
      <c r="AK91" s="41"/>
      <c r="AL91" s="41"/>
      <c r="AM91" s="41"/>
      <c r="AN91" s="41"/>
      <c r="AO91" s="41"/>
      <c r="AP91" s="41"/>
      <c r="AQ91" s="41">
        <v>0</v>
      </c>
      <c r="AR91" s="41">
        <v>0</v>
      </c>
      <c r="AS91" s="41"/>
      <c r="AT91" s="41">
        <v>0</v>
      </c>
      <c r="AU91" s="41">
        <v>0</v>
      </c>
      <c r="AV91" s="41">
        <v>0</v>
      </c>
      <c r="AW91" s="41">
        <v>0</v>
      </c>
      <c r="AX91" s="41">
        <v>0</v>
      </c>
      <c r="AY91" s="41"/>
      <c r="AZ91" s="41"/>
      <c r="BA91" s="41">
        <f t="shared" si="104"/>
        <v>0</v>
      </c>
      <c r="BB91" s="41">
        <f t="shared" si="105"/>
        <v>0</v>
      </c>
      <c r="BC91" s="41">
        <v>0</v>
      </c>
      <c r="BD91" s="41">
        <v>0</v>
      </c>
      <c r="BE91" s="41">
        <v>0</v>
      </c>
      <c r="BF91" s="41">
        <f t="shared" ref="BF91:BF92" si="110">SUM(BG91:BH91)</f>
        <v>0</v>
      </c>
      <c r="BG91" s="41">
        <v>0</v>
      </c>
      <c r="BH91" s="41">
        <v>0</v>
      </c>
      <c r="BI91" s="41">
        <v>0</v>
      </c>
      <c r="BJ91" s="41">
        <v>0</v>
      </c>
      <c r="BK91" s="41">
        <f t="shared" ref="BK91:BK92" si="111">SUM(BL91)</f>
        <v>0</v>
      </c>
      <c r="BL91" s="41">
        <v>0</v>
      </c>
      <c r="BM91" s="41">
        <f t="shared" ref="BM91:BM92" si="112">SUM(BN91:BX91)</f>
        <v>0</v>
      </c>
      <c r="BN91" s="41">
        <v>0</v>
      </c>
      <c r="BO91" s="41">
        <v>0</v>
      </c>
      <c r="BP91" s="41">
        <v>0</v>
      </c>
      <c r="BQ91" s="41">
        <v>0</v>
      </c>
      <c r="BR91" s="41">
        <v>0</v>
      </c>
      <c r="BS91" s="41">
        <v>0</v>
      </c>
      <c r="BT91" s="41">
        <v>0</v>
      </c>
      <c r="BU91" s="41">
        <v>0</v>
      </c>
      <c r="BV91" s="41">
        <v>0</v>
      </c>
      <c r="BW91" s="41"/>
      <c r="BX91" s="41">
        <v>0</v>
      </c>
      <c r="BY91" s="41">
        <f t="shared" si="106"/>
        <v>0</v>
      </c>
      <c r="BZ91" s="41">
        <f t="shared" si="107"/>
        <v>0</v>
      </c>
      <c r="CA91" s="41">
        <f t="shared" ref="CA91:CA92" si="113">SUM(CB91:CC91)</f>
        <v>0</v>
      </c>
      <c r="CB91" s="41">
        <v>0</v>
      </c>
      <c r="CC91" s="41"/>
      <c r="CD91" s="41">
        <f t="shared" ref="CD91:CD92" si="114">SUM(CE91:CI91)</f>
        <v>0</v>
      </c>
      <c r="CE91" s="41">
        <v>0</v>
      </c>
      <c r="CF91" s="41">
        <v>0</v>
      </c>
      <c r="CG91" s="41">
        <v>0</v>
      </c>
      <c r="CH91" s="41">
        <v>0</v>
      </c>
      <c r="CI91" s="41">
        <v>0</v>
      </c>
      <c r="CJ91" s="41">
        <v>0</v>
      </c>
      <c r="CK91" s="41">
        <f t="shared" ref="CK91:CK92" si="115">SUM(CL91:CP91)</f>
        <v>0</v>
      </c>
      <c r="CL91" s="41">
        <v>0</v>
      </c>
      <c r="CM91" s="41">
        <v>0</v>
      </c>
      <c r="CN91" s="41">
        <v>0</v>
      </c>
      <c r="CO91" s="41"/>
      <c r="CP91" s="41">
        <v>0</v>
      </c>
      <c r="CQ91" s="41">
        <f>SUM(CR91)</f>
        <v>0</v>
      </c>
      <c r="CR91" s="41"/>
      <c r="CS91" s="41">
        <v>0</v>
      </c>
      <c r="CT91" s="41">
        <f t="shared" ref="CT91:CT92" si="116">SUM(CU91)</f>
        <v>0</v>
      </c>
      <c r="CU91" s="41">
        <f t="shared" ref="CU91:CU92" si="117">SUM(CV91:CW91)</f>
        <v>0</v>
      </c>
      <c r="CV91" s="41">
        <v>0</v>
      </c>
      <c r="CW91" s="47">
        <v>0</v>
      </c>
      <c r="CX91" s="48"/>
    </row>
    <row r="92" spans="1:102" s="49" customFormat="1" ht="15.75" hidden="1" x14ac:dyDescent="0.25">
      <c r="A92" s="42"/>
      <c r="B92" s="43"/>
      <c r="C92" s="44" t="s">
        <v>23</v>
      </c>
      <c r="D92" s="45" t="s">
        <v>552</v>
      </c>
      <c r="E92" s="46">
        <f t="shared" si="99"/>
        <v>0</v>
      </c>
      <c r="F92" s="41">
        <f t="shared" si="100"/>
        <v>0</v>
      </c>
      <c r="G92" s="41">
        <f t="shared" si="101"/>
        <v>0</v>
      </c>
      <c r="H92" s="41"/>
      <c r="I92" s="41"/>
      <c r="J92" s="41">
        <f t="shared" si="108"/>
        <v>0</v>
      </c>
      <c r="K92" s="41">
        <v>0</v>
      </c>
      <c r="L92" s="41"/>
      <c r="M92" s="41">
        <v>0</v>
      </c>
      <c r="N92" s="41">
        <v>0</v>
      </c>
      <c r="O92" s="41"/>
      <c r="P92" s="41"/>
      <c r="Q92" s="41">
        <f t="shared" si="109"/>
        <v>0</v>
      </c>
      <c r="R92" s="41"/>
      <c r="S92" s="41"/>
      <c r="T92" s="41">
        <v>0</v>
      </c>
      <c r="U92" s="41"/>
      <c r="V92" s="41">
        <f t="shared" si="102"/>
        <v>0</v>
      </c>
      <c r="W92" s="41"/>
      <c r="X92" s="41"/>
      <c r="Y92" s="41"/>
      <c r="Z92" s="41"/>
      <c r="AA92" s="41"/>
      <c r="AB92" s="41">
        <v>0</v>
      </c>
      <c r="AC92" s="41">
        <v>0</v>
      </c>
      <c r="AD92" s="41"/>
      <c r="AE92" s="41">
        <f>SUM(AF92:AZ92)</f>
        <v>0</v>
      </c>
      <c r="AF92" s="41">
        <v>0</v>
      </c>
      <c r="AG92" s="41"/>
      <c r="AH92" s="41"/>
      <c r="AI92" s="41">
        <v>0</v>
      </c>
      <c r="AJ92" s="41"/>
      <c r="AK92" s="41"/>
      <c r="AL92" s="41"/>
      <c r="AM92" s="41"/>
      <c r="AN92" s="41"/>
      <c r="AO92" s="41"/>
      <c r="AP92" s="41"/>
      <c r="AQ92" s="41">
        <v>0</v>
      </c>
      <c r="AR92" s="41">
        <v>0</v>
      </c>
      <c r="AS92" s="41"/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/>
      <c r="AZ92" s="41"/>
      <c r="BA92" s="41">
        <f t="shared" si="104"/>
        <v>0</v>
      </c>
      <c r="BB92" s="41">
        <f t="shared" si="105"/>
        <v>0</v>
      </c>
      <c r="BC92" s="41">
        <v>0</v>
      </c>
      <c r="BD92" s="41">
        <v>0</v>
      </c>
      <c r="BE92" s="41">
        <v>0</v>
      </c>
      <c r="BF92" s="41">
        <f t="shared" si="110"/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f t="shared" si="111"/>
        <v>0</v>
      </c>
      <c r="BL92" s="41">
        <v>0</v>
      </c>
      <c r="BM92" s="41">
        <f t="shared" si="112"/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/>
      <c r="BX92" s="41">
        <v>0</v>
      </c>
      <c r="BY92" s="41">
        <f t="shared" si="106"/>
        <v>0</v>
      </c>
      <c r="BZ92" s="41">
        <f t="shared" si="107"/>
        <v>0</v>
      </c>
      <c r="CA92" s="41">
        <f t="shared" si="113"/>
        <v>0</v>
      </c>
      <c r="CB92" s="41">
        <v>0</v>
      </c>
      <c r="CC92" s="41"/>
      <c r="CD92" s="41">
        <f t="shared" si="114"/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f t="shared" si="115"/>
        <v>0</v>
      </c>
      <c r="CL92" s="41">
        <v>0</v>
      </c>
      <c r="CM92" s="41">
        <v>0</v>
      </c>
      <c r="CN92" s="41">
        <v>0</v>
      </c>
      <c r="CO92" s="41"/>
      <c r="CP92" s="41">
        <v>0</v>
      </c>
      <c r="CQ92" s="41">
        <f>SUM(CR92)</f>
        <v>0</v>
      </c>
      <c r="CR92" s="41"/>
      <c r="CS92" s="41">
        <v>0</v>
      </c>
      <c r="CT92" s="41">
        <f t="shared" si="116"/>
        <v>0</v>
      </c>
      <c r="CU92" s="41">
        <f t="shared" si="117"/>
        <v>0</v>
      </c>
      <c r="CV92" s="41">
        <v>0</v>
      </c>
      <c r="CW92" s="47">
        <v>0</v>
      </c>
      <c r="CX92" s="48"/>
    </row>
    <row r="93" spans="1:102" ht="15.75" hidden="1" x14ac:dyDescent="0.25">
      <c r="A93" s="13" t="s">
        <v>1</v>
      </c>
      <c r="B93" s="14" t="s">
        <v>1</v>
      </c>
      <c r="C93" s="14" t="s">
        <v>25</v>
      </c>
      <c r="D93" s="30" t="s">
        <v>526</v>
      </c>
      <c r="E93" s="15">
        <f t="shared" si="99"/>
        <v>315668</v>
      </c>
      <c r="F93" s="16">
        <f t="shared" si="100"/>
        <v>315668</v>
      </c>
      <c r="G93" s="16">
        <f t="shared" si="101"/>
        <v>315668</v>
      </c>
      <c r="H93" s="16">
        <v>0</v>
      </c>
      <c r="I93" s="16">
        <v>0</v>
      </c>
      <c r="J93" s="16">
        <f t="shared" si="71"/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f t="shared" si="72"/>
        <v>0</v>
      </c>
      <c r="R93" s="16">
        <v>0</v>
      </c>
      <c r="S93" s="16">
        <v>0</v>
      </c>
      <c r="T93" s="16">
        <v>0</v>
      </c>
      <c r="U93" s="16">
        <v>0</v>
      </c>
      <c r="V93" s="16">
        <f t="shared" si="102"/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f t="shared" si="103"/>
        <v>315668</v>
      </c>
      <c r="AF93" s="16">
        <v>315668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</v>
      </c>
      <c r="AZ93" s="16">
        <v>0</v>
      </c>
      <c r="BA93" s="16">
        <f t="shared" si="104"/>
        <v>0</v>
      </c>
      <c r="BB93" s="16">
        <f t="shared" si="105"/>
        <v>0</v>
      </c>
      <c r="BC93" s="16">
        <v>0</v>
      </c>
      <c r="BD93" s="16">
        <v>0</v>
      </c>
      <c r="BE93" s="16">
        <v>0</v>
      </c>
      <c r="BF93" s="16">
        <f t="shared" si="73"/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f t="shared" si="74"/>
        <v>0</v>
      </c>
      <c r="BL93" s="16">
        <v>0</v>
      </c>
      <c r="BM93" s="16">
        <f t="shared" si="75"/>
        <v>0</v>
      </c>
      <c r="BN93" s="16">
        <v>0</v>
      </c>
      <c r="BO93" s="16">
        <v>0</v>
      </c>
      <c r="BP93" s="16">
        <v>0</v>
      </c>
      <c r="BQ93" s="16">
        <v>0</v>
      </c>
      <c r="BR93" s="16">
        <v>0</v>
      </c>
      <c r="BS93" s="16">
        <v>0</v>
      </c>
      <c r="BT93" s="16">
        <v>0</v>
      </c>
      <c r="BU93" s="16">
        <v>0</v>
      </c>
      <c r="BV93" s="16">
        <v>0</v>
      </c>
      <c r="BW93" s="16">
        <v>0</v>
      </c>
      <c r="BX93" s="16">
        <v>0</v>
      </c>
      <c r="BY93" s="16">
        <f t="shared" si="106"/>
        <v>0</v>
      </c>
      <c r="BZ93" s="16">
        <f t="shared" si="107"/>
        <v>0</v>
      </c>
      <c r="CA93" s="16">
        <f t="shared" si="76"/>
        <v>0</v>
      </c>
      <c r="CB93" s="16">
        <v>0</v>
      </c>
      <c r="CC93" s="16">
        <v>0</v>
      </c>
      <c r="CD93" s="16">
        <f t="shared" si="77"/>
        <v>0</v>
      </c>
      <c r="CE93" s="16">
        <v>0</v>
      </c>
      <c r="CF93" s="16">
        <v>0</v>
      </c>
      <c r="CG93" s="16">
        <v>0</v>
      </c>
      <c r="CH93" s="16">
        <v>0</v>
      </c>
      <c r="CI93" s="16">
        <v>0</v>
      </c>
      <c r="CJ93" s="16">
        <v>0</v>
      </c>
      <c r="CK93" s="16">
        <f t="shared" si="78"/>
        <v>0</v>
      </c>
      <c r="CL93" s="16">
        <v>0</v>
      </c>
      <c r="CM93" s="16">
        <v>0</v>
      </c>
      <c r="CN93" s="16">
        <v>0</v>
      </c>
      <c r="CO93" s="16">
        <v>0</v>
      </c>
      <c r="CP93" s="16">
        <v>0</v>
      </c>
      <c r="CQ93" s="16">
        <v>0</v>
      </c>
      <c r="CR93" s="16">
        <v>0</v>
      </c>
      <c r="CS93" s="16">
        <v>0</v>
      </c>
      <c r="CT93" s="16">
        <f t="shared" si="79"/>
        <v>0</v>
      </c>
      <c r="CU93" s="16">
        <f t="shared" si="80"/>
        <v>0</v>
      </c>
      <c r="CV93" s="16">
        <v>0</v>
      </c>
      <c r="CW93" s="17">
        <v>0</v>
      </c>
      <c r="CX93" s="40"/>
    </row>
    <row r="94" spans="1:102" ht="31.5" hidden="1" x14ac:dyDescent="0.25">
      <c r="A94" s="13" t="s">
        <v>1</v>
      </c>
      <c r="B94" s="14" t="s">
        <v>1</v>
      </c>
      <c r="C94" s="14" t="s">
        <v>98</v>
      </c>
      <c r="D94" s="30" t="s">
        <v>99</v>
      </c>
      <c r="E94" s="15">
        <f t="shared" si="99"/>
        <v>555159</v>
      </c>
      <c r="F94" s="16">
        <f t="shared" si="100"/>
        <v>555159</v>
      </c>
      <c r="G94" s="16">
        <f t="shared" si="101"/>
        <v>555159</v>
      </c>
      <c r="H94" s="16">
        <v>0</v>
      </c>
      <c r="I94" s="16">
        <v>0</v>
      </c>
      <c r="J94" s="16">
        <f t="shared" si="71"/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f t="shared" si="72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si="102"/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f t="shared" si="103"/>
        <v>555159</v>
      </c>
      <c r="AF94" s="16">
        <v>555159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f t="shared" si="104"/>
        <v>0</v>
      </c>
      <c r="BB94" s="16">
        <f t="shared" si="105"/>
        <v>0</v>
      </c>
      <c r="BC94" s="16">
        <v>0</v>
      </c>
      <c r="BD94" s="16">
        <v>0</v>
      </c>
      <c r="BE94" s="16">
        <v>0</v>
      </c>
      <c r="BF94" s="16">
        <f t="shared" si="73"/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f t="shared" si="74"/>
        <v>0</v>
      </c>
      <c r="BL94" s="16">
        <v>0</v>
      </c>
      <c r="BM94" s="16">
        <f t="shared" si="75"/>
        <v>0</v>
      </c>
      <c r="BN94" s="16">
        <v>0</v>
      </c>
      <c r="BO94" s="16">
        <v>0</v>
      </c>
      <c r="BP94" s="16">
        <v>0</v>
      </c>
      <c r="BQ94" s="16">
        <v>0</v>
      </c>
      <c r="BR94" s="16">
        <v>0</v>
      </c>
      <c r="BS94" s="16">
        <v>0</v>
      </c>
      <c r="BT94" s="16">
        <v>0</v>
      </c>
      <c r="BU94" s="16">
        <v>0</v>
      </c>
      <c r="BV94" s="16">
        <v>0</v>
      </c>
      <c r="BW94" s="16">
        <v>0</v>
      </c>
      <c r="BX94" s="16">
        <v>0</v>
      </c>
      <c r="BY94" s="16">
        <f t="shared" si="106"/>
        <v>0</v>
      </c>
      <c r="BZ94" s="16">
        <f t="shared" si="107"/>
        <v>0</v>
      </c>
      <c r="CA94" s="16">
        <f t="shared" si="76"/>
        <v>0</v>
      </c>
      <c r="CB94" s="16">
        <v>0</v>
      </c>
      <c r="CC94" s="16">
        <v>0</v>
      </c>
      <c r="CD94" s="16">
        <f t="shared" si="77"/>
        <v>0</v>
      </c>
      <c r="CE94" s="16">
        <v>0</v>
      </c>
      <c r="CF94" s="16">
        <v>0</v>
      </c>
      <c r="CG94" s="16">
        <v>0</v>
      </c>
      <c r="CH94" s="16">
        <v>0</v>
      </c>
      <c r="CI94" s="16">
        <v>0</v>
      </c>
      <c r="CJ94" s="16">
        <v>0</v>
      </c>
      <c r="CK94" s="16">
        <f t="shared" si="78"/>
        <v>0</v>
      </c>
      <c r="CL94" s="16">
        <v>0</v>
      </c>
      <c r="CM94" s="16">
        <v>0</v>
      </c>
      <c r="CN94" s="16">
        <v>0</v>
      </c>
      <c r="CO94" s="16">
        <v>0</v>
      </c>
      <c r="CP94" s="16">
        <v>0</v>
      </c>
      <c r="CQ94" s="16">
        <v>0</v>
      </c>
      <c r="CR94" s="16">
        <v>0</v>
      </c>
      <c r="CS94" s="16">
        <v>0</v>
      </c>
      <c r="CT94" s="16">
        <f t="shared" si="79"/>
        <v>0</v>
      </c>
      <c r="CU94" s="16">
        <f t="shared" si="80"/>
        <v>0</v>
      </c>
      <c r="CV94" s="16">
        <v>0</v>
      </c>
      <c r="CW94" s="17">
        <v>0</v>
      </c>
      <c r="CX94" s="40"/>
    </row>
    <row r="95" spans="1:102" ht="15.75" hidden="1" x14ac:dyDescent="0.25">
      <c r="A95" s="13" t="s">
        <v>1</v>
      </c>
      <c r="B95" s="14" t="s">
        <v>1</v>
      </c>
      <c r="C95" s="14" t="s">
        <v>29</v>
      </c>
      <c r="D95" s="30" t="s">
        <v>525</v>
      </c>
      <c r="E95" s="15">
        <f t="shared" si="99"/>
        <v>661407</v>
      </c>
      <c r="F95" s="16">
        <f t="shared" si="100"/>
        <v>661407</v>
      </c>
      <c r="G95" s="16">
        <f t="shared" si="101"/>
        <v>661407</v>
      </c>
      <c r="H95" s="16">
        <v>0</v>
      </c>
      <c r="I95" s="16">
        <v>0</v>
      </c>
      <c r="J95" s="16">
        <f t="shared" si="71"/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f t="shared" si="72"/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102"/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f t="shared" si="103"/>
        <v>661407</v>
      </c>
      <c r="AF95" s="16">
        <v>661407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f t="shared" si="104"/>
        <v>0</v>
      </c>
      <c r="BB95" s="16">
        <f t="shared" si="105"/>
        <v>0</v>
      </c>
      <c r="BC95" s="16">
        <v>0</v>
      </c>
      <c r="BD95" s="16">
        <v>0</v>
      </c>
      <c r="BE95" s="16">
        <v>0</v>
      </c>
      <c r="BF95" s="16">
        <f t="shared" si="73"/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f t="shared" si="74"/>
        <v>0</v>
      </c>
      <c r="BL95" s="16">
        <v>0</v>
      </c>
      <c r="BM95" s="16">
        <f t="shared" si="75"/>
        <v>0</v>
      </c>
      <c r="BN95" s="16">
        <v>0</v>
      </c>
      <c r="BO95" s="16">
        <v>0</v>
      </c>
      <c r="BP95" s="16">
        <v>0</v>
      </c>
      <c r="BQ95" s="16">
        <v>0</v>
      </c>
      <c r="BR95" s="16">
        <v>0</v>
      </c>
      <c r="BS95" s="16">
        <v>0</v>
      </c>
      <c r="BT95" s="16">
        <v>0</v>
      </c>
      <c r="BU95" s="16">
        <v>0</v>
      </c>
      <c r="BV95" s="16">
        <v>0</v>
      </c>
      <c r="BW95" s="16">
        <v>0</v>
      </c>
      <c r="BX95" s="16">
        <v>0</v>
      </c>
      <c r="BY95" s="16">
        <f t="shared" si="106"/>
        <v>0</v>
      </c>
      <c r="BZ95" s="16">
        <f t="shared" si="107"/>
        <v>0</v>
      </c>
      <c r="CA95" s="16">
        <f t="shared" si="76"/>
        <v>0</v>
      </c>
      <c r="CB95" s="16">
        <v>0</v>
      </c>
      <c r="CC95" s="16">
        <v>0</v>
      </c>
      <c r="CD95" s="16">
        <f t="shared" si="77"/>
        <v>0</v>
      </c>
      <c r="CE95" s="16">
        <v>0</v>
      </c>
      <c r="CF95" s="16">
        <v>0</v>
      </c>
      <c r="CG95" s="16">
        <v>0</v>
      </c>
      <c r="CH95" s="16">
        <v>0</v>
      </c>
      <c r="CI95" s="16">
        <v>0</v>
      </c>
      <c r="CJ95" s="16">
        <v>0</v>
      </c>
      <c r="CK95" s="16">
        <f t="shared" si="78"/>
        <v>0</v>
      </c>
      <c r="CL95" s="16">
        <v>0</v>
      </c>
      <c r="CM95" s="16">
        <v>0</v>
      </c>
      <c r="CN95" s="16">
        <v>0</v>
      </c>
      <c r="CO95" s="16">
        <v>0</v>
      </c>
      <c r="CP95" s="16">
        <v>0</v>
      </c>
      <c r="CQ95" s="16">
        <v>0</v>
      </c>
      <c r="CR95" s="16">
        <v>0</v>
      </c>
      <c r="CS95" s="16">
        <v>0</v>
      </c>
      <c r="CT95" s="16">
        <f t="shared" si="79"/>
        <v>0</v>
      </c>
      <c r="CU95" s="16">
        <f t="shared" si="80"/>
        <v>0</v>
      </c>
      <c r="CV95" s="16">
        <v>0</v>
      </c>
      <c r="CW95" s="17">
        <v>0</v>
      </c>
      <c r="CX95" s="40"/>
    </row>
    <row r="96" spans="1:102" ht="31.5" hidden="1" x14ac:dyDescent="0.25">
      <c r="A96" s="13" t="s">
        <v>1</v>
      </c>
      <c r="B96" s="14" t="s">
        <v>1</v>
      </c>
      <c r="C96" s="14" t="s">
        <v>122</v>
      </c>
      <c r="D96" s="30" t="s">
        <v>520</v>
      </c>
      <c r="E96" s="15">
        <f t="shared" si="99"/>
        <v>366211</v>
      </c>
      <c r="F96" s="16">
        <f t="shared" si="100"/>
        <v>350593</v>
      </c>
      <c r="G96" s="16">
        <f t="shared" si="101"/>
        <v>350593</v>
      </c>
      <c r="H96" s="16">
        <v>274466</v>
      </c>
      <c r="I96" s="16">
        <v>63541</v>
      </c>
      <c r="J96" s="16">
        <f t="shared" si="71"/>
        <v>9114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9114</v>
      </c>
      <c r="Q96" s="16">
        <f t="shared" si="72"/>
        <v>1736</v>
      </c>
      <c r="R96" s="16">
        <v>0</v>
      </c>
      <c r="S96" s="16">
        <v>1736</v>
      </c>
      <c r="T96" s="16">
        <v>0</v>
      </c>
      <c r="U96" s="16">
        <v>0</v>
      </c>
      <c r="V96" s="16">
        <f t="shared" si="102"/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f t="shared" si="103"/>
        <v>1736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1736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f t="shared" si="104"/>
        <v>0</v>
      </c>
      <c r="BB96" s="16">
        <f t="shared" si="105"/>
        <v>0</v>
      </c>
      <c r="BC96" s="16">
        <v>0</v>
      </c>
      <c r="BD96" s="16">
        <v>0</v>
      </c>
      <c r="BE96" s="16">
        <v>0</v>
      </c>
      <c r="BF96" s="16">
        <f t="shared" si="73"/>
        <v>0</v>
      </c>
      <c r="BG96" s="16">
        <v>0</v>
      </c>
      <c r="BH96" s="16">
        <v>0</v>
      </c>
      <c r="BI96" s="16">
        <v>0</v>
      </c>
      <c r="BJ96" s="16">
        <v>0</v>
      </c>
      <c r="BK96" s="16">
        <f t="shared" si="74"/>
        <v>0</v>
      </c>
      <c r="BL96" s="16">
        <v>0</v>
      </c>
      <c r="BM96" s="16">
        <f t="shared" si="75"/>
        <v>0</v>
      </c>
      <c r="BN96" s="16">
        <v>0</v>
      </c>
      <c r="BO96" s="16">
        <v>0</v>
      </c>
      <c r="BP96" s="16">
        <v>0</v>
      </c>
      <c r="BQ96" s="16">
        <v>0</v>
      </c>
      <c r="BR96" s="16">
        <v>0</v>
      </c>
      <c r="BS96" s="16">
        <v>0</v>
      </c>
      <c r="BT96" s="16">
        <v>0</v>
      </c>
      <c r="BU96" s="16">
        <v>0</v>
      </c>
      <c r="BV96" s="16">
        <v>0</v>
      </c>
      <c r="BW96" s="16">
        <v>0</v>
      </c>
      <c r="BX96" s="16">
        <v>0</v>
      </c>
      <c r="BY96" s="16">
        <f t="shared" si="106"/>
        <v>15618</v>
      </c>
      <c r="BZ96" s="16">
        <f t="shared" si="107"/>
        <v>15618</v>
      </c>
      <c r="CA96" s="16">
        <f t="shared" si="76"/>
        <v>15618</v>
      </c>
      <c r="CB96" s="16">
        <v>0</v>
      </c>
      <c r="CC96" s="16">
        <v>15618</v>
      </c>
      <c r="CD96" s="16">
        <f t="shared" si="77"/>
        <v>0</v>
      </c>
      <c r="CE96" s="16">
        <v>0</v>
      </c>
      <c r="CF96" s="16">
        <v>0</v>
      </c>
      <c r="CG96" s="16">
        <v>0</v>
      </c>
      <c r="CH96" s="16">
        <v>0</v>
      </c>
      <c r="CI96" s="16">
        <v>0</v>
      </c>
      <c r="CJ96" s="16">
        <v>0</v>
      </c>
      <c r="CK96" s="16">
        <f t="shared" si="78"/>
        <v>0</v>
      </c>
      <c r="CL96" s="16">
        <v>0</v>
      </c>
      <c r="CM96" s="16">
        <v>0</v>
      </c>
      <c r="CN96" s="16">
        <v>0</v>
      </c>
      <c r="CO96" s="16">
        <v>0</v>
      </c>
      <c r="CP96" s="16">
        <v>0</v>
      </c>
      <c r="CQ96" s="16">
        <v>0</v>
      </c>
      <c r="CR96" s="16">
        <v>0</v>
      </c>
      <c r="CS96" s="16">
        <v>0</v>
      </c>
      <c r="CT96" s="16">
        <f t="shared" si="79"/>
        <v>0</v>
      </c>
      <c r="CU96" s="16">
        <f t="shared" si="80"/>
        <v>0</v>
      </c>
      <c r="CV96" s="16">
        <v>0</v>
      </c>
      <c r="CW96" s="17">
        <v>0</v>
      </c>
      <c r="CX96" s="40"/>
    </row>
    <row r="97" spans="1:102" ht="15.75" hidden="1" x14ac:dyDescent="0.25">
      <c r="A97" s="13" t="s">
        <v>1</v>
      </c>
      <c r="B97" s="14" t="s">
        <v>1</v>
      </c>
      <c r="C97" s="14" t="s">
        <v>113</v>
      </c>
      <c r="D97" s="30" t="s">
        <v>553</v>
      </c>
      <c r="E97" s="15">
        <f t="shared" si="99"/>
        <v>117472</v>
      </c>
      <c r="F97" s="16">
        <f t="shared" si="100"/>
        <v>117472</v>
      </c>
      <c r="G97" s="16">
        <f t="shared" si="101"/>
        <v>117472</v>
      </c>
      <c r="H97" s="16">
        <v>0</v>
      </c>
      <c r="I97" s="16">
        <v>0</v>
      </c>
      <c r="J97" s="16">
        <f>SUM(K97:P97)</f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f>SUM(R97:S97)</f>
        <v>0</v>
      </c>
      <c r="R97" s="16">
        <v>0</v>
      </c>
      <c r="S97" s="16">
        <v>0</v>
      </c>
      <c r="T97" s="16">
        <v>0</v>
      </c>
      <c r="U97" s="16">
        <v>0</v>
      </c>
      <c r="V97" s="16">
        <f t="shared" si="102"/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f t="shared" si="103"/>
        <v>117472</v>
      </c>
      <c r="AF97" s="16">
        <v>117472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f t="shared" si="104"/>
        <v>0</v>
      </c>
      <c r="BB97" s="16">
        <f t="shared" si="105"/>
        <v>0</v>
      </c>
      <c r="BC97" s="16">
        <v>0</v>
      </c>
      <c r="BD97" s="16">
        <v>0</v>
      </c>
      <c r="BE97" s="16">
        <v>0</v>
      </c>
      <c r="BF97" s="16">
        <f>SUM(BG97:BH97)</f>
        <v>0</v>
      </c>
      <c r="BG97" s="16">
        <v>0</v>
      </c>
      <c r="BH97" s="16">
        <v>0</v>
      </c>
      <c r="BI97" s="16">
        <v>0</v>
      </c>
      <c r="BJ97" s="16">
        <v>0</v>
      </c>
      <c r="BK97" s="16">
        <f>SUM(BL97)</f>
        <v>0</v>
      </c>
      <c r="BL97" s="16">
        <v>0</v>
      </c>
      <c r="BM97" s="16">
        <f>SUM(BN97:BX97)</f>
        <v>0</v>
      </c>
      <c r="BN97" s="16">
        <v>0</v>
      </c>
      <c r="BO97" s="16">
        <v>0</v>
      </c>
      <c r="BP97" s="16">
        <v>0</v>
      </c>
      <c r="BQ97" s="16">
        <v>0</v>
      </c>
      <c r="BR97" s="16">
        <v>0</v>
      </c>
      <c r="BS97" s="16">
        <v>0</v>
      </c>
      <c r="BT97" s="16">
        <v>0</v>
      </c>
      <c r="BU97" s="16">
        <v>0</v>
      </c>
      <c r="BV97" s="16">
        <v>0</v>
      </c>
      <c r="BW97" s="16">
        <v>0</v>
      </c>
      <c r="BX97" s="16">
        <v>0</v>
      </c>
      <c r="BY97" s="16">
        <f t="shared" si="106"/>
        <v>0</v>
      </c>
      <c r="BZ97" s="16">
        <f t="shared" si="107"/>
        <v>0</v>
      </c>
      <c r="CA97" s="16">
        <f>SUM(CB97:CC97)</f>
        <v>0</v>
      </c>
      <c r="CB97" s="16">
        <v>0</v>
      </c>
      <c r="CC97" s="16">
        <v>0</v>
      </c>
      <c r="CD97" s="16">
        <f>SUM(CE97:CI97)</f>
        <v>0</v>
      </c>
      <c r="CE97" s="16">
        <v>0</v>
      </c>
      <c r="CF97" s="16">
        <v>0</v>
      </c>
      <c r="CG97" s="16">
        <v>0</v>
      </c>
      <c r="CH97" s="16">
        <v>0</v>
      </c>
      <c r="CI97" s="16">
        <v>0</v>
      </c>
      <c r="CJ97" s="16">
        <v>0</v>
      </c>
      <c r="CK97" s="16">
        <f>SUM(CL97:CP97)</f>
        <v>0</v>
      </c>
      <c r="CL97" s="16">
        <v>0</v>
      </c>
      <c r="CM97" s="16">
        <v>0</v>
      </c>
      <c r="CN97" s="16">
        <v>0</v>
      </c>
      <c r="CO97" s="16">
        <v>0</v>
      </c>
      <c r="CP97" s="16">
        <v>0</v>
      </c>
      <c r="CQ97" s="16">
        <v>0</v>
      </c>
      <c r="CR97" s="16">
        <v>0</v>
      </c>
      <c r="CS97" s="16">
        <v>0</v>
      </c>
      <c r="CT97" s="16">
        <f>SUM(CU97)</f>
        <v>0</v>
      </c>
      <c r="CU97" s="16">
        <f>SUM(CV97:CW97)</f>
        <v>0</v>
      </c>
      <c r="CV97" s="16">
        <v>0</v>
      </c>
      <c r="CW97" s="17">
        <v>0</v>
      </c>
      <c r="CX97" s="40"/>
    </row>
    <row r="98" spans="1:102" ht="31.5" hidden="1" x14ac:dyDescent="0.25">
      <c r="A98" s="13" t="s">
        <v>1</v>
      </c>
      <c r="B98" s="14" t="s">
        <v>1</v>
      </c>
      <c r="C98" s="14" t="s">
        <v>33</v>
      </c>
      <c r="D98" s="30" t="s">
        <v>123</v>
      </c>
      <c r="E98" s="15">
        <f t="shared" si="99"/>
        <v>25035</v>
      </c>
      <c r="F98" s="16">
        <f t="shared" si="100"/>
        <v>25035</v>
      </c>
      <c r="G98" s="16">
        <f t="shared" si="101"/>
        <v>25035</v>
      </c>
      <c r="H98" s="16">
        <v>20028</v>
      </c>
      <c r="I98" s="16">
        <v>5007</v>
      </c>
      <c r="J98" s="16">
        <f t="shared" si="71"/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f t="shared" si="72"/>
        <v>0</v>
      </c>
      <c r="R98" s="16">
        <v>0</v>
      </c>
      <c r="S98" s="16">
        <v>0</v>
      </c>
      <c r="T98" s="16">
        <v>0</v>
      </c>
      <c r="U98" s="16">
        <v>0</v>
      </c>
      <c r="V98" s="16">
        <f t="shared" si="102"/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f t="shared" si="103"/>
        <v>0</v>
      </c>
      <c r="AF98" s="16">
        <f>129044-129044</f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f t="shared" si="104"/>
        <v>0</v>
      </c>
      <c r="BB98" s="16">
        <f t="shared" si="105"/>
        <v>0</v>
      </c>
      <c r="BC98" s="16">
        <v>0</v>
      </c>
      <c r="BD98" s="16">
        <v>0</v>
      </c>
      <c r="BE98" s="16">
        <v>0</v>
      </c>
      <c r="BF98" s="16">
        <f t="shared" si="73"/>
        <v>0</v>
      </c>
      <c r="BG98" s="16">
        <v>0</v>
      </c>
      <c r="BH98" s="16">
        <v>0</v>
      </c>
      <c r="BI98" s="16">
        <v>0</v>
      </c>
      <c r="BJ98" s="16">
        <v>0</v>
      </c>
      <c r="BK98" s="16">
        <f t="shared" si="74"/>
        <v>0</v>
      </c>
      <c r="BL98" s="16">
        <v>0</v>
      </c>
      <c r="BM98" s="16">
        <f t="shared" si="75"/>
        <v>0</v>
      </c>
      <c r="BN98" s="16">
        <v>0</v>
      </c>
      <c r="BO98" s="16">
        <v>0</v>
      </c>
      <c r="BP98" s="16">
        <v>0</v>
      </c>
      <c r="BQ98" s="16">
        <v>0</v>
      </c>
      <c r="BR98" s="16">
        <v>0</v>
      </c>
      <c r="BS98" s="16">
        <v>0</v>
      </c>
      <c r="BT98" s="16">
        <v>0</v>
      </c>
      <c r="BU98" s="16">
        <v>0</v>
      </c>
      <c r="BV98" s="16">
        <v>0</v>
      </c>
      <c r="BW98" s="16">
        <v>0</v>
      </c>
      <c r="BX98" s="16">
        <v>0</v>
      </c>
      <c r="BY98" s="16">
        <f t="shared" si="106"/>
        <v>0</v>
      </c>
      <c r="BZ98" s="16">
        <f t="shared" si="107"/>
        <v>0</v>
      </c>
      <c r="CA98" s="16">
        <f t="shared" si="76"/>
        <v>0</v>
      </c>
      <c r="CB98" s="16">
        <v>0</v>
      </c>
      <c r="CC98" s="16">
        <v>0</v>
      </c>
      <c r="CD98" s="16">
        <f t="shared" si="77"/>
        <v>0</v>
      </c>
      <c r="CE98" s="16">
        <v>0</v>
      </c>
      <c r="CF98" s="16">
        <v>0</v>
      </c>
      <c r="CG98" s="16">
        <v>0</v>
      </c>
      <c r="CH98" s="16">
        <v>0</v>
      </c>
      <c r="CI98" s="16">
        <v>0</v>
      </c>
      <c r="CJ98" s="16">
        <v>0</v>
      </c>
      <c r="CK98" s="16">
        <f t="shared" si="78"/>
        <v>0</v>
      </c>
      <c r="CL98" s="16">
        <v>0</v>
      </c>
      <c r="CM98" s="16">
        <v>0</v>
      </c>
      <c r="CN98" s="16">
        <v>0</v>
      </c>
      <c r="CO98" s="16">
        <v>0</v>
      </c>
      <c r="CP98" s="16">
        <v>0</v>
      </c>
      <c r="CQ98" s="16">
        <v>0</v>
      </c>
      <c r="CR98" s="16">
        <v>0</v>
      </c>
      <c r="CS98" s="16">
        <v>0</v>
      </c>
      <c r="CT98" s="16">
        <f t="shared" si="79"/>
        <v>0</v>
      </c>
      <c r="CU98" s="16">
        <f t="shared" si="80"/>
        <v>0</v>
      </c>
      <c r="CV98" s="16">
        <v>0</v>
      </c>
      <c r="CW98" s="17">
        <v>0</v>
      </c>
      <c r="CX98" s="40"/>
    </row>
    <row r="99" spans="1:102" ht="31.5" hidden="1" x14ac:dyDescent="0.25">
      <c r="A99" s="18" t="s">
        <v>124</v>
      </c>
      <c r="B99" s="19" t="s">
        <v>1</v>
      </c>
      <c r="C99" s="19" t="s">
        <v>1</v>
      </c>
      <c r="D99" s="31" t="s">
        <v>125</v>
      </c>
      <c r="E99" s="20">
        <f>SUM(E100)</f>
        <v>144656032</v>
      </c>
      <c r="F99" s="21">
        <f t="shared" ref="F99:BS100" si="118">SUM(F100)</f>
        <v>144656032</v>
      </c>
      <c r="G99" s="21">
        <f t="shared" si="118"/>
        <v>0</v>
      </c>
      <c r="H99" s="21">
        <f t="shared" si="118"/>
        <v>0</v>
      </c>
      <c r="I99" s="21">
        <f t="shared" si="118"/>
        <v>0</v>
      </c>
      <c r="J99" s="21">
        <f t="shared" si="118"/>
        <v>0</v>
      </c>
      <c r="K99" s="21">
        <f t="shared" si="118"/>
        <v>0</v>
      </c>
      <c r="L99" s="21">
        <f t="shared" si="118"/>
        <v>0</v>
      </c>
      <c r="M99" s="21">
        <f t="shared" si="118"/>
        <v>0</v>
      </c>
      <c r="N99" s="21">
        <f t="shared" si="118"/>
        <v>0</v>
      </c>
      <c r="O99" s="21">
        <f t="shared" si="118"/>
        <v>0</v>
      </c>
      <c r="P99" s="21">
        <f t="shared" si="118"/>
        <v>0</v>
      </c>
      <c r="Q99" s="21">
        <f t="shared" si="118"/>
        <v>0</v>
      </c>
      <c r="R99" s="21">
        <f t="shared" si="118"/>
        <v>0</v>
      </c>
      <c r="S99" s="21">
        <f t="shared" si="118"/>
        <v>0</v>
      </c>
      <c r="T99" s="21">
        <f t="shared" si="118"/>
        <v>0</v>
      </c>
      <c r="U99" s="21">
        <f t="shared" si="118"/>
        <v>0</v>
      </c>
      <c r="V99" s="21">
        <f t="shared" si="118"/>
        <v>0</v>
      </c>
      <c r="W99" s="21">
        <f t="shared" si="118"/>
        <v>0</v>
      </c>
      <c r="X99" s="21">
        <f t="shared" si="118"/>
        <v>0</v>
      </c>
      <c r="Y99" s="21">
        <f t="shared" si="118"/>
        <v>0</v>
      </c>
      <c r="Z99" s="21">
        <f t="shared" si="118"/>
        <v>0</v>
      </c>
      <c r="AA99" s="21">
        <f t="shared" si="118"/>
        <v>0</v>
      </c>
      <c r="AB99" s="21">
        <f t="shared" si="118"/>
        <v>0</v>
      </c>
      <c r="AC99" s="21">
        <f t="shared" si="118"/>
        <v>0</v>
      </c>
      <c r="AD99" s="21">
        <f t="shared" si="118"/>
        <v>0</v>
      </c>
      <c r="AE99" s="21">
        <f t="shared" si="118"/>
        <v>0</v>
      </c>
      <c r="AF99" s="21">
        <f t="shared" si="118"/>
        <v>0</v>
      </c>
      <c r="AG99" s="21">
        <f t="shared" si="118"/>
        <v>0</v>
      </c>
      <c r="AH99" s="21">
        <f t="shared" si="118"/>
        <v>0</v>
      </c>
      <c r="AI99" s="21">
        <f t="shared" si="118"/>
        <v>0</v>
      </c>
      <c r="AJ99" s="21">
        <f t="shared" si="118"/>
        <v>0</v>
      </c>
      <c r="AK99" s="21">
        <f t="shared" si="118"/>
        <v>0</v>
      </c>
      <c r="AL99" s="21">
        <f t="shared" si="118"/>
        <v>0</v>
      </c>
      <c r="AM99" s="21">
        <f t="shared" si="118"/>
        <v>0</v>
      </c>
      <c r="AN99" s="21">
        <f t="shared" si="118"/>
        <v>0</v>
      </c>
      <c r="AO99" s="21">
        <f t="shared" si="118"/>
        <v>0</v>
      </c>
      <c r="AP99" s="21">
        <f t="shared" si="118"/>
        <v>0</v>
      </c>
      <c r="AQ99" s="21">
        <f t="shared" si="118"/>
        <v>0</v>
      </c>
      <c r="AR99" s="21">
        <f t="shared" si="118"/>
        <v>0</v>
      </c>
      <c r="AS99" s="21">
        <f t="shared" si="118"/>
        <v>0</v>
      </c>
      <c r="AT99" s="21">
        <f t="shared" si="118"/>
        <v>0</v>
      </c>
      <c r="AU99" s="21">
        <f t="shared" si="118"/>
        <v>0</v>
      </c>
      <c r="AV99" s="21">
        <f t="shared" si="118"/>
        <v>0</v>
      </c>
      <c r="AW99" s="21">
        <f t="shared" si="118"/>
        <v>0</v>
      </c>
      <c r="AX99" s="21">
        <f t="shared" si="118"/>
        <v>0</v>
      </c>
      <c r="AY99" s="21">
        <f t="shared" si="118"/>
        <v>0</v>
      </c>
      <c r="AZ99" s="21">
        <f t="shared" si="118"/>
        <v>0</v>
      </c>
      <c r="BA99" s="21">
        <f t="shared" si="118"/>
        <v>144656032</v>
      </c>
      <c r="BB99" s="21">
        <f t="shared" si="118"/>
        <v>144656032</v>
      </c>
      <c r="BC99" s="21">
        <f t="shared" si="118"/>
        <v>144656032</v>
      </c>
      <c r="BD99" s="21">
        <f t="shared" si="118"/>
        <v>0</v>
      </c>
      <c r="BE99" s="21">
        <f t="shared" si="118"/>
        <v>0</v>
      </c>
      <c r="BF99" s="21">
        <f t="shared" si="118"/>
        <v>0</v>
      </c>
      <c r="BG99" s="21">
        <f t="shared" si="118"/>
        <v>0</v>
      </c>
      <c r="BH99" s="21">
        <f t="shared" si="118"/>
        <v>0</v>
      </c>
      <c r="BI99" s="21">
        <f t="shared" si="118"/>
        <v>0</v>
      </c>
      <c r="BJ99" s="21">
        <f t="shared" si="118"/>
        <v>0</v>
      </c>
      <c r="BK99" s="21">
        <f t="shared" si="118"/>
        <v>0</v>
      </c>
      <c r="BL99" s="21">
        <f t="shared" si="118"/>
        <v>0</v>
      </c>
      <c r="BM99" s="21">
        <f t="shared" si="118"/>
        <v>0</v>
      </c>
      <c r="BN99" s="21">
        <f t="shared" si="118"/>
        <v>0</v>
      </c>
      <c r="BO99" s="21">
        <f t="shared" si="118"/>
        <v>0</v>
      </c>
      <c r="BP99" s="21">
        <f t="shared" si="118"/>
        <v>0</v>
      </c>
      <c r="BQ99" s="21">
        <f t="shared" si="118"/>
        <v>0</v>
      </c>
      <c r="BR99" s="21">
        <f t="shared" si="118"/>
        <v>0</v>
      </c>
      <c r="BS99" s="21">
        <f t="shared" si="118"/>
        <v>0</v>
      </c>
      <c r="BT99" s="21">
        <f t="shared" ref="BT99:CW100" si="119">SUM(BT100)</f>
        <v>0</v>
      </c>
      <c r="BU99" s="21">
        <f t="shared" si="119"/>
        <v>0</v>
      </c>
      <c r="BV99" s="21">
        <f t="shared" si="119"/>
        <v>0</v>
      </c>
      <c r="BW99" s="21">
        <f t="shared" si="119"/>
        <v>0</v>
      </c>
      <c r="BX99" s="21">
        <f t="shared" si="119"/>
        <v>0</v>
      </c>
      <c r="BY99" s="21">
        <f t="shared" si="119"/>
        <v>0</v>
      </c>
      <c r="BZ99" s="21">
        <f t="shared" si="119"/>
        <v>0</v>
      </c>
      <c r="CA99" s="21">
        <f t="shared" si="119"/>
        <v>0</v>
      </c>
      <c r="CB99" s="21">
        <f t="shared" si="119"/>
        <v>0</v>
      </c>
      <c r="CC99" s="21">
        <f t="shared" si="119"/>
        <v>0</v>
      </c>
      <c r="CD99" s="21">
        <f t="shared" si="119"/>
        <v>0</v>
      </c>
      <c r="CE99" s="21">
        <f t="shared" si="119"/>
        <v>0</v>
      </c>
      <c r="CF99" s="21">
        <f t="shared" si="119"/>
        <v>0</v>
      </c>
      <c r="CG99" s="21">
        <f t="shared" si="119"/>
        <v>0</v>
      </c>
      <c r="CH99" s="21">
        <f t="shared" si="119"/>
        <v>0</v>
      </c>
      <c r="CI99" s="21">
        <f t="shared" si="119"/>
        <v>0</v>
      </c>
      <c r="CJ99" s="21">
        <f t="shared" si="119"/>
        <v>0</v>
      </c>
      <c r="CK99" s="21">
        <f t="shared" si="119"/>
        <v>0</v>
      </c>
      <c r="CL99" s="21">
        <f t="shared" si="119"/>
        <v>0</v>
      </c>
      <c r="CM99" s="21">
        <f t="shared" si="119"/>
        <v>0</v>
      </c>
      <c r="CN99" s="21">
        <f t="shared" si="119"/>
        <v>0</v>
      </c>
      <c r="CO99" s="21">
        <f t="shared" si="119"/>
        <v>0</v>
      </c>
      <c r="CP99" s="21">
        <f t="shared" si="119"/>
        <v>0</v>
      </c>
      <c r="CQ99" s="21">
        <f t="shared" si="119"/>
        <v>0</v>
      </c>
      <c r="CR99" s="21">
        <f t="shared" si="119"/>
        <v>0</v>
      </c>
      <c r="CS99" s="21">
        <f t="shared" si="119"/>
        <v>0</v>
      </c>
      <c r="CT99" s="21">
        <f t="shared" si="119"/>
        <v>0</v>
      </c>
      <c r="CU99" s="21">
        <f t="shared" si="119"/>
        <v>0</v>
      </c>
      <c r="CV99" s="21">
        <f t="shared" si="119"/>
        <v>0</v>
      </c>
      <c r="CW99" s="22">
        <f t="shared" si="119"/>
        <v>0</v>
      </c>
      <c r="CX99" s="40"/>
    </row>
    <row r="100" spans="1:102" ht="31.5" hidden="1" x14ac:dyDescent="0.25">
      <c r="A100" s="13" t="s">
        <v>100</v>
      </c>
      <c r="B100" s="14" t="s">
        <v>100</v>
      </c>
      <c r="C100" s="14" t="s">
        <v>1</v>
      </c>
      <c r="D100" s="30" t="s">
        <v>126</v>
      </c>
      <c r="E100" s="15">
        <f>SUM(E101)</f>
        <v>144656032</v>
      </c>
      <c r="F100" s="16">
        <f t="shared" si="118"/>
        <v>144656032</v>
      </c>
      <c r="G100" s="16">
        <f t="shared" si="118"/>
        <v>0</v>
      </c>
      <c r="H100" s="16">
        <f t="shared" si="118"/>
        <v>0</v>
      </c>
      <c r="I100" s="16">
        <f t="shared" si="118"/>
        <v>0</v>
      </c>
      <c r="J100" s="16">
        <f t="shared" si="118"/>
        <v>0</v>
      </c>
      <c r="K100" s="16">
        <f t="shared" si="118"/>
        <v>0</v>
      </c>
      <c r="L100" s="16">
        <f t="shared" si="118"/>
        <v>0</v>
      </c>
      <c r="M100" s="16">
        <f t="shared" si="118"/>
        <v>0</v>
      </c>
      <c r="N100" s="16">
        <f t="shared" si="118"/>
        <v>0</v>
      </c>
      <c r="O100" s="16">
        <f t="shared" si="118"/>
        <v>0</v>
      </c>
      <c r="P100" s="16">
        <f t="shared" si="118"/>
        <v>0</v>
      </c>
      <c r="Q100" s="16">
        <f t="shared" si="118"/>
        <v>0</v>
      </c>
      <c r="R100" s="16">
        <f t="shared" si="118"/>
        <v>0</v>
      </c>
      <c r="S100" s="16">
        <f t="shared" si="118"/>
        <v>0</v>
      </c>
      <c r="T100" s="16">
        <f t="shared" si="118"/>
        <v>0</v>
      </c>
      <c r="U100" s="16">
        <f t="shared" si="118"/>
        <v>0</v>
      </c>
      <c r="V100" s="16">
        <f t="shared" si="118"/>
        <v>0</v>
      </c>
      <c r="W100" s="16">
        <f t="shared" si="118"/>
        <v>0</v>
      </c>
      <c r="X100" s="16">
        <f t="shared" si="118"/>
        <v>0</v>
      </c>
      <c r="Y100" s="16">
        <f t="shared" si="118"/>
        <v>0</v>
      </c>
      <c r="Z100" s="16">
        <f t="shared" si="118"/>
        <v>0</v>
      </c>
      <c r="AA100" s="16">
        <f t="shared" si="118"/>
        <v>0</v>
      </c>
      <c r="AB100" s="16">
        <f t="shared" si="118"/>
        <v>0</v>
      </c>
      <c r="AC100" s="16">
        <f t="shared" si="118"/>
        <v>0</v>
      </c>
      <c r="AD100" s="16">
        <f t="shared" si="118"/>
        <v>0</v>
      </c>
      <c r="AE100" s="16">
        <f t="shared" si="118"/>
        <v>0</v>
      </c>
      <c r="AF100" s="16">
        <f t="shared" si="118"/>
        <v>0</v>
      </c>
      <c r="AG100" s="16">
        <f t="shared" si="118"/>
        <v>0</v>
      </c>
      <c r="AH100" s="16">
        <f t="shared" si="118"/>
        <v>0</v>
      </c>
      <c r="AI100" s="16">
        <f t="shared" si="118"/>
        <v>0</v>
      </c>
      <c r="AJ100" s="16">
        <f t="shared" si="118"/>
        <v>0</v>
      </c>
      <c r="AK100" s="16">
        <f t="shared" si="118"/>
        <v>0</v>
      </c>
      <c r="AL100" s="16">
        <f t="shared" si="118"/>
        <v>0</v>
      </c>
      <c r="AM100" s="16">
        <f t="shared" si="118"/>
        <v>0</v>
      </c>
      <c r="AN100" s="16">
        <f t="shared" si="118"/>
        <v>0</v>
      </c>
      <c r="AO100" s="16">
        <f t="shared" si="118"/>
        <v>0</v>
      </c>
      <c r="AP100" s="16">
        <f t="shared" si="118"/>
        <v>0</v>
      </c>
      <c r="AQ100" s="16">
        <f t="shared" si="118"/>
        <v>0</v>
      </c>
      <c r="AR100" s="16">
        <f t="shared" si="118"/>
        <v>0</v>
      </c>
      <c r="AS100" s="16">
        <f t="shared" si="118"/>
        <v>0</v>
      </c>
      <c r="AT100" s="16">
        <f t="shared" si="118"/>
        <v>0</v>
      </c>
      <c r="AU100" s="16">
        <f t="shared" si="118"/>
        <v>0</v>
      </c>
      <c r="AV100" s="16">
        <f t="shared" si="118"/>
        <v>0</v>
      </c>
      <c r="AW100" s="16">
        <f t="shared" si="118"/>
        <v>0</v>
      </c>
      <c r="AX100" s="16">
        <f t="shared" si="118"/>
        <v>0</v>
      </c>
      <c r="AY100" s="16">
        <f t="shared" si="118"/>
        <v>0</v>
      </c>
      <c r="AZ100" s="16">
        <f t="shared" si="118"/>
        <v>0</v>
      </c>
      <c r="BA100" s="16">
        <f t="shared" si="118"/>
        <v>144656032</v>
      </c>
      <c r="BB100" s="16">
        <f t="shared" si="118"/>
        <v>144656032</v>
      </c>
      <c r="BC100" s="16">
        <f t="shared" si="118"/>
        <v>144656032</v>
      </c>
      <c r="BD100" s="16">
        <f t="shared" si="118"/>
        <v>0</v>
      </c>
      <c r="BE100" s="16">
        <f t="shared" si="118"/>
        <v>0</v>
      </c>
      <c r="BF100" s="16">
        <f t="shared" si="118"/>
        <v>0</v>
      </c>
      <c r="BG100" s="16">
        <f t="shared" si="118"/>
        <v>0</v>
      </c>
      <c r="BH100" s="16">
        <f t="shared" si="118"/>
        <v>0</v>
      </c>
      <c r="BI100" s="16">
        <f t="shared" si="118"/>
        <v>0</v>
      </c>
      <c r="BJ100" s="16">
        <f t="shared" si="118"/>
        <v>0</v>
      </c>
      <c r="BK100" s="16">
        <f t="shared" si="118"/>
        <v>0</v>
      </c>
      <c r="BL100" s="16">
        <f t="shared" si="118"/>
        <v>0</v>
      </c>
      <c r="BM100" s="16">
        <f t="shared" si="118"/>
        <v>0</v>
      </c>
      <c r="BN100" s="16">
        <f t="shared" si="118"/>
        <v>0</v>
      </c>
      <c r="BO100" s="16">
        <f t="shared" si="118"/>
        <v>0</v>
      </c>
      <c r="BP100" s="16">
        <f t="shared" si="118"/>
        <v>0</v>
      </c>
      <c r="BQ100" s="16">
        <f t="shared" si="118"/>
        <v>0</v>
      </c>
      <c r="BR100" s="16">
        <f t="shared" si="118"/>
        <v>0</v>
      </c>
      <c r="BS100" s="16">
        <f t="shared" si="118"/>
        <v>0</v>
      </c>
      <c r="BT100" s="16">
        <f t="shared" si="119"/>
        <v>0</v>
      </c>
      <c r="BU100" s="16">
        <f t="shared" si="119"/>
        <v>0</v>
      </c>
      <c r="BV100" s="16">
        <f t="shared" si="119"/>
        <v>0</v>
      </c>
      <c r="BW100" s="16">
        <f t="shared" si="119"/>
        <v>0</v>
      </c>
      <c r="BX100" s="16">
        <f t="shared" si="119"/>
        <v>0</v>
      </c>
      <c r="BY100" s="16">
        <f t="shared" si="119"/>
        <v>0</v>
      </c>
      <c r="BZ100" s="16">
        <f t="shared" si="119"/>
        <v>0</v>
      </c>
      <c r="CA100" s="16">
        <f t="shared" si="119"/>
        <v>0</v>
      </c>
      <c r="CB100" s="16">
        <f t="shared" si="119"/>
        <v>0</v>
      </c>
      <c r="CC100" s="16">
        <f t="shared" si="119"/>
        <v>0</v>
      </c>
      <c r="CD100" s="16">
        <f t="shared" si="119"/>
        <v>0</v>
      </c>
      <c r="CE100" s="16">
        <f t="shared" si="119"/>
        <v>0</v>
      </c>
      <c r="CF100" s="16">
        <f t="shared" si="119"/>
        <v>0</v>
      </c>
      <c r="CG100" s="16">
        <f t="shared" si="119"/>
        <v>0</v>
      </c>
      <c r="CH100" s="16">
        <f t="shared" si="119"/>
        <v>0</v>
      </c>
      <c r="CI100" s="16">
        <f t="shared" si="119"/>
        <v>0</v>
      </c>
      <c r="CJ100" s="16">
        <f t="shared" si="119"/>
        <v>0</v>
      </c>
      <c r="CK100" s="16">
        <f t="shared" si="119"/>
        <v>0</v>
      </c>
      <c r="CL100" s="16">
        <f t="shared" si="119"/>
        <v>0</v>
      </c>
      <c r="CM100" s="16">
        <f t="shared" si="119"/>
        <v>0</v>
      </c>
      <c r="CN100" s="16">
        <f t="shared" si="119"/>
        <v>0</v>
      </c>
      <c r="CO100" s="16">
        <f t="shared" si="119"/>
        <v>0</v>
      </c>
      <c r="CP100" s="16">
        <f t="shared" si="119"/>
        <v>0</v>
      </c>
      <c r="CQ100" s="16">
        <f t="shared" si="119"/>
        <v>0</v>
      </c>
      <c r="CR100" s="16">
        <f t="shared" si="119"/>
        <v>0</v>
      </c>
      <c r="CS100" s="16">
        <f t="shared" si="119"/>
        <v>0</v>
      </c>
      <c r="CT100" s="16">
        <f t="shared" si="119"/>
        <v>0</v>
      </c>
      <c r="CU100" s="16">
        <f t="shared" si="119"/>
        <v>0</v>
      </c>
      <c r="CV100" s="16">
        <f t="shared" si="119"/>
        <v>0</v>
      </c>
      <c r="CW100" s="17">
        <f t="shared" si="119"/>
        <v>0</v>
      </c>
      <c r="CX100" s="40"/>
    </row>
    <row r="101" spans="1:102" ht="15.75" hidden="1" x14ac:dyDescent="0.25">
      <c r="A101" s="13" t="s">
        <v>1</v>
      </c>
      <c r="B101" s="14" t="s">
        <v>1</v>
      </c>
      <c r="C101" s="14" t="s">
        <v>17</v>
      </c>
      <c r="D101" s="30" t="s">
        <v>127</v>
      </c>
      <c r="E101" s="15">
        <f>SUM(F101+BY101+CT101)</f>
        <v>144656032</v>
      </c>
      <c r="F101" s="16">
        <f>SUM(G101+BA101)</f>
        <v>144656032</v>
      </c>
      <c r="G101" s="16">
        <f>SUM(H101+I101+J101+Q101+T101+U101+V101+AE101)</f>
        <v>0</v>
      </c>
      <c r="H101" s="16">
        <v>0</v>
      </c>
      <c r="I101" s="16">
        <v>0</v>
      </c>
      <c r="J101" s="16">
        <f t="shared" si="71"/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f t="shared" si="72"/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f>SUM(W101:AD101)</f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f>SUM(AF101:AZ101)</f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f>SUM(BB101+BF101+BI101+BK101+BM101)</f>
        <v>144656032</v>
      </c>
      <c r="BB101" s="16">
        <f>SUM(BC101:BE101)</f>
        <v>144656032</v>
      </c>
      <c r="BC101" s="16">
        <v>144656032</v>
      </c>
      <c r="BD101" s="16">
        <v>0</v>
      </c>
      <c r="BE101" s="16">
        <v>0</v>
      </c>
      <c r="BF101" s="16">
        <f t="shared" si="73"/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f t="shared" si="74"/>
        <v>0</v>
      </c>
      <c r="BL101" s="16">
        <v>0</v>
      </c>
      <c r="BM101" s="16">
        <f t="shared" si="75"/>
        <v>0</v>
      </c>
      <c r="BN101" s="16">
        <v>0</v>
      </c>
      <c r="BO101" s="16">
        <v>0</v>
      </c>
      <c r="BP101" s="16">
        <v>0</v>
      </c>
      <c r="BQ101" s="16">
        <v>0</v>
      </c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  <c r="BW101" s="16">
        <v>0</v>
      </c>
      <c r="BX101" s="16">
        <v>0</v>
      </c>
      <c r="BY101" s="16">
        <f>SUM(BZ101+CS101)</f>
        <v>0</v>
      </c>
      <c r="BZ101" s="16">
        <f>SUM(CA101+CD101+CK101)</f>
        <v>0</v>
      </c>
      <c r="CA101" s="16">
        <f t="shared" si="76"/>
        <v>0</v>
      </c>
      <c r="CB101" s="16">
        <v>0</v>
      </c>
      <c r="CC101" s="16">
        <v>0</v>
      </c>
      <c r="CD101" s="16">
        <f t="shared" si="77"/>
        <v>0</v>
      </c>
      <c r="CE101" s="16">
        <v>0</v>
      </c>
      <c r="CF101" s="16">
        <v>0</v>
      </c>
      <c r="CG101" s="16">
        <v>0</v>
      </c>
      <c r="CH101" s="16">
        <v>0</v>
      </c>
      <c r="CI101" s="16">
        <v>0</v>
      </c>
      <c r="CJ101" s="16">
        <v>0</v>
      </c>
      <c r="CK101" s="16">
        <f t="shared" si="78"/>
        <v>0</v>
      </c>
      <c r="CL101" s="16">
        <v>0</v>
      </c>
      <c r="CM101" s="16">
        <v>0</v>
      </c>
      <c r="CN101" s="16">
        <v>0</v>
      </c>
      <c r="CO101" s="16">
        <v>0</v>
      </c>
      <c r="CP101" s="16">
        <v>0</v>
      </c>
      <c r="CQ101" s="16">
        <v>0</v>
      </c>
      <c r="CR101" s="16">
        <v>0</v>
      </c>
      <c r="CS101" s="16">
        <v>0</v>
      </c>
      <c r="CT101" s="16">
        <f t="shared" si="79"/>
        <v>0</v>
      </c>
      <c r="CU101" s="16">
        <f t="shared" si="80"/>
        <v>0</v>
      </c>
      <c r="CV101" s="16">
        <v>0</v>
      </c>
      <c r="CW101" s="17">
        <v>0</v>
      </c>
      <c r="CX101" s="40"/>
    </row>
    <row r="102" spans="1:102" ht="17.25" hidden="1" customHeight="1" x14ac:dyDescent="0.25">
      <c r="A102" s="18" t="s">
        <v>128</v>
      </c>
      <c r="B102" s="19" t="s">
        <v>1</v>
      </c>
      <c r="C102" s="19" t="s">
        <v>1</v>
      </c>
      <c r="D102" s="31" t="s">
        <v>129</v>
      </c>
      <c r="E102" s="20">
        <f t="shared" ref="E102:BP102" si="120">SUM(E103)</f>
        <v>27431137</v>
      </c>
      <c r="F102" s="21">
        <f t="shared" si="120"/>
        <v>27431137</v>
      </c>
      <c r="G102" s="21">
        <f t="shared" si="120"/>
        <v>27431137</v>
      </c>
      <c r="H102" s="21">
        <f t="shared" si="120"/>
        <v>21919802</v>
      </c>
      <c r="I102" s="21">
        <f t="shared" si="120"/>
        <v>5412176</v>
      </c>
      <c r="J102" s="21">
        <f t="shared" si="120"/>
        <v>0</v>
      </c>
      <c r="K102" s="21">
        <f t="shared" si="120"/>
        <v>0</v>
      </c>
      <c r="L102" s="21">
        <f t="shared" si="120"/>
        <v>0</v>
      </c>
      <c r="M102" s="21">
        <f t="shared" si="120"/>
        <v>0</v>
      </c>
      <c r="N102" s="21">
        <f t="shared" si="120"/>
        <v>0</v>
      </c>
      <c r="O102" s="21">
        <f t="shared" si="120"/>
        <v>0</v>
      </c>
      <c r="P102" s="21">
        <f t="shared" si="120"/>
        <v>0</v>
      </c>
      <c r="Q102" s="21">
        <f t="shared" si="120"/>
        <v>0</v>
      </c>
      <c r="R102" s="21">
        <f t="shared" si="120"/>
        <v>0</v>
      </c>
      <c r="S102" s="21">
        <f t="shared" si="120"/>
        <v>0</v>
      </c>
      <c r="T102" s="21">
        <f t="shared" si="120"/>
        <v>0</v>
      </c>
      <c r="U102" s="21">
        <f t="shared" si="120"/>
        <v>99159</v>
      </c>
      <c r="V102" s="21">
        <f t="shared" si="120"/>
        <v>0</v>
      </c>
      <c r="W102" s="21">
        <f t="shared" si="120"/>
        <v>0</v>
      </c>
      <c r="X102" s="21">
        <f t="shared" si="120"/>
        <v>0</v>
      </c>
      <c r="Y102" s="21">
        <f t="shared" si="120"/>
        <v>0</v>
      </c>
      <c r="Z102" s="21">
        <f t="shared" si="120"/>
        <v>0</v>
      </c>
      <c r="AA102" s="21">
        <f t="shared" si="120"/>
        <v>0</v>
      </c>
      <c r="AB102" s="21">
        <f t="shared" si="120"/>
        <v>0</v>
      </c>
      <c r="AC102" s="21">
        <f t="shared" si="120"/>
        <v>0</v>
      </c>
      <c r="AD102" s="21">
        <f t="shared" si="120"/>
        <v>0</v>
      </c>
      <c r="AE102" s="21">
        <f t="shared" si="120"/>
        <v>0</v>
      </c>
      <c r="AF102" s="21">
        <f t="shared" si="120"/>
        <v>0</v>
      </c>
      <c r="AG102" s="21">
        <f t="shared" si="120"/>
        <v>0</v>
      </c>
      <c r="AH102" s="21">
        <f t="shared" si="120"/>
        <v>0</v>
      </c>
      <c r="AI102" s="21">
        <f t="shared" si="120"/>
        <v>0</v>
      </c>
      <c r="AJ102" s="21">
        <f t="shared" si="120"/>
        <v>0</v>
      </c>
      <c r="AK102" s="21">
        <f t="shared" si="120"/>
        <v>0</v>
      </c>
      <c r="AL102" s="21">
        <f t="shared" si="120"/>
        <v>0</v>
      </c>
      <c r="AM102" s="21">
        <f t="shared" si="120"/>
        <v>0</v>
      </c>
      <c r="AN102" s="21">
        <f t="shared" si="120"/>
        <v>0</v>
      </c>
      <c r="AO102" s="21">
        <f t="shared" si="120"/>
        <v>0</v>
      </c>
      <c r="AP102" s="21">
        <f t="shared" si="120"/>
        <v>0</v>
      </c>
      <c r="AQ102" s="21">
        <f t="shared" si="120"/>
        <v>0</v>
      </c>
      <c r="AR102" s="21">
        <f t="shared" si="120"/>
        <v>0</v>
      </c>
      <c r="AS102" s="21">
        <f t="shared" si="120"/>
        <v>0</v>
      </c>
      <c r="AT102" s="21">
        <f t="shared" si="120"/>
        <v>0</v>
      </c>
      <c r="AU102" s="21">
        <f t="shared" si="120"/>
        <v>0</v>
      </c>
      <c r="AV102" s="21">
        <f t="shared" si="120"/>
        <v>0</v>
      </c>
      <c r="AW102" s="21">
        <f t="shared" si="120"/>
        <v>0</v>
      </c>
      <c r="AX102" s="21">
        <f t="shared" si="120"/>
        <v>0</v>
      </c>
      <c r="AY102" s="21">
        <f t="shared" si="120"/>
        <v>0</v>
      </c>
      <c r="AZ102" s="21">
        <f t="shared" si="120"/>
        <v>0</v>
      </c>
      <c r="BA102" s="21">
        <f t="shared" si="120"/>
        <v>0</v>
      </c>
      <c r="BB102" s="21">
        <f t="shared" si="120"/>
        <v>0</v>
      </c>
      <c r="BC102" s="21">
        <f t="shared" si="120"/>
        <v>0</v>
      </c>
      <c r="BD102" s="21">
        <f t="shared" si="120"/>
        <v>0</v>
      </c>
      <c r="BE102" s="21">
        <f t="shared" si="120"/>
        <v>0</v>
      </c>
      <c r="BF102" s="21">
        <f t="shared" si="120"/>
        <v>0</v>
      </c>
      <c r="BG102" s="21">
        <f t="shared" si="120"/>
        <v>0</v>
      </c>
      <c r="BH102" s="21">
        <f t="shared" si="120"/>
        <v>0</v>
      </c>
      <c r="BI102" s="21">
        <f t="shared" si="120"/>
        <v>0</v>
      </c>
      <c r="BJ102" s="21">
        <f t="shared" si="120"/>
        <v>0</v>
      </c>
      <c r="BK102" s="21">
        <f t="shared" si="120"/>
        <v>0</v>
      </c>
      <c r="BL102" s="21">
        <f t="shared" si="120"/>
        <v>0</v>
      </c>
      <c r="BM102" s="21">
        <f t="shared" si="120"/>
        <v>0</v>
      </c>
      <c r="BN102" s="21">
        <f t="shared" si="120"/>
        <v>0</v>
      </c>
      <c r="BO102" s="21">
        <f t="shared" si="120"/>
        <v>0</v>
      </c>
      <c r="BP102" s="21">
        <f t="shared" si="120"/>
        <v>0</v>
      </c>
      <c r="BQ102" s="21">
        <f t="shared" ref="BQ102:CW102" si="121">SUM(BQ103)</f>
        <v>0</v>
      </c>
      <c r="BR102" s="21">
        <f t="shared" si="121"/>
        <v>0</v>
      </c>
      <c r="BS102" s="21">
        <f t="shared" si="121"/>
        <v>0</v>
      </c>
      <c r="BT102" s="21">
        <f t="shared" si="121"/>
        <v>0</v>
      </c>
      <c r="BU102" s="21">
        <f t="shared" si="121"/>
        <v>0</v>
      </c>
      <c r="BV102" s="21">
        <f t="shared" si="121"/>
        <v>0</v>
      </c>
      <c r="BW102" s="21">
        <f t="shared" si="121"/>
        <v>0</v>
      </c>
      <c r="BX102" s="21">
        <f t="shared" si="121"/>
        <v>0</v>
      </c>
      <c r="BY102" s="21">
        <f t="shared" si="121"/>
        <v>0</v>
      </c>
      <c r="BZ102" s="21">
        <f t="shared" si="121"/>
        <v>0</v>
      </c>
      <c r="CA102" s="21">
        <f t="shared" si="121"/>
        <v>0</v>
      </c>
      <c r="CB102" s="21">
        <f t="shared" si="121"/>
        <v>0</v>
      </c>
      <c r="CC102" s="21">
        <f t="shared" si="121"/>
        <v>0</v>
      </c>
      <c r="CD102" s="21">
        <f t="shared" si="121"/>
        <v>0</v>
      </c>
      <c r="CE102" s="21">
        <f t="shared" si="121"/>
        <v>0</v>
      </c>
      <c r="CF102" s="21">
        <f t="shared" si="121"/>
        <v>0</v>
      </c>
      <c r="CG102" s="21">
        <f t="shared" si="121"/>
        <v>0</v>
      </c>
      <c r="CH102" s="21">
        <f t="shared" si="121"/>
        <v>0</v>
      </c>
      <c r="CI102" s="21">
        <f t="shared" si="121"/>
        <v>0</v>
      </c>
      <c r="CJ102" s="21">
        <f t="shared" si="121"/>
        <v>0</v>
      </c>
      <c r="CK102" s="21">
        <f t="shared" si="121"/>
        <v>0</v>
      </c>
      <c r="CL102" s="21">
        <f t="shared" si="121"/>
        <v>0</v>
      </c>
      <c r="CM102" s="21">
        <f t="shared" si="121"/>
        <v>0</v>
      </c>
      <c r="CN102" s="21">
        <f t="shared" si="121"/>
        <v>0</v>
      </c>
      <c r="CO102" s="21">
        <f t="shared" si="121"/>
        <v>0</v>
      </c>
      <c r="CP102" s="21">
        <f t="shared" si="121"/>
        <v>0</v>
      </c>
      <c r="CQ102" s="21">
        <f t="shared" si="121"/>
        <v>0</v>
      </c>
      <c r="CR102" s="21">
        <f t="shared" si="121"/>
        <v>0</v>
      </c>
      <c r="CS102" s="21">
        <f t="shared" si="121"/>
        <v>0</v>
      </c>
      <c r="CT102" s="21">
        <f t="shared" si="121"/>
        <v>0</v>
      </c>
      <c r="CU102" s="21">
        <f t="shared" si="121"/>
        <v>0</v>
      </c>
      <c r="CV102" s="21">
        <f t="shared" si="121"/>
        <v>0</v>
      </c>
      <c r="CW102" s="22">
        <f t="shared" si="121"/>
        <v>0</v>
      </c>
      <c r="CX102" s="40"/>
    </row>
    <row r="103" spans="1:102" ht="31.5" hidden="1" x14ac:dyDescent="0.25">
      <c r="A103" s="13" t="s">
        <v>54</v>
      </c>
      <c r="B103" s="14" t="s">
        <v>50</v>
      </c>
      <c r="C103" s="14" t="s">
        <v>1</v>
      </c>
      <c r="D103" s="30" t="s">
        <v>130</v>
      </c>
      <c r="E103" s="15">
        <f>SUM(E104:E105)</f>
        <v>27431137</v>
      </c>
      <c r="F103" s="16">
        <f t="shared" ref="F103:BS103" si="122">SUM(F104:F105)</f>
        <v>27431137</v>
      </c>
      <c r="G103" s="16">
        <f t="shared" si="122"/>
        <v>27431137</v>
      </c>
      <c r="H103" s="16">
        <f t="shared" si="122"/>
        <v>21919802</v>
      </c>
      <c r="I103" s="16">
        <f t="shared" si="122"/>
        <v>5412176</v>
      </c>
      <c r="J103" s="16">
        <f t="shared" si="122"/>
        <v>0</v>
      </c>
      <c r="K103" s="16">
        <f t="shared" si="122"/>
        <v>0</v>
      </c>
      <c r="L103" s="16">
        <f t="shared" si="122"/>
        <v>0</v>
      </c>
      <c r="M103" s="16">
        <f t="shared" si="122"/>
        <v>0</v>
      </c>
      <c r="N103" s="16">
        <f t="shared" si="122"/>
        <v>0</v>
      </c>
      <c r="O103" s="16">
        <f t="shared" si="122"/>
        <v>0</v>
      </c>
      <c r="P103" s="16">
        <f t="shared" si="122"/>
        <v>0</v>
      </c>
      <c r="Q103" s="16">
        <f t="shared" si="122"/>
        <v>0</v>
      </c>
      <c r="R103" s="16">
        <f t="shared" si="122"/>
        <v>0</v>
      </c>
      <c r="S103" s="16">
        <f t="shared" si="122"/>
        <v>0</v>
      </c>
      <c r="T103" s="16">
        <f t="shared" si="122"/>
        <v>0</v>
      </c>
      <c r="U103" s="16">
        <f t="shared" si="122"/>
        <v>99159</v>
      </c>
      <c r="V103" s="16">
        <f t="shared" si="122"/>
        <v>0</v>
      </c>
      <c r="W103" s="16">
        <f t="shared" si="122"/>
        <v>0</v>
      </c>
      <c r="X103" s="16">
        <f t="shared" si="122"/>
        <v>0</v>
      </c>
      <c r="Y103" s="16">
        <f t="shared" si="122"/>
        <v>0</v>
      </c>
      <c r="Z103" s="16">
        <f t="shared" si="122"/>
        <v>0</v>
      </c>
      <c r="AA103" s="16">
        <f t="shared" si="122"/>
        <v>0</v>
      </c>
      <c r="AB103" s="16">
        <f t="shared" si="122"/>
        <v>0</v>
      </c>
      <c r="AC103" s="16">
        <f t="shared" si="122"/>
        <v>0</v>
      </c>
      <c r="AD103" s="16">
        <f t="shared" si="122"/>
        <v>0</v>
      </c>
      <c r="AE103" s="16">
        <f t="shared" si="122"/>
        <v>0</v>
      </c>
      <c r="AF103" s="16">
        <f t="shared" si="122"/>
        <v>0</v>
      </c>
      <c r="AG103" s="16">
        <f t="shared" si="122"/>
        <v>0</v>
      </c>
      <c r="AH103" s="16">
        <f t="shared" si="122"/>
        <v>0</v>
      </c>
      <c r="AI103" s="16">
        <f t="shared" si="122"/>
        <v>0</v>
      </c>
      <c r="AJ103" s="16">
        <f t="shared" si="122"/>
        <v>0</v>
      </c>
      <c r="AK103" s="16">
        <f t="shared" si="122"/>
        <v>0</v>
      </c>
      <c r="AL103" s="16">
        <f t="shared" si="122"/>
        <v>0</v>
      </c>
      <c r="AM103" s="16">
        <f t="shared" si="122"/>
        <v>0</v>
      </c>
      <c r="AN103" s="16">
        <f t="shared" si="122"/>
        <v>0</v>
      </c>
      <c r="AO103" s="16">
        <f t="shared" si="122"/>
        <v>0</v>
      </c>
      <c r="AP103" s="16">
        <f>SUM(AP104:AP105)</f>
        <v>0</v>
      </c>
      <c r="AQ103" s="16">
        <f t="shared" si="122"/>
        <v>0</v>
      </c>
      <c r="AR103" s="16">
        <f t="shared" si="122"/>
        <v>0</v>
      </c>
      <c r="AS103" s="16">
        <f t="shared" si="122"/>
        <v>0</v>
      </c>
      <c r="AT103" s="16">
        <f t="shared" si="122"/>
        <v>0</v>
      </c>
      <c r="AU103" s="16">
        <f t="shared" si="122"/>
        <v>0</v>
      </c>
      <c r="AV103" s="16">
        <f t="shared" si="122"/>
        <v>0</v>
      </c>
      <c r="AW103" s="16">
        <f t="shared" si="122"/>
        <v>0</v>
      </c>
      <c r="AX103" s="16">
        <f t="shared" si="122"/>
        <v>0</v>
      </c>
      <c r="AY103" s="16">
        <f t="shared" si="122"/>
        <v>0</v>
      </c>
      <c r="AZ103" s="16">
        <f t="shared" si="122"/>
        <v>0</v>
      </c>
      <c r="BA103" s="16">
        <f t="shared" si="122"/>
        <v>0</v>
      </c>
      <c r="BB103" s="16">
        <f t="shared" si="122"/>
        <v>0</v>
      </c>
      <c r="BC103" s="16">
        <f t="shared" si="122"/>
        <v>0</v>
      </c>
      <c r="BD103" s="16">
        <f t="shared" si="122"/>
        <v>0</v>
      </c>
      <c r="BE103" s="16">
        <f t="shared" si="122"/>
        <v>0</v>
      </c>
      <c r="BF103" s="16">
        <f t="shared" si="122"/>
        <v>0</v>
      </c>
      <c r="BG103" s="16">
        <f t="shared" si="122"/>
        <v>0</v>
      </c>
      <c r="BH103" s="16">
        <f t="shared" si="122"/>
        <v>0</v>
      </c>
      <c r="BI103" s="16">
        <f t="shared" si="122"/>
        <v>0</v>
      </c>
      <c r="BJ103" s="16">
        <f t="shared" si="122"/>
        <v>0</v>
      </c>
      <c r="BK103" s="16">
        <f t="shared" si="122"/>
        <v>0</v>
      </c>
      <c r="BL103" s="16">
        <f t="shared" si="122"/>
        <v>0</v>
      </c>
      <c r="BM103" s="16">
        <f t="shared" si="122"/>
        <v>0</v>
      </c>
      <c r="BN103" s="16">
        <f t="shared" si="122"/>
        <v>0</v>
      </c>
      <c r="BO103" s="16">
        <f t="shared" si="122"/>
        <v>0</v>
      </c>
      <c r="BP103" s="16">
        <f t="shared" si="122"/>
        <v>0</v>
      </c>
      <c r="BQ103" s="16">
        <f t="shared" si="122"/>
        <v>0</v>
      </c>
      <c r="BR103" s="16">
        <f t="shared" si="122"/>
        <v>0</v>
      </c>
      <c r="BS103" s="16">
        <f t="shared" si="122"/>
        <v>0</v>
      </c>
      <c r="BT103" s="16">
        <f t="shared" ref="BT103:CW103" si="123">SUM(BT104:BT105)</f>
        <v>0</v>
      </c>
      <c r="BU103" s="16">
        <f t="shared" si="123"/>
        <v>0</v>
      </c>
      <c r="BV103" s="16">
        <f t="shared" si="123"/>
        <v>0</v>
      </c>
      <c r="BW103" s="16">
        <f t="shared" si="123"/>
        <v>0</v>
      </c>
      <c r="BX103" s="16">
        <f t="shared" si="123"/>
        <v>0</v>
      </c>
      <c r="BY103" s="16">
        <f t="shared" si="123"/>
        <v>0</v>
      </c>
      <c r="BZ103" s="16">
        <f t="shared" si="123"/>
        <v>0</v>
      </c>
      <c r="CA103" s="16">
        <f t="shared" si="123"/>
        <v>0</v>
      </c>
      <c r="CB103" s="16">
        <f t="shared" si="123"/>
        <v>0</v>
      </c>
      <c r="CC103" s="16">
        <f t="shared" si="123"/>
        <v>0</v>
      </c>
      <c r="CD103" s="16">
        <f t="shared" si="123"/>
        <v>0</v>
      </c>
      <c r="CE103" s="16">
        <f t="shared" si="123"/>
        <v>0</v>
      </c>
      <c r="CF103" s="16">
        <f>SUM(CF104:CF105)</f>
        <v>0</v>
      </c>
      <c r="CG103" s="16">
        <f t="shared" si="123"/>
        <v>0</v>
      </c>
      <c r="CH103" s="16">
        <f t="shared" si="123"/>
        <v>0</v>
      </c>
      <c r="CI103" s="16">
        <f t="shared" si="123"/>
        <v>0</v>
      </c>
      <c r="CJ103" s="16">
        <f t="shared" si="123"/>
        <v>0</v>
      </c>
      <c r="CK103" s="16">
        <f t="shared" si="123"/>
        <v>0</v>
      </c>
      <c r="CL103" s="16">
        <f t="shared" si="123"/>
        <v>0</v>
      </c>
      <c r="CM103" s="16">
        <f>SUM(CM104:CM105)</f>
        <v>0</v>
      </c>
      <c r="CN103" s="16">
        <f t="shared" si="123"/>
        <v>0</v>
      </c>
      <c r="CO103" s="16">
        <f t="shared" si="123"/>
        <v>0</v>
      </c>
      <c r="CP103" s="16">
        <f t="shared" si="123"/>
        <v>0</v>
      </c>
      <c r="CQ103" s="16">
        <f t="shared" si="123"/>
        <v>0</v>
      </c>
      <c r="CR103" s="16">
        <f t="shared" si="123"/>
        <v>0</v>
      </c>
      <c r="CS103" s="16">
        <f t="shared" si="123"/>
        <v>0</v>
      </c>
      <c r="CT103" s="16">
        <f t="shared" si="123"/>
        <v>0</v>
      </c>
      <c r="CU103" s="16">
        <f t="shared" si="123"/>
        <v>0</v>
      </c>
      <c r="CV103" s="16">
        <f t="shared" si="123"/>
        <v>0</v>
      </c>
      <c r="CW103" s="17">
        <f t="shared" si="123"/>
        <v>0</v>
      </c>
      <c r="CX103" s="40"/>
    </row>
    <row r="104" spans="1:102" ht="31.5" hidden="1" x14ac:dyDescent="0.25">
      <c r="A104" s="13" t="s">
        <v>1</v>
      </c>
      <c r="B104" s="14" t="s">
        <v>1</v>
      </c>
      <c r="C104" s="14" t="s">
        <v>29</v>
      </c>
      <c r="D104" s="30" t="s">
        <v>131</v>
      </c>
      <c r="E104" s="15">
        <f>SUM(F104+BY104+CT104)</f>
        <v>19458568</v>
      </c>
      <c r="F104" s="16">
        <f>SUM(G104+BA104)</f>
        <v>19458568</v>
      </c>
      <c r="G104" s="16">
        <f>SUM(H104+I104+J104+Q104+T104+U104+V104+AE104)</f>
        <v>19458568</v>
      </c>
      <c r="H104" s="16">
        <v>15566854</v>
      </c>
      <c r="I104" s="16">
        <v>3891714</v>
      </c>
      <c r="J104" s="16">
        <f t="shared" si="71"/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f t="shared" si="72"/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f>SUM(W104:AD104)</f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f>SUM(AF104:AZ104)</f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f>SUM(BB104+BF104+BI104+BK104+BM104)</f>
        <v>0</v>
      </c>
      <c r="BB104" s="16">
        <f>SUM(BC104:BE104)</f>
        <v>0</v>
      </c>
      <c r="BC104" s="16">
        <v>0</v>
      </c>
      <c r="BD104" s="16">
        <v>0</v>
      </c>
      <c r="BE104" s="16">
        <v>0</v>
      </c>
      <c r="BF104" s="16">
        <f t="shared" si="73"/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f t="shared" si="74"/>
        <v>0</v>
      </c>
      <c r="BL104" s="16">
        <v>0</v>
      </c>
      <c r="BM104" s="16">
        <f t="shared" si="75"/>
        <v>0</v>
      </c>
      <c r="BN104" s="16">
        <v>0</v>
      </c>
      <c r="BO104" s="16">
        <v>0</v>
      </c>
      <c r="BP104" s="16">
        <v>0</v>
      </c>
      <c r="BQ104" s="16">
        <v>0</v>
      </c>
      <c r="BR104" s="16">
        <v>0</v>
      </c>
      <c r="BS104" s="16">
        <v>0</v>
      </c>
      <c r="BT104" s="16">
        <v>0</v>
      </c>
      <c r="BU104" s="16">
        <v>0</v>
      </c>
      <c r="BV104" s="16">
        <v>0</v>
      </c>
      <c r="BW104" s="16">
        <v>0</v>
      </c>
      <c r="BX104" s="16">
        <v>0</v>
      </c>
      <c r="BY104" s="16">
        <f>SUM(BZ104+CS104)</f>
        <v>0</v>
      </c>
      <c r="BZ104" s="16">
        <f>SUM(CA104+CD104+CK104)</f>
        <v>0</v>
      </c>
      <c r="CA104" s="16">
        <f t="shared" si="76"/>
        <v>0</v>
      </c>
      <c r="CB104" s="16">
        <v>0</v>
      </c>
      <c r="CC104" s="16">
        <v>0</v>
      </c>
      <c r="CD104" s="16">
        <f t="shared" si="77"/>
        <v>0</v>
      </c>
      <c r="CE104" s="16">
        <v>0</v>
      </c>
      <c r="CF104" s="16">
        <v>0</v>
      </c>
      <c r="CG104" s="16">
        <v>0</v>
      </c>
      <c r="CH104" s="16">
        <v>0</v>
      </c>
      <c r="CI104" s="16">
        <v>0</v>
      </c>
      <c r="CJ104" s="16">
        <v>0</v>
      </c>
      <c r="CK104" s="16">
        <f t="shared" si="78"/>
        <v>0</v>
      </c>
      <c r="CL104" s="16">
        <v>0</v>
      </c>
      <c r="CM104" s="16">
        <v>0</v>
      </c>
      <c r="CN104" s="16">
        <v>0</v>
      </c>
      <c r="CO104" s="16">
        <v>0</v>
      </c>
      <c r="CP104" s="16">
        <v>0</v>
      </c>
      <c r="CQ104" s="16">
        <v>0</v>
      </c>
      <c r="CR104" s="16">
        <v>0</v>
      </c>
      <c r="CS104" s="16">
        <v>0</v>
      </c>
      <c r="CT104" s="16">
        <f t="shared" si="79"/>
        <v>0</v>
      </c>
      <c r="CU104" s="16">
        <f t="shared" si="80"/>
        <v>0</v>
      </c>
      <c r="CV104" s="16">
        <v>0</v>
      </c>
      <c r="CW104" s="17">
        <v>0</v>
      </c>
      <c r="CX104" s="40"/>
    </row>
    <row r="105" spans="1:102" ht="15.75" hidden="1" x14ac:dyDescent="0.25">
      <c r="A105" s="13" t="s">
        <v>1</v>
      </c>
      <c r="B105" s="14" t="s">
        <v>1</v>
      </c>
      <c r="C105" s="14" t="s">
        <v>29</v>
      </c>
      <c r="D105" s="30" t="s">
        <v>132</v>
      </c>
      <c r="E105" s="15">
        <f>SUM(F105+BY105+CT105)</f>
        <v>7972569</v>
      </c>
      <c r="F105" s="16">
        <f>SUM(G105+BA105)</f>
        <v>7972569</v>
      </c>
      <c r="G105" s="16">
        <f>SUM(H105+I105+J105+Q105+T105+U105+V105+AE105)</f>
        <v>7972569</v>
      </c>
      <c r="H105" s="16">
        <v>6352948</v>
      </c>
      <c r="I105" s="16">
        <v>1520462</v>
      </c>
      <c r="J105" s="16">
        <f t="shared" si="71"/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f t="shared" si="72"/>
        <v>0</v>
      </c>
      <c r="R105" s="16">
        <v>0</v>
      </c>
      <c r="S105" s="16">
        <v>0</v>
      </c>
      <c r="T105" s="16">
        <v>0</v>
      </c>
      <c r="U105" s="16">
        <v>99159</v>
      </c>
      <c r="V105" s="16">
        <f>SUM(W105:AD105)</f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f>SUM(AF105:AZ105)</f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0</v>
      </c>
      <c r="AO105" s="16">
        <v>0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f>SUM(BB105+BF105+BI105+BK105+BM105)</f>
        <v>0</v>
      </c>
      <c r="BB105" s="16">
        <f>SUM(BC105:BE105)</f>
        <v>0</v>
      </c>
      <c r="BC105" s="16">
        <v>0</v>
      </c>
      <c r="BD105" s="16">
        <v>0</v>
      </c>
      <c r="BE105" s="16">
        <v>0</v>
      </c>
      <c r="BF105" s="16">
        <f t="shared" si="73"/>
        <v>0</v>
      </c>
      <c r="BG105" s="16">
        <v>0</v>
      </c>
      <c r="BH105" s="16">
        <v>0</v>
      </c>
      <c r="BI105" s="16">
        <v>0</v>
      </c>
      <c r="BJ105" s="16">
        <v>0</v>
      </c>
      <c r="BK105" s="16">
        <f t="shared" si="74"/>
        <v>0</v>
      </c>
      <c r="BL105" s="16">
        <v>0</v>
      </c>
      <c r="BM105" s="16">
        <f t="shared" si="75"/>
        <v>0</v>
      </c>
      <c r="BN105" s="16">
        <v>0</v>
      </c>
      <c r="BO105" s="16">
        <v>0</v>
      </c>
      <c r="BP105" s="16">
        <v>0</v>
      </c>
      <c r="BQ105" s="16">
        <v>0</v>
      </c>
      <c r="BR105" s="16">
        <v>0</v>
      </c>
      <c r="BS105" s="16">
        <v>0</v>
      </c>
      <c r="BT105" s="16">
        <v>0</v>
      </c>
      <c r="BU105" s="16">
        <v>0</v>
      </c>
      <c r="BV105" s="16">
        <v>0</v>
      </c>
      <c r="BW105" s="16">
        <v>0</v>
      </c>
      <c r="BX105" s="16">
        <v>0</v>
      </c>
      <c r="BY105" s="16">
        <f>SUM(BZ105+CS105)</f>
        <v>0</v>
      </c>
      <c r="BZ105" s="16">
        <f>SUM(CA105+CD105+CK105)</f>
        <v>0</v>
      </c>
      <c r="CA105" s="16">
        <f t="shared" si="76"/>
        <v>0</v>
      </c>
      <c r="CB105" s="16">
        <v>0</v>
      </c>
      <c r="CC105" s="16">
        <v>0</v>
      </c>
      <c r="CD105" s="16">
        <f t="shared" si="77"/>
        <v>0</v>
      </c>
      <c r="CE105" s="16">
        <v>0</v>
      </c>
      <c r="CF105" s="16">
        <v>0</v>
      </c>
      <c r="CG105" s="16">
        <v>0</v>
      </c>
      <c r="CH105" s="16">
        <v>0</v>
      </c>
      <c r="CI105" s="16">
        <v>0</v>
      </c>
      <c r="CJ105" s="16">
        <v>0</v>
      </c>
      <c r="CK105" s="16">
        <f t="shared" si="78"/>
        <v>0</v>
      </c>
      <c r="CL105" s="16">
        <v>0</v>
      </c>
      <c r="CM105" s="16">
        <v>0</v>
      </c>
      <c r="CN105" s="16">
        <v>0</v>
      </c>
      <c r="CO105" s="16">
        <v>0</v>
      </c>
      <c r="CP105" s="16">
        <v>0</v>
      </c>
      <c r="CQ105" s="16">
        <v>0</v>
      </c>
      <c r="CR105" s="16">
        <v>0</v>
      </c>
      <c r="CS105" s="16">
        <v>0</v>
      </c>
      <c r="CT105" s="16">
        <f t="shared" si="79"/>
        <v>0</v>
      </c>
      <c r="CU105" s="16">
        <f t="shared" si="80"/>
        <v>0</v>
      </c>
      <c r="CV105" s="16">
        <v>0</v>
      </c>
      <c r="CW105" s="17">
        <v>0</v>
      </c>
      <c r="CX105" s="40"/>
    </row>
    <row r="106" spans="1:102" ht="47.25" hidden="1" x14ac:dyDescent="0.25">
      <c r="A106" s="18" t="s">
        <v>133</v>
      </c>
      <c r="B106" s="19" t="s">
        <v>1</v>
      </c>
      <c r="C106" s="19" t="s">
        <v>1</v>
      </c>
      <c r="D106" s="31" t="s">
        <v>134</v>
      </c>
      <c r="E106" s="20">
        <f>SUM(E107+E109)</f>
        <v>12472908</v>
      </c>
      <c r="F106" s="21">
        <f t="shared" ref="F106:BS106" si="124">SUM(F107+F109)</f>
        <v>12429073</v>
      </c>
      <c r="G106" s="21">
        <f t="shared" si="124"/>
        <v>3786990</v>
      </c>
      <c r="H106" s="21">
        <f t="shared" si="124"/>
        <v>2971382</v>
      </c>
      <c r="I106" s="21">
        <f t="shared" si="124"/>
        <v>680746</v>
      </c>
      <c r="J106" s="21">
        <f t="shared" si="124"/>
        <v>45417</v>
      </c>
      <c r="K106" s="21">
        <f t="shared" si="124"/>
        <v>0</v>
      </c>
      <c r="L106" s="21">
        <f t="shared" si="124"/>
        <v>0</v>
      </c>
      <c r="M106" s="21">
        <f t="shared" si="124"/>
        <v>0</v>
      </c>
      <c r="N106" s="21">
        <f t="shared" si="124"/>
        <v>2513</v>
      </c>
      <c r="O106" s="21">
        <f t="shared" si="124"/>
        <v>42904</v>
      </c>
      <c r="P106" s="21">
        <f t="shared" si="124"/>
        <v>0</v>
      </c>
      <c r="Q106" s="21">
        <f t="shared" si="124"/>
        <v>0</v>
      </c>
      <c r="R106" s="21">
        <f t="shared" si="124"/>
        <v>0</v>
      </c>
      <c r="S106" s="21">
        <f t="shared" si="124"/>
        <v>0</v>
      </c>
      <c r="T106" s="21">
        <f t="shared" si="124"/>
        <v>0</v>
      </c>
      <c r="U106" s="21">
        <f t="shared" si="124"/>
        <v>40815</v>
      </c>
      <c r="V106" s="21">
        <f t="shared" si="124"/>
        <v>20114</v>
      </c>
      <c r="W106" s="21">
        <f t="shared" si="124"/>
        <v>0</v>
      </c>
      <c r="X106" s="21">
        <f t="shared" si="124"/>
        <v>4431</v>
      </c>
      <c r="Y106" s="21">
        <f t="shared" si="124"/>
        <v>15555</v>
      </c>
      <c r="Z106" s="21">
        <f t="shared" si="124"/>
        <v>128</v>
      </c>
      <c r="AA106" s="21">
        <f t="shared" si="124"/>
        <v>0</v>
      </c>
      <c r="AB106" s="21">
        <f t="shared" si="124"/>
        <v>0</v>
      </c>
      <c r="AC106" s="21">
        <f t="shared" si="124"/>
        <v>0</v>
      </c>
      <c r="AD106" s="21">
        <f t="shared" si="124"/>
        <v>0</v>
      </c>
      <c r="AE106" s="21">
        <f t="shared" si="124"/>
        <v>28516</v>
      </c>
      <c r="AF106" s="21">
        <f t="shared" si="124"/>
        <v>0</v>
      </c>
      <c r="AG106" s="21">
        <f t="shared" si="124"/>
        <v>0</v>
      </c>
      <c r="AH106" s="21">
        <f t="shared" si="124"/>
        <v>6598</v>
      </c>
      <c r="AI106" s="21">
        <f t="shared" si="124"/>
        <v>0</v>
      </c>
      <c r="AJ106" s="21">
        <f t="shared" si="124"/>
        <v>0</v>
      </c>
      <c r="AK106" s="21">
        <f t="shared" si="124"/>
        <v>0</v>
      </c>
      <c r="AL106" s="21">
        <f t="shared" si="124"/>
        <v>21918</v>
      </c>
      <c r="AM106" s="21">
        <f t="shared" si="124"/>
        <v>0</v>
      </c>
      <c r="AN106" s="21">
        <f t="shared" si="124"/>
        <v>0</v>
      </c>
      <c r="AO106" s="21">
        <f t="shared" si="124"/>
        <v>0</v>
      </c>
      <c r="AP106" s="21">
        <f>SUM(AP107+AP109)</f>
        <v>0</v>
      </c>
      <c r="AQ106" s="21">
        <f t="shared" si="124"/>
        <v>0</v>
      </c>
      <c r="AR106" s="21">
        <f t="shared" si="124"/>
        <v>0</v>
      </c>
      <c r="AS106" s="21">
        <f t="shared" si="124"/>
        <v>0</v>
      </c>
      <c r="AT106" s="21">
        <f t="shared" si="124"/>
        <v>0</v>
      </c>
      <c r="AU106" s="21">
        <f t="shared" si="124"/>
        <v>0</v>
      </c>
      <c r="AV106" s="21">
        <f t="shared" si="124"/>
        <v>0</v>
      </c>
      <c r="AW106" s="21">
        <f t="shared" si="124"/>
        <v>0</v>
      </c>
      <c r="AX106" s="21">
        <f t="shared" si="124"/>
        <v>0</v>
      </c>
      <c r="AY106" s="21">
        <f t="shared" si="124"/>
        <v>0</v>
      </c>
      <c r="AZ106" s="21">
        <f t="shared" si="124"/>
        <v>0</v>
      </c>
      <c r="BA106" s="21">
        <f t="shared" si="124"/>
        <v>8642083</v>
      </c>
      <c r="BB106" s="21">
        <f t="shared" si="124"/>
        <v>0</v>
      </c>
      <c r="BC106" s="21">
        <f t="shared" si="124"/>
        <v>0</v>
      </c>
      <c r="BD106" s="21">
        <f t="shared" si="124"/>
        <v>0</v>
      </c>
      <c r="BE106" s="21">
        <f t="shared" si="124"/>
        <v>0</v>
      </c>
      <c r="BF106" s="21">
        <f t="shared" si="124"/>
        <v>8642083</v>
      </c>
      <c r="BG106" s="21">
        <f t="shared" si="124"/>
        <v>8642083</v>
      </c>
      <c r="BH106" s="21">
        <f t="shared" si="124"/>
        <v>0</v>
      </c>
      <c r="BI106" s="21">
        <f t="shared" si="124"/>
        <v>0</v>
      </c>
      <c r="BJ106" s="21">
        <f t="shared" si="124"/>
        <v>0</v>
      </c>
      <c r="BK106" s="21">
        <f t="shared" si="124"/>
        <v>0</v>
      </c>
      <c r="BL106" s="21">
        <f t="shared" si="124"/>
        <v>0</v>
      </c>
      <c r="BM106" s="21">
        <f t="shared" si="124"/>
        <v>0</v>
      </c>
      <c r="BN106" s="21">
        <f t="shared" si="124"/>
        <v>0</v>
      </c>
      <c r="BO106" s="21">
        <f t="shared" si="124"/>
        <v>0</v>
      </c>
      <c r="BP106" s="21">
        <f t="shared" si="124"/>
        <v>0</v>
      </c>
      <c r="BQ106" s="21">
        <f t="shared" si="124"/>
        <v>0</v>
      </c>
      <c r="BR106" s="21">
        <f t="shared" si="124"/>
        <v>0</v>
      </c>
      <c r="BS106" s="21">
        <f t="shared" si="124"/>
        <v>0</v>
      </c>
      <c r="BT106" s="21">
        <f t="shared" ref="BT106:CW106" si="125">SUM(BT107+BT109)</f>
        <v>0</v>
      </c>
      <c r="BU106" s="21">
        <f t="shared" si="125"/>
        <v>0</v>
      </c>
      <c r="BV106" s="21">
        <f t="shared" si="125"/>
        <v>0</v>
      </c>
      <c r="BW106" s="21">
        <f t="shared" si="125"/>
        <v>0</v>
      </c>
      <c r="BX106" s="21">
        <f t="shared" si="125"/>
        <v>0</v>
      </c>
      <c r="BY106" s="21">
        <f t="shared" si="125"/>
        <v>43835</v>
      </c>
      <c r="BZ106" s="21">
        <f t="shared" si="125"/>
        <v>43835</v>
      </c>
      <c r="CA106" s="21">
        <f t="shared" si="125"/>
        <v>43835</v>
      </c>
      <c r="CB106" s="21">
        <f t="shared" si="125"/>
        <v>0</v>
      </c>
      <c r="CC106" s="21">
        <f t="shared" si="125"/>
        <v>43835</v>
      </c>
      <c r="CD106" s="21">
        <f t="shared" si="125"/>
        <v>0</v>
      </c>
      <c r="CE106" s="21">
        <f t="shared" si="125"/>
        <v>0</v>
      </c>
      <c r="CF106" s="21">
        <f>SUM(CF107+CF109)</f>
        <v>0</v>
      </c>
      <c r="CG106" s="21">
        <f t="shared" si="125"/>
        <v>0</v>
      </c>
      <c r="CH106" s="21">
        <f t="shared" si="125"/>
        <v>0</v>
      </c>
      <c r="CI106" s="21">
        <f t="shared" si="125"/>
        <v>0</v>
      </c>
      <c r="CJ106" s="21">
        <f t="shared" si="125"/>
        <v>0</v>
      </c>
      <c r="CK106" s="21">
        <f t="shared" si="125"/>
        <v>0</v>
      </c>
      <c r="CL106" s="21">
        <f t="shared" si="125"/>
        <v>0</v>
      </c>
      <c r="CM106" s="21">
        <f>SUM(CM107+CM109)</f>
        <v>0</v>
      </c>
      <c r="CN106" s="21">
        <f t="shared" si="125"/>
        <v>0</v>
      </c>
      <c r="CO106" s="21">
        <f t="shared" si="125"/>
        <v>0</v>
      </c>
      <c r="CP106" s="21">
        <f t="shared" si="125"/>
        <v>0</v>
      </c>
      <c r="CQ106" s="21">
        <f t="shared" si="125"/>
        <v>0</v>
      </c>
      <c r="CR106" s="21">
        <f t="shared" si="125"/>
        <v>0</v>
      </c>
      <c r="CS106" s="21">
        <f t="shared" si="125"/>
        <v>0</v>
      </c>
      <c r="CT106" s="21">
        <f t="shared" si="125"/>
        <v>0</v>
      </c>
      <c r="CU106" s="21">
        <f t="shared" si="125"/>
        <v>0</v>
      </c>
      <c r="CV106" s="21">
        <f t="shared" si="125"/>
        <v>0</v>
      </c>
      <c r="CW106" s="22">
        <f t="shared" si="125"/>
        <v>0</v>
      </c>
      <c r="CX106" s="40"/>
    </row>
    <row r="107" spans="1:102" ht="15.75" hidden="1" x14ac:dyDescent="0.25">
      <c r="A107" s="13" t="s">
        <v>107</v>
      </c>
      <c r="B107" s="14" t="s">
        <v>7</v>
      </c>
      <c r="C107" s="14" t="s">
        <v>1</v>
      </c>
      <c r="D107" s="30" t="s">
        <v>135</v>
      </c>
      <c r="E107" s="15">
        <f>SUM(E108)</f>
        <v>8642083</v>
      </c>
      <c r="F107" s="16">
        <f t="shared" ref="F107:BS107" si="126">SUM(F108)</f>
        <v>8642083</v>
      </c>
      <c r="G107" s="16">
        <f t="shared" si="126"/>
        <v>0</v>
      </c>
      <c r="H107" s="16">
        <f t="shared" si="126"/>
        <v>0</v>
      </c>
      <c r="I107" s="16">
        <f t="shared" si="126"/>
        <v>0</v>
      </c>
      <c r="J107" s="16">
        <f t="shared" si="126"/>
        <v>0</v>
      </c>
      <c r="K107" s="16">
        <f t="shared" si="126"/>
        <v>0</v>
      </c>
      <c r="L107" s="16">
        <f t="shared" si="126"/>
        <v>0</v>
      </c>
      <c r="M107" s="16">
        <f t="shared" si="126"/>
        <v>0</v>
      </c>
      <c r="N107" s="16">
        <f t="shared" si="126"/>
        <v>0</v>
      </c>
      <c r="O107" s="16">
        <f t="shared" si="126"/>
        <v>0</v>
      </c>
      <c r="P107" s="16">
        <f t="shared" si="126"/>
        <v>0</v>
      </c>
      <c r="Q107" s="16">
        <f t="shared" si="126"/>
        <v>0</v>
      </c>
      <c r="R107" s="16">
        <f t="shared" si="126"/>
        <v>0</v>
      </c>
      <c r="S107" s="16">
        <f t="shared" si="126"/>
        <v>0</v>
      </c>
      <c r="T107" s="16">
        <f t="shared" si="126"/>
        <v>0</v>
      </c>
      <c r="U107" s="16">
        <f t="shared" si="126"/>
        <v>0</v>
      </c>
      <c r="V107" s="16">
        <f t="shared" si="126"/>
        <v>0</v>
      </c>
      <c r="W107" s="16">
        <f t="shared" si="126"/>
        <v>0</v>
      </c>
      <c r="X107" s="16">
        <f t="shared" si="126"/>
        <v>0</v>
      </c>
      <c r="Y107" s="16">
        <f t="shared" si="126"/>
        <v>0</v>
      </c>
      <c r="Z107" s="16">
        <f t="shared" si="126"/>
        <v>0</v>
      </c>
      <c r="AA107" s="16">
        <f t="shared" si="126"/>
        <v>0</v>
      </c>
      <c r="AB107" s="16">
        <f t="shared" si="126"/>
        <v>0</v>
      </c>
      <c r="AC107" s="16">
        <f t="shared" si="126"/>
        <v>0</v>
      </c>
      <c r="AD107" s="16">
        <f t="shared" si="126"/>
        <v>0</v>
      </c>
      <c r="AE107" s="16">
        <f t="shared" si="126"/>
        <v>0</v>
      </c>
      <c r="AF107" s="16">
        <f t="shared" si="126"/>
        <v>0</v>
      </c>
      <c r="AG107" s="16">
        <f t="shared" si="126"/>
        <v>0</v>
      </c>
      <c r="AH107" s="16">
        <f t="shared" si="126"/>
        <v>0</v>
      </c>
      <c r="AI107" s="16">
        <f t="shared" si="126"/>
        <v>0</v>
      </c>
      <c r="AJ107" s="16">
        <f t="shared" si="126"/>
        <v>0</v>
      </c>
      <c r="AK107" s="16">
        <f t="shared" si="126"/>
        <v>0</v>
      </c>
      <c r="AL107" s="16">
        <f t="shared" si="126"/>
        <v>0</v>
      </c>
      <c r="AM107" s="16">
        <f t="shared" si="126"/>
        <v>0</v>
      </c>
      <c r="AN107" s="16">
        <f t="shared" si="126"/>
        <v>0</v>
      </c>
      <c r="AO107" s="16">
        <f t="shared" si="126"/>
        <v>0</v>
      </c>
      <c r="AP107" s="16">
        <f t="shared" si="126"/>
        <v>0</v>
      </c>
      <c r="AQ107" s="16">
        <f t="shared" si="126"/>
        <v>0</v>
      </c>
      <c r="AR107" s="16">
        <f t="shared" si="126"/>
        <v>0</v>
      </c>
      <c r="AS107" s="16">
        <f t="shared" si="126"/>
        <v>0</v>
      </c>
      <c r="AT107" s="16">
        <f t="shared" si="126"/>
        <v>0</v>
      </c>
      <c r="AU107" s="16">
        <f t="shared" si="126"/>
        <v>0</v>
      </c>
      <c r="AV107" s="16">
        <f t="shared" si="126"/>
        <v>0</v>
      </c>
      <c r="AW107" s="16">
        <f t="shared" si="126"/>
        <v>0</v>
      </c>
      <c r="AX107" s="16">
        <f t="shared" si="126"/>
        <v>0</v>
      </c>
      <c r="AY107" s="16">
        <f t="shared" si="126"/>
        <v>0</v>
      </c>
      <c r="AZ107" s="16">
        <f t="shared" si="126"/>
        <v>0</v>
      </c>
      <c r="BA107" s="16">
        <f t="shared" si="126"/>
        <v>8642083</v>
      </c>
      <c r="BB107" s="16">
        <f t="shared" si="126"/>
        <v>0</v>
      </c>
      <c r="BC107" s="16">
        <f t="shared" si="126"/>
        <v>0</v>
      </c>
      <c r="BD107" s="16">
        <f t="shared" si="126"/>
        <v>0</v>
      </c>
      <c r="BE107" s="16">
        <f t="shared" si="126"/>
        <v>0</v>
      </c>
      <c r="BF107" s="16">
        <f t="shared" si="126"/>
        <v>8642083</v>
      </c>
      <c r="BG107" s="16">
        <f t="shared" si="126"/>
        <v>8642083</v>
      </c>
      <c r="BH107" s="16">
        <f t="shared" si="126"/>
        <v>0</v>
      </c>
      <c r="BI107" s="16">
        <f t="shared" si="126"/>
        <v>0</v>
      </c>
      <c r="BJ107" s="16">
        <f t="shared" si="126"/>
        <v>0</v>
      </c>
      <c r="BK107" s="16">
        <f t="shared" si="126"/>
        <v>0</v>
      </c>
      <c r="BL107" s="16">
        <f t="shared" si="126"/>
        <v>0</v>
      </c>
      <c r="BM107" s="16">
        <f t="shared" si="126"/>
        <v>0</v>
      </c>
      <c r="BN107" s="16">
        <f t="shared" si="126"/>
        <v>0</v>
      </c>
      <c r="BO107" s="16">
        <f t="shared" si="126"/>
        <v>0</v>
      </c>
      <c r="BP107" s="16">
        <f t="shared" si="126"/>
        <v>0</v>
      </c>
      <c r="BQ107" s="16">
        <f t="shared" si="126"/>
        <v>0</v>
      </c>
      <c r="BR107" s="16">
        <f t="shared" si="126"/>
        <v>0</v>
      </c>
      <c r="BS107" s="16">
        <f t="shared" si="126"/>
        <v>0</v>
      </c>
      <c r="BT107" s="16">
        <f t="shared" ref="BT107:CW107" si="127">SUM(BT108)</f>
        <v>0</v>
      </c>
      <c r="BU107" s="16">
        <f t="shared" si="127"/>
        <v>0</v>
      </c>
      <c r="BV107" s="16">
        <f t="shared" si="127"/>
        <v>0</v>
      </c>
      <c r="BW107" s="16">
        <f t="shared" si="127"/>
        <v>0</v>
      </c>
      <c r="BX107" s="16">
        <f t="shared" si="127"/>
        <v>0</v>
      </c>
      <c r="BY107" s="16">
        <f t="shared" si="127"/>
        <v>0</v>
      </c>
      <c r="BZ107" s="16">
        <f t="shared" si="127"/>
        <v>0</v>
      </c>
      <c r="CA107" s="16">
        <f t="shared" si="127"/>
        <v>0</v>
      </c>
      <c r="CB107" s="16">
        <f t="shared" si="127"/>
        <v>0</v>
      </c>
      <c r="CC107" s="16">
        <f t="shared" si="127"/>
        <v>0</v>
      </c>
      <c r="CD107" s="16">
        <f t="shared" si="127"/>
        <v>0</v>
      </c>
      <c r="CE107" s="16">
        <f t="shared" si="127"/>
        <v>0</v>
      </c>
      <c r="CF107" s="16">
        <f t="shared" si="127"/>
        <v>0</v>
      </c>
      <c r="CG107" s="16">
        <f t="shared" si="127"/>
        <v>0</v>
      </c>
      <c r="CH107" s="16">
        <f t="shared" si="127"/>
        <v>0</v>
      </c>
      <c r="CI107" s="16">
        <f t="shared" si="127"/>
        <v>0</v>
      </c>
      <c r="CJ107" s="16">
        <f t="shared" si="127"/>
        <v>0</v>
      </c>
      <c r="CK107" s="16">
        <f t="shared" si="127"/>
        <v>0</v>
      </c>
      <c r="CL107" s="16">
        <f t="shared" si="127"/>
        <v>0</v>
      </c>
      <c r="CM107" s="16">
        <f t="shared" si="127"/>
        <v>0</v>
      </c>
      <c r="CN107" s="16">
        <f t="shared" si="127"/>
        <v>0</v>
      </c>
      <c r="CO107" s="16">
        <f t="shared" si="127"/>
        <v>0</v>
      </c>
      <c r="CP107" s="16">
        <f t="shared" si="127"/>
        <v>0</v>
      </c>
      <c r="CQ107" s="16">
        <f t="shared" si="127"/>
        <v>0</v>
      </c>
      <c r="CR107" s="16">
        <f t="shared" si="127"/>
        <v>0</v>
      </c>
      <c r="CS107" s="16">
        <f t="shared" si="127"/>
        <v>0</v>
      </c>
      <c r="CT107" s="16">
        <f t="shared" si="127"/>
        <v>0</v>
      </c>
      <c r="CU107" s="16">
        <f t="shared" si="127"/>
        <v>0</v>
      </c>
      <c r="CV107" s="16">
        <f t="shared" si="127"/>
        <v>0</v>
      </c>
      <c r="CW107" s="17">
        <f t="shared" si="127"/>
        <v>0</v>
      </c>
      <c r="CX107" s="40"/>
    </row>
    <row r="108" spans="1:102" ht="31.5" hidden="1" x14ac:dyDescent="0.25">
      <c r="A108" s="13" t="s">
        <v>1</v>
      </c>
      <c r="B108" s="14" t="s">
        <v>1</v>
      </c>
      <c r="C108" s="14" t="s">
        <v>29</v>
      </c>
      <c r="D108" s="30" t="s">
        <v>501</v>
      </c>
      <c r="E108" s="15">
        <f>SUM(F108+BY108+CT108)</f>
        <v>8642083</v>
      </c>
      <c r="F108" s="16">
        <f>SUM(G108+BA108)</f>
        <v>8642083</v>
      </c>
      <c r="G108" s="16">
        <f>SUM(H108+I108+J108+Q108+T108+U108+V108+AE108)</f>
        <v>0</v>
      </c>
      <c r="H108" s="16">
        <v>0</v>
      </c>
      <c r="I108" s="16">
        <v>0</v>
      </c>
      <c r="J108" s="16">
        <f t="shared" si="71"/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f t="shared" si="72"/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f>SUM(W108:AD108)</f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f>SUM(AF108:AZ108)</f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f>SUM(BB108+BF108+BI108+BK108+BM108)</f>
        <v>8642083</v>
      </c>
      <c r="BB108" s="16">
        <f>SUM(BC108:BE108)</f>
        <v>0</v>
      </c>
      <c r="BC108" s="16">
        <v>0</v>
      </c>
      <c r="BD108" s="16">
        <v>0</v>
      </c>
      <c r="BE108" s="16">
        <v>0</v>
      </c>
      <c r="BF108" s="16">
        <f t="shared" si="73"/>
        <v>8642083</v>
      </c>
      <c r="BG108" s="16">
        <v>8642083</v>
      </c>
      <c r="BH108" s="16">
        <v>0</v>
      </c>
      <c r="BI108" s="16">
        <v>0</v>
      </c>
      <c r="BJ108" s="16">
        <v>0</v>
      </c>
      <c r="BK108" s="16">
        <f t="shared" si="74"/>
        <v>0</v>
      </c>
      <c r="BL108" s="16">
        <v>0</v>
      </c>
      <c r="BM108" s="16">
        <f t="shared" si="75"/>
        <v>0</v>
      </c>
      <c r="BN108" s="16">
        <v>0</v>
      </c>
      <c r="BO108" s="16">
        <v>0</v>
      </c>
      <c r="BP108" s="16">
        <v>0</v>
      </c>
      <c r="BQ108" s="16">
        <v>0</v>
      </c>
      <c r="BR108" s="16">
        <v>0</v>
      </c>
      <c r="BS108" s="16">
        <v>0</v>
      </c>
      <c r="BT108" s="16">
        <v>0</v>
      </c>
      <c r="BU108" s="16">
        <v>0</v>
      </c>
      <c r="BV108" s="16">
        <v>0</v>
      </c>
      <c r="BW108" s="16">
        <v>0</v>
      </c>
      <c r="BX108" s="16">
        <v>0</v>
      </c>
      <c r="BY108" s="16">
        <f>SUM(BZ108+CS108)</f>
        <v>0</v>
      </c>
      <c r="BZ108" s="16">
        <f>SUM(CA108+CD108+CK108)</f>
        <v>0</v>
      </c>
      <c r="CA108" s="16">
        <f t="shared" si="76"/>
        <v>0</v>
      </c>
      <c r="CB108" s="16">
        <v>0</v>
      </c>
      <c r="CC108" s="16">
        <v>0</v>
      </c>
      <c r="CD108" s="16">
        <f t="shared" si="77"/>
        <v>0</v>
      </c>
      <c r="CE108" s="16">
        <v>0</v>
      </c>
      <c r="CF108" s="16">
        <v>0</v>
      </c>
      <c r="CG108" s="16">
        <v>0</v>
      </c>
      <c r="CH108" s="16">
        <v>0</v>
      </c>
      <c r="CI108" s="16">
        <v>0</v>
      </c>
      <c r="CJ108" s="16">
        <v>0</v>
      </c>
      <c r="CK108" s="16">
        <f t="shared" si="78"/>
        <v>0</v>
      </c>
      <c r="CL108" s="16">
        <v>0</v>
      </c>
      <c r="CM108" s="16">
        <v>0</v>
      </c>
      <c r="CN108" s="16">
        <v>0</v>
      </c>
      <c r="CO108" s="16">
        <v>0</v>
      </c>
      <c r="CP108" s="16">
        <v>0</v>
      </c>
      <c r="CQ108" s="16">
        <v>0</v>
      </c>
      <c r="CR108" s="16">
        <v>0</v>
      </c>
      <c r="CS108" s="16">
        <v>0</v>
      </c>
      <c r="CT108" s="16">
        <f t="shared" si="79"/>
        <v>0</v>
      </c>
      <c r="CU108" s="16">
        <f t="shared" si="80"/>
        <v>0</v>
      </c>
      <c r="CV108" s="16">
        <v>0</v>
      </c>
      <c r="CW108" s="17">
        <v>0</v>
      </c>
      <c r="CX108" s="40"/>
    </row>
    <row r="109" spans="1:102" ht="15.75" hidden="1" x14ac:dyDescent="0.25">
      <c r="A109" s="13" t="s">
        <v>107</v>
      </c>
      <c r="B109" s="14" t="s">
        <v>50</v>
      </c>
      <c r="C109" s="14" t="s">
        <v>1</v>
      </c>
      <c r="D109" s="30" t="s">
        <v>136</v>
      </c>
      <c r="E109" s="15">
        <f t="shared" ref="E109:BP109" si="128">SUM(E110)</f>
        <v>3830825</v>
      </c>
      <c r="F109" s="16">
        <f t="shared" si="128"/>
        <v>3786990</v>
      </c>
      <c r="G109" s="16">
        <f t="shared" si="128"/>
        <v>3786990</v>
      </c>
      <c r="H109" s="16">
        <f t="shared" si="128"/>
        <v>2971382</v>
      </c>
      <c r="I109" s="16">
        <f t="shared" si="128"/>
        <v>680746</v>
      </c>
      <c r="J109" s="16">
        <f t="shared" si="128"/>
        <v>45417</v>
      </c>
      <c r="K109" s="16">
        <f t="shared" si="128"/>
        <v>0</v>
      </c>
      <c r="L109" s="16">
        <f t="shared" si="128"/>
        <v>0</v>
      </c>
      <c r="M109" s="16">
        <f t="shared" si="128"/>
        <v>0</v>
      </c>
      <c r="N109" s="16">
        <f t="shared" si="128"/>
        <v>2513</v>
      </c>
      <c r="O109" s="16">
        <f t="shared" si="128"/>
        <v>42904</v>
      </c>
      <c r="P109" s="16">
        <f t="shared" si="128"/>
        <v>0</v>
      </c>
      <c r="Q109" s="16">
        <f t="shared" si="128"/>
        <v>0</v>
      </c>
      <c r="R109" s="16">
        <f t="shared" si="128"/>
        <v>0</v>
      </c>
      <c r="S109" s="16">
        <f t="shared" si="128"/>
        <v>0</v>
      </c>
      <c r="T109" s="16">
        <f t="shared" si="128"/>
        <v>0</v>
      </c>
      <c r="U109" s="16">
        <f t="shared" si="128"/>
        <v>40815</v>
      </c>
      <c r="V109" s="16">
        <f t="shared" si="128"/>
        <v>20114</v>
      </c>
      <c r="W109" s="16">
        <f t="shared" si="128"/>
        <v>0</v>
      </c>
      <c r="X109" s="16">
        <f t="shared" si="128"/>
        <v>4431</v>
      </c>
      <c r="Y109" s="16">
        <f t="shared" si="128"/>
        <v>15555</v>
      </c>
      <c r="Z109" s="16">
        <f t="shared" si="128"/>
        <v>128</v>
      </c>
      <c r="AA109" s="16">
        <f t="shared" si="128"/>
        <v>0</v>
      </c>
      <c r="AB109" s="16">
        <f t="shared" si="128"/>
        <v>0</v>
      </c>
      <c r="AC109" s="16">
        <f t="shared" si="128"/>
        <v>0</v>
      </c>
      <c r="AD109" s="16">
        <f t="shared" si="128"/>
        <v>0</v>
      </c>
      <c r="AE109" s="16">
        <f t="shared" si="128"/>
        <v>28516</v>
      </c>
      <c r="AF109" s="16">
        <f t="shared" si="128"/>
        <v>0</v>
      </c>
      <c r="AG109" s="16">
        <f t="shared" si="128"/>
        <v>0</v>
      </c>
      <c r="AH109" s="16">
        <f t="shared" si="128"/>
        <v>6598</v>
      </c>
      <c r="AI109" s="16">
        <f t="shared" si="128"/>
        <v>0</v>
      </c>
      <c r="AJ109" s="16">
        <f t="shared" si="128"/>
        <v>0</v>
      </c>
      <c r="AK109" s="16">
        <f t="shared" si="128"/>
        <v>0</v>
      </c>
      <c r="AL109" s="16">
        <f t="shared" si="128"/>
        <v>21918</v>
      </c>
      <c r="AM109" s="16">
        <f t="shared" si="128"/>
        <v>0</v>
      </c>
      <c r="AN109" s="16">
        <f t="shared" si="128"/>
        <v>0</v>
      </c>
      <c r="AO109" s="16">
        <f t="shared" si="128"/>
        <v>0</v>
      </c>
      <c r="AP109" s="16">
        <f t="shared" si="128"/>
        <v>0</v>
      </c>
      <c r="AQ109" s="16">
        <f t="shared" si="128"/>
        <v>0</v>
      </c>
      <c r="AR109" s="16">
        <f t="shared" si="128"/>
        <v>0</v>
      </c>
      <c r="AS109" s="16">
        <f t="shared" si="128"/>
        <v>0</v>
      </c>
      <c r="AT109" s="16">
        <f t="shared" si="128"/>
        <v>0</v>
      </c>
      <c r="AU109" s="16">
        <f t="shared" si="128"/>
        <v>0</v>
      </c>
      <c r="AV109" s="16">
        <f t="shared" si="128"/>
        <v>0</v>
      </c>
      <c r="AW109" s="16">
        <f t="shared" si="128"/>
        <v>0</v>
      </c>
      <c r="AX109" s="16">
        <f t="shared" si="128"/>
        <v>0</v>
      </c>
      <c r="AY109" s="16">
        <f t="shared" si="128"/>
        <v>0</v>
      </c>
      <c r="AZ109" s="16">
        <f t="shared" si="128"/>
        <v>0</v>
      </c>
      <c r="BA109" s="16">
        <f t="shared" si="128"/>
        <v>0</v>
      </c>
      <c r="BB109" s="16">
        <f t="shared" si="128"/>
        <v>0</v>
      </c>
      <c r="BC109" s="16">
        <f t="shared" si="128"/>
        <v>0</v>
      </c>
      <c r="BD109" s="16">
        <f t="shared" si="128"/>
        <v>0</v>
      </c>
      <c r="BE109" s="16">
        <f t="shared" si="128"/>
        <v>0</v>
      </c>
      <c r="BF109" s="16">
        <f t="shared" si="128"/>
        <v>0</v>
      </c>
      <c r="BG109" s="16">
        <f t="shared" si="128"/>
        <v>0</v>
      </c>
      <c r="BH109" s="16">
        <f t="shared" si="128"/>
        <v>0</v>
      </c>
      <c r="BI109" s="16">
        <f t="shared" si="128"/>
        <v>0</v>
      </c>
      <c r="BJ109" s="16">
        <f t="shared" si="128"/>
        <v>0</v>
      </c>
      <c r="BK109" s="16">
        <f t="shared" si="128"/>
        <v>0</v>
      </c>
      <c r="BL109" s="16">
        <f t="shared" si="128"/>
        <v>0</v>
      </c>
      <c r="BM109" s="16">
        <f t="shared" si="128"/>
        <v>0</v>
      </c>
      <c r="BN109" s="16">
        <f t="shared" si="128"/>
        <v>0</v>
      </c>
      <c r="BO109" s="16">
        <f t="shared" si="128"/>
        <v>0</v>
      </c>
      <c r="BP109" s="16">
        <f t="shared" si="128"/>
        <v>0</v>
      </c>
      <c r="BQ109" s="16">
        <f t="shared" ref="BQ109:CW109" si="129">SUM(BQ110)</f>
        <v>0</v>
      </c>
      <c r="BR109" s="16">
        <f t="shared" si="129"/>
        <v>0</v>
      </c>
      <c r="BS109" s="16">
        <f t="shared" si="129"/>
        <v>0</v>
      </c>
      <c r="BT109" s="16">
        <f t="shared" si="129"/>
        <v>0</v>
      </c>
      <c r="BU109" s="16">
        <f t="shared" si="129"/>
        <v>0</v>
      </c>
      <c r="BV109" s="16">
        <f t="shared" si="129"/>
        <v>0</v>
      </c>
      <c r="BW109" s="16">
        <f t="shared" si="129"/>
        <v>0</v>
      </c>
      <c r="BX109" s="16">
        <f t="shared" si="129"/>
        <v>0</v>
      </c>
      <c r="BY109" s="16">
        <f t="shared" si="129"/>
        <v>43835</v>
      </c>
      <c r="BZ109" s="16">
        <f t="shared" si="129"/>
        <v>43835</v>
      </c>
      <c r="CA109" s="16">
        <f t="shared" si="129"/>
        <v>43835</v>
      </c>
      <c r="CB109" s="16">
        <f t="shared" si="129"/>
        <v>0</v>
      </c>
      <c r="CC109" s="16">
        <f t="shared" si="129"/>
        <v>43835</v>
      </c>
      <c r="CD109" s="16">
        <f t="shared" si="129"/>
        <v>0</v>
      </c>
      <c r="CE109" s="16">
        <f t="shared" si="129"/>
        <v>0</v>
      </c>
      <c r="CF109" s="16">
        <f t="shared" si="129"/>
        <v>0</v>
      </c>
      <c r="CG109" s="16">
        <f t="shared" si="129"/>
        <v>0</v>
      </c>
      <c r="CH109" s="16">
        <f t="shared" si="129"/>
        <v>0</v>
      </c>
      <c r="CI109" s="16">
        <f t="shared" si="129"/>
        <v>0</v>
      </c>
      <c r="CJ109" s="16">
        <f t="shared" si="129"/>
        <v>0</v>
      </c>
      <c r="CK109" s="16">
        <f t="shared" si="129"/>
        <v>0</v>
      </c>
      <c r="CL109" s="16">
        <f t="shared" si="129"/>
        <v>0</v>
      </c>
      <c r="CM109" s="16">
        <f t="shared" si="129"/>
        <v>0</v>
      </c>
      <c r="CN109" s="16">
        <f t="shared" si="129"/>
        <v>0</v>
      </c>
      <c r="CO109" s="16">
        <f t="shared" si="129"/>
        <v>0</v>
      </c>
      <c r="CP109" s="16">
        <f t="shared" si="129"/>
        <v>0</v>
      </c>
      <c r="CQ109" s="16">
        <f t="shared" si="129"/>
        <v>0</v>
      </c>
      <c r="CR109" s="16">
        <f t="shared" si="129"/>
        <v>0</v>
      </c>
      <c r="CS109" s="16">
        <f t="shared" si="129"/>
        <v>0</v>
      </c>
      <c r="CT109" s="16">
        <f t="shared" si="129"/>
        <v>0</v>
      </c>
      <c r="CU109" s="16">
        <f t="shared" si="129"/>
        <v>0</v>
      </c>
      <c r="CV109" s="16">
        <f t="shared" si="129"/>
        <v>0</v>
      </c>
      <c r="CW109" s="17">
        <f t="shared" si="129"/>
        <v>0</v>
      </c>
      <c r="CX109" s="40"/>
    </row>
    <row r="110" spans="1:102" ht="31.5" hidden="1" x14ac:dyDescent="0.25">
      <c r="A110" s="13" t="s">
        <v>1</v>
      </c>
      <c r="B110" s="14" t="s">
        <v>1</v>
      </c>
      <c r="C110" s="14" t="s">
        <v>29</v>
      </c>
      <c r="D110" s="30" t="s">
        <v>137</v>
      </c>
      <c r="E110" s="15">
        <f>SUM(F110+BY110+CT110)</f>
        <v>3830825</v>
      </c>
      <c r="F110" s="16">
        <f>SUM(G110+BA110)</f>
        <v>3786990</v>
      </c>
      <c r="G110" s="16">
        <f>SUM(H110+I110+J110+Q110+T110+U110+V110+AE110)</f>
        <v>3786990</v>
      </c>
      <c r="H110" s="16">
        <v>2971382</v>
      </c>
      <c r="I110" s="16">
        <v>680746</v>
      </c>
      <c r="J110" s="16">
        <f t="shared" si="71"/>
        <v>45417</v>
      </c>
      <c r="K110" s="16">
        <v>0</v>
      </c>
      <c r="L110" s="16">
        <v>0</v>
      </c>
      <c r="M110" s="16">
        <v>0</v>
      </c>
      <c r="N110" s="16">
        <v>2513</v>
      </c>
      <c r="O110" s="16">
        <v>42904</v>
      </c>
      <c r="P110" s="16">
        <v>0</v>
      </c>
      <c r="Q110" s="16">
        <f t="shared" si="72"/>
        <v>0</v>
      </c>
      <c r="R110" s="16">
        <v>0</v>
      </c>
      <c r="S110" s="16">
        <v>0</v>
      </c>
      <c r="T110" s="16">
        <v>0</v>
      </c>
      <c r="U110" s="16">
        <v>40815</v>
      </c>
      <c r="V110" s="16">
        <f>SUM(W110:AD110)</f>
        <v>20114</v>
      </c>
      <c r="W110" s="16">
        <v>0</v>
      </c>
      <c r="X110" s="16">
        <v>4431</v>
      </c>
      <c r="Y110" s="16">
        <v>15555</v>
      </c>
      <c r="Z110" s="16">
        <v>128</v>
      </c>
      <c r="AA110" s="16">
        <v>0</v>
      </c>
      <c r="AB110" s="16">
        <v>0</v>
      </c>
      <c r="AC110" s="16">
        <v>0</v>
      </c>
      <c r="AD110" s="16">
        <v>0</v>
      </c>
      <c r="AE110" s="16">
        <f>SUM(AF110:AZ110)</f>
        <v>28516</v>
      </c>
      <c r="AF110" s="16">
        <v>0</v>
      </c>
      <c r="AG110" s="16">
        <v>0</v>
      </c>
      <c r="AH110" s="16">
        <v>6598</v>
      </c>
      <c r="AI110" s="16">
        <v>0</v>
      </c>
      <c r="AJ110" s="16">
        <v>0</v>
      </c>
      <c r="AK110" s="16">
        <v>0</v>
      </c>
      <c r="AL110" s="16">
        <v>21918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f>SUM(BB110+BF110+BI110+BK110+BM110)</f>
        <v>0</v>
      </c>
      <c r="BB110" s="16">
        <f>SUM(BC110:BE110)</f>
        <v>0</v>
      </c>
      <c r="BC110" s="16">
        <v>0</v>
      </c>
      <c r="BD110" s="16">
        <v>0</v>
      </c>
      <c r="BE110" s="16">
        <v>0</v>
      </c>
      <c r="BF110" s="16">
        <f t="shared" si="73"/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f t="shared" si="74"/>
        <v>0</v>
      </c>
      <c r="BL110" s="16">
        <v>0</v>
      </c>
      <c r="BM110" s="16">
        <f t="shared" si="75"/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  <c r="BW110" s="16">
        <v>0</v>
      </c>
      <c r="BX110" s="16">
        <v>0</v>
      </c>
      <c r="BY110" s="16">
        <f>SUM(BZ110+CS110)</f>
        <v>43835</v>
      </c>
      <c r="BZ110" s="16">
        <f>SUM(CA110+CD110+CK110)</f>
        <v>43835</v>
      </c>
      <c r="CA110" s="16">
        <f t="shared" si="76"/>
        <v>43835</v>
      </c>
      <c r="CB110" s="16">
        <v>0</v>
      </c>
      <c r="CC110" s="16">
        <v>43835</v>
      </c>
      <c r="CD110" s="16">
        <f t="shared" si="77"/>
        <v>0</v>
      </c>
      <c r="CE110" s="16">
        <v>0</v>
      </c>
      <c r="CF110" s="16">
        <v>0</v>
      </c>
      <c r="CG110" s="16">
        <v>0</v>
      </c>
      <c r="CH110" s="16">
        <v>0</v>
      </c>
      <c r="CI110" s="16">
        <v>0</v>
      </c>
      <c r="CJ110" s="16">
        <v>0</v>
      </c>
      <c r="CK110" s="16">
        <f t="shared" si="78"/>
        <v>0</v>
      </c>
      <c r="CL110" s="16">
        <v>0</v>
      </c>
      <c r="CM110" s="16">
        <v>0</v>
      </c>
      <c r="CN110" s="16">
        <v>0</v>
      </c>
      <c r="CO110" s="16">
        <v>0</v>
      </c>
      <c r="CP110" s="16">
        <v>0</v>
      </c>
      <c r="CQ110" s="16">
        <v>0</v>
      </c>
      <c r="CR110" s="16">
        <v>0</v>
      </c>
      <c r="CS110" s="16">
        <v>0</v>
      </c>
      <c r="CT110" s="16">
        <f t="shared" si="79"/>
        <v>0</v>
      </c>
      <c r="CU110" s="16">
        <f t="shared" si="80"/>
        <v>0</v>
      </c>
      <c r="CV110" s="16">
        <v>0</v>
      </c>
      <c r="CW110" s="17">
        <v>0</v>
      </c>
      <c r="CX110" s="40"/>
    </row>
    <row r="111" spans="1:102" ht="31.5" hidden="1" x14ac:dyDescent="0.25">
      <c r="A111" s="18" t="s">
        <v>138</v>
      </c>
      <c r="B111" s="19" t="s">
        <v>1</v>
      </c>
      <c r="C111" s="19" t="s">
        <v>1</v>
      </c>
      <c r="D111" s="31" t="s">
        <v>139</v>
      </c>
      <c r="E111" s="20">
        <f>SUM(E112+E114+E116+E118)</f>
        <v>32159033</v>
      </c>
      <c r="F111" s="21">
        <f t="shared" ref="F111:BS111" si="130">SUM(F112+F114+F116+F118)</f>
        <v>32159033</v>
      </c>
      <c r="G111" s="21">
        <f t="shared" si="130"/>
        <v>4949220</v>
      </c>
      <c r="H111" s="21">
        <f t="shared" si="130"/>
        <v>0</v>
      </c>
      <c r="I111" s="21">
        <f t="shared" si="130"/>
        <v>0</v>
      </c>
      <c r="J111" s="21">
        <f t="shared" si="130"/>
        <v>0</v>
      </c>
      <c r="K111" s="21">
        <f t="shared" si="130"/>
        <v>0</v>
      </c>
      <c r="L111" s="21">
        <f t="shared" si="130"/>
        <v>0</v>
      </c>
      <c r="M111" s="21">
        <f t="shared" si="130"/>
        <v>0</v>
      </c>
      <c r="N111" s="21">
        <f t="shared" si="130"/>
        <v>0</v>
      </c>
      <c r="O111" s="21">
        <f t="shared" si="130"/>
        <v>0</v>
      </c>
      <c r="P111" s="21">
        <f t="shared" si="130"/>
        <v>0</v>
      </c>
      <c r="Q111" s="21">
        <f t="shared" si="130"/>
        <v>0</v>
      </c>
      <c r="R111" s="21">
        <f t="shared" si="130"/>
        <v>0</v>
      </c>
      <c r="S111" s="21">
        <f t="shared" si="130"/>
        <v>0</v>
      </c>
      <c r="T111" s="21">
        <f t="shared" si="130"/>
        <v>0</v>
      </c>
      <c r="U111" s="21">
        <f t="shared" si="130"/>
        <v>0</v>
      </c>
      <c r="V111" s="21">
        <f t="shared" si="130"/>
        <v>0</v>
      </c>
      <c r="W111" s="21">
        <f t="shared" si="130"/>
        <v>0</v>
      </c>
      <c r="X111" s="21">
        <f t="shared" si="130"/>
        <v>0</v>
      </c>
      <c r="Y111" s="21">
        <f t="shared" si="130"/>
        <v>0</v>
      </c>
      <c r="Z111" s="21">
        <f t="shared" si="130"/>
        <v>0</v>
      </c>
      <c r="AA111" s="21">
        <f t="shared" si="130"/>
        <v>0</v>
      </c>
      <c r="AB111" s="21">
        <f t="shared" si="130"/>
        <v>0</v>
      </c>
      <c r="AC111" s="21">
        <f t="shared" si="130"/>
        <v>0</v>
      </c>
      <c r="AD111" s="21">
        <f t="shared" si="130"/>
        <v>0</v>
      </c>
      <c r="AE111" s="21">
        <f t="shared" si="130"/>
        <v>4949220</v>
      </c>
      <c r="AF111" s="21">
        <f t="shared" si="130"/>
        <v>0</v>
      </c>
      <c r="AG111" s="21">
        <f t="shared" si="130"/>
        <v>0</v>
      </c>
      <c r="AH111" s="21">
        <f t="shared" si="130"/>
        <v>0</v>
      </c>
      <c r="AI111" s="21">
        <f t="shared" si="130"/>
        <v>0</v>
      </c>
      <c r="AJ111" s="21">
        <f t="shared" si="130"/>
        <v>0</v>
      </c>
      <c r="AK111" s="21">
        <f t="shared" si="130"/>
        <v>0</v>
      </c>
      <c r="AL111" s="21">
        <f t="shared" si="130"/>
        <v>0</v>
      </c>
      <c r="AM111" s="21">
        <f t="shared" si="130"/>
        <v>0</v>
      </c>
      <c r="AN111" s="21">
        <f t="shared" si="130"/>
        <v>0</v>
      </c>
      <c r="AO111" s="21">
        <f t="shared" si="130"/>
        <v>0</v>
      </c>
      <c r="AP111" s="21">
        <f>SUM(AP112+AP114+AP116+AP118)</f>
        <v>0</v>
      </c>
      <c r="AQ111" s="21">
        <f t="shared" si="130"/>
        <v>0</v>
      </c>
      <c r="AR111" s="21">
        <f t="shared" si="130"/>
        <v>0</v>
      </c>
      <c r="AS111" s="21">
        <f t="shared" si="130"/>
        <v>0</v>
      </c>
      <c r="AT111" s="21">
        <f t="shared" si="130"/>
        <v>0</v>
      </c>
      <c r="AU111" s="21">
        <f t="shared" si="130"/>
        <v>0</v>
      </c>
      <c r="AV111" s="21">
        <f t="shared" si="130"/>
        <v>0</v>
      </c>
      <c r="AW111" s="21">
        <f t="shared" si="130"/>
        <v>0</v>
      </c>
      <c r="AX111" s="21">
        <f t="shared" si="130"/>
        <v>0</v>
      </c>
      <c r="AY111" s="21">
        <f t="shared" si="130"/>
        <v>0</v>
      </c>
      <c r="AZ111" s="21">
        <f t="shared" si="130"/>
        <v>4949220</v>
      </c>
      <c r="BA111" s="21">
        <f t="shared" si="130"/>
        <v>27209813</v>
      </c>
      <c r="BB111" s="21">
        <f t="shared" si="130"/>
        <v>27209813</v>
      </c>
      <c r="BC111" s="21">
        <f t="shared" si="130"/>
        <v>0</v>
      </c>
      <c r="BD111" s="21">
        <f t="shared" si="130"/>
        <v>6980711</v>
      </c>
      <c r="BE111" s="21">
        <f t="shared" si="130"/>
        <v>20229102</v>
      </c>
      <c r="BF111" s="21">
        <f t="shared" si="130"/>
        <v>0</v>
      </c>
      <c r="BG111" s="21">
        <f t="shared" si="130"/>
        <v>0</v>
      </c>
      <c r="BH111" s="21">
        <f t="shared" si="130"/>
        <v>0</v>
      </c>
      <c r="BI111" s="21">
        <f t="shared" si="130"/>
        <v>0</v>
      </c>
      <c r="BJ111" s="21">
        <f t="shared" si="130"/>
        <v>0</v>
      </c>
      <c r="BK111" s="21">
        <f t="shared" si="130"/>
        <v>0</v>
      </c>
      <c r="BL111" s="21">
        <f t="shared" si="130"/>
        <v>0</v>
      </c>
      <c r="BM111" s="21">
        <f t="shared" si="130"/>
        <v>0</v>
      </c>
      <c r="BN111" s="21">
        <f t="shared" si="130"/>
        <v>0</v>
      </c>
      <c r="BO111" s="21">
        <f t="shared" si="130"/>
        <v>0</v>
      </c>
      <c r="BP111" s="21">
        <f t="shared" si="130"/>
        <v>0</v>
      </c>
      <c r="BQ111" s="21">
        <f t="shared" si="130"/>
        <v>0</v>
      </c>
      <c r="BR111" s="21">
        <f t="shared" si="130"/>
        <v>0</v>
      </c>
      <c r="BS111" s="21">
        <f t="shared" si="130"/>
        <v>0</v>
      </c>
      <c r="BT111" s="21">
        <f t="shared" ref="BT111:CW111" si="131">SUM(BT112+BT114+BT116+BT118)</f>
        <v>0</v>
      </c>
      <c r="BU111" s="21">
        <f t="shared" si="131"/>
        <v>0</v>
      </c>
      <c r="BV111" s="21">
        <f t="shared" si="131"/>
        <v>0</v>
      </c>
      <c r="BW111" s="21">
        <f t="shared" si="131"/>
        <v>0</v>
      </c>
      <c r="BX111" s="21">
        <f t="shared" si="131"/>
        <v>0</v>
      </c>
      <c r="BY111" s="21">
        <f t="shared" si="131"/>
        <v>0</v>
      </c>
      <c r="BZ111" s="21">
        <f t="shared" si="131"/>
        <v>0</v>
      </c>
      <c r="CA111" s="21">
        <f t="shared" si="131"/>
        <v>0</v>
      </c>
      <c r="CB111" s="21">
        <f t="shared" si="131"/>
        <v>0</v>
      </c>
      <c r="CC111" s="21">
        <f t="shared" si="131"/>
        <v>0</v>
      </c>
      <c r="CD111" s="21">
        <f t="shared" si="131"/>
        <v>0</v>
      </c>
      <c r="CE111" s="21">
        <f t="shared" si="131"/>
        <v>0</v>
      </c>
      <c r="CF111" s="21">
        <f>SUM(CF112+CF114+CF116+CF118)</f>
        <v>0</v>
      </c>
      <c r="CG111" s="21">
        <f t="shared" si="131"/>
        <v>0</v>
      </c>
      <c r="CH111" s="21">
        <f t="shared" si="131"/>
        <v>0</v>
      </c>
      <c r="CI111" s="21">
        <f t="shared" si="131"/>
        <v>0</v>
      </c>
      <c r="CJ111" s="21">
        <f t="shared" si="131"/>
        <v>0</v>
      </c>
      <c r="CK111" s="21">
        <f t="shared" si="131"/>
        <v>0</v>
      </c>
      <c r="CL111" s="21">
        <f t="shared" si="131"/>
        <v>0</v>
      </c>
      <c r="CM111" s="21">
        <f>SUM(CM112+CM114+CM116+CM118)</f>
        <v>0</v>
      </c>
      <c r="CN111" s="21">
        <f t="shared" si="131"/>
        <v>0</v>
      </c>
      <c r="CO111" s="21">
        <f t="shared" si="131"/>
        <v>0</v>
      </c>
      <c r="CP111" s="21">
        <f t="shared" si="131"/>
        <v>0</v>
      </c>
      <c r="CQ111" s="21">
        <f t="shared" si="131"/>
        <v>0</v>
      </c>
      <c r="CR111" s="21">
        <f t="shared" si="131"/>
        <v>0</v>
      </c>
      <c r="CS111" s="21">
        <f t="shared" si="131"/>
        <v>0</v>
      </c>
      <c r="CT111" s="21">
        <f t="shared" si="131"/>
        <v>0</v>
      </c>
      <c r="CU111" s="21">
        <f t="shared" si="131"/>
        <v>0</v>
      </c>
      <c r="CV111" s="21">
        <f t="shared" si="131"/>
        <v>0</v>
      </c>
      <c r="CW111" s="22">
        <f t="shared" si="131"/>
        <v>0</v>
      </c>
      <c r="CX111" s="40"/>
    </row>
    <row r="112" spans="1:102" ht="15.75" hidden="1" x14ac:dyDescent="0.25">
      <c r="A112" s="13" t="s">
        <v>57</v>
      </c>
      <c r="B112" s="14" t="s">
        <v>3</v>
      </c>
      <c r="C112" s="14" t="s">
        <v>1</v>
      </c>
      <c r="D112" s="30" t="s">
        <v>140</v>
      </c>
      <c r="E112" s="15">
        <f t="shared" ref="E112:BP112" si="132">SUM(E113)</f>
        <v>6980711</v>
      </c>
      <c r="F112" s="16">
        <f t="shared" si="132"/>
        <v>6980711</v>
      </c>
      <c r="G112" s="16">
        <f t="shared" si="132"/>
        <v>0</v>
      </c>
      <c r="H112" s="16">
        <f t="shared" si="132"/>
        <v>0</v>
      </c>
      <c r="I112" s="16">
        <f t="shared" si="132"/>
        <v>0</v>
      </c>
      <c r="J112" s="16">
        <f t="shared" si="132"/>
        <v>0</v>
      </c>
      <c r="K112" s="16">
        <f t="shared" si="132"/>
        <v>0</v>
      </c>
      <c r="L112" s="16">
        <f t="shared" si="132"/>
        <v>0</v>
      </c>
      <c r="M112" s="16">
        <f t="shared" si="132"/>
        <v>0</v>
      </c>
      <c r="N112" s="16">
        <f t="shared" si="132"/>
        <v>0</v>
      </c>
      <c r="O112" s="16">
        <f t="shared" si="132"/>
        <v>0</v>
      </c>
      <c r="P112" s="16">
        <f t="shared" si="132"/>
        <v>0</v>
      </c>
      <c r="Q112" s="16">
        <f t="shared" si="132"/>
        <v>0</v>
      </c>
      <c r="R112" s="16">
        <f t="shared" si="132"/>
        <v>0</v>
      </c>
      <c r="S112" s="16">
        <f t="shared" si="132"/>
        <v>0</v>
      </c>
      <c r="T112" s="16">
        <f t="shared" si="132"/>
        <v>0</v>
      </c>
      <c r="U112" s="16">
        <f t="shared" si="132"/>
        <v>0</v>
      </c>
      <c r="V112" s="16">
        <f t="shared" si="132"/>
        <v>0</v>
      </c>
      <c r="W112" s="16">
        <f t="shared" si="132"/>
        <v>0</v>
      </c>
      <c r="X112" s="16">
        <f t="shared" si="132"/>
        <v>0</v>
      </c>
      <c r="Y112" s="16">
        <f t="shared" si="132"/>
        <v>0</v>
      </c>
      <c r="Z112" s="16">
        <f t="shared" si="132"/>
        <v>0</v>
      </c>
      <c r="AA112" s="16">
        <f t="shared" si="132"/>
        <v>0</v>
      </c>
      <c r="AB112" s="16">
        <f t="shared" si="132"/>
        <v>0</v>
      </c>
      <c r="AC112" s="16">
        <f t="shared" si="132"/>
        <v>0</v>
      </c>
      <c r="AD112" s="16">
        <f t="shared" si="132"/>
        <v>0</v>
      </c>
      <c r="AE112" s="16">
        <f t="shared" si="132"/>
        <v>0</v>
      </c>
      <c r="AF112" s="16">
        <f t="shared" si="132"/>
        <v>0</v>
      </c>
      <c r="AG112" s="16">
        <f t="shared" si="132"/>
        <v>0</v>
      </c>
      <c r="AH112" s="16">
        <f t="shared" si="132"/>
        <v>0</v>
      </c>
      <c r="AI112" s="16">
        <f t="shared" si="132"/>
        <v>0</v>
      </c>
      <c r="AJ112" s="16">
        <f t="shared" si="132"/>
        <v>0</v>
      </c>
      <c r="AK112" s="16">
        <f t="shared" si="132"/>
        <v>0</v>
      </c>
      <c r="AL112" s="16">
        <f t="shared" si="132"/>
        <v>0</v>
      </c>
      <c r="AM112" s="16">
        <f t="shared" si="132"/>
        <v>0</v>
      </c>
      <c r="AN112" s="16">
        <f t="shared" si="132"/>
        <v>0</v>
      </c>
      <c r="AO112" s="16">
        <f t="shared" si="132"/>
        <v>0</v>
      </c>
      <c r="AP112" s="16">
        <f t="shared" si="132"/>
        <v>0</v>
      </c>
      <c r="AQ112" s="16">
        <f t="shared" si="132"/>
        <v>0</v>
      </c>
      <c r="AR112" s="16">
        <f t="shared" si="132"/>
        <v>0</v>
      </c>
      <c r="AS112" s="16">
        <f t="shared" si="132"/>
        <v>0</v>
      </c>
      <c r="AT112" s="16">
        <f t="shared" si="132"/>
        <v>0</v>
      </c>
      <c r="AU112" s="16">
        <f t="shared" si="132"/>
        <v>0</v>
      </c>
      <c r="AV112" s="16">
        <f t="shared" si="132"/>
        <v>0</v>
      </c>
      <c r="AW112" s="16">
        <f t="shared" si="132"/>
        <v>0</v>
      </c>
      <c r="AX112" s="16">
        <f t="shared" si="132"/>
        <v>0</v>
      </c>
      <c r="AY112" s="16">
        <f t="shared" si="132"/>
        <v>0</v>
      </c>
      <c r="AZ112" s="16">
        <f t="shared" si="132"/>
        <v>0</v>
      </c>
      <c r="BA112" s="16">
        <f t="shared" si="132"/>
        <v>6980711</v>
      </c>
      <c r="BB112" s="16">
        <f t="shared" si="132"/>
        <v>6980711</v>
      </c>
      <c r="BC112" s="16">
        <f t="shared" si="132"/>
        <v>0</v>
      </c>
      <c r="BD112" s="16">
        <f t="shared" si="132"/>
        <v>6980711</v>
      </c>
      <c r="BE112" s="16">
        <f t="shared" si="132"/>
        <v>0</v>
      </c>
      <c r="BF112" s="16">
        <f t="shared" si="132"/>
        <v>0</v>
      </c>
      <c r="BG112" s="16">
        <f t="shared" si="132"/>
        <v>0</v>
      </c>
      <c r="BH112" s="16">
        <f t="shared" si="132"/>
        <v>0</v>
      </c>
      <c r="BI112" s="16">
        <f t="shared" si="132"/>
        <v>0</v>
      </c>
      <c r="BJ112" s="16">
        <f t="shared" si="132"/>
        <v>0</v>
      </c>
      <c r="BK112" s="16">
        <f t="shared" si="132"/>
        <v>0</v>
      </c>
      <c r="BL112" s="16">
        <f t="shared" si="132"/>
        <v>0</v>
      </c>
      <c r="BM112" s="16">
        <f t="shared" si="132"/>
        <v>0</v>
      </c>
      <c r="BN112" s="16">
        <f t="shared" si="132"/>
        <v>0</v>
      </c>
      <c r="BO112" s="16">
        <f t="shared" si="132"/>
        <v>0</v>
      </c>
      <c r="BP112" s="16">
        <f t="shared" si="132"/>
        <v>0</v>
      </c>
      <c r="BQ112" s="16">
        <f t="shared" ref="BQ112:CW112" si="133">SUM(BQ113)</f>
        <v>0</v>
      </c>
      <c r="BR112" s="16">
        <f t="shared" si="133"/>
        <v>0</v>
      </c>
      <c r="BS112" s="16">
        <f t="shared" si="133"/>
        <v>0</v>
      </c>
      <c r="BT112" s="16">
        <f t="shared" si="133"/>
        <v>0</v>
      </c>
      <c r="BU112" s="16">
        <f t="shared" si="133"/>
        <v>0</v>
      </c>
      <c r="BV112" s="16">
        <f t="shared" si="133"/>
        <v>0</v>
      </c>
      <c r="BW112" s="16">
        <f t="shared" si="133"/>
        <v>0</v>
      </c>
      <c r="BX112" s="16">
        <f t="shared" si="133"/>
        <v>0</v>
      </c>
      <c r="BY112" s="16">
        <f t="shared" si="133"/>
        <v>0</v>
      </c>
      <c r="BZ112" s="16">
        <f t="shared" si="133"/>
        <v>0</v>
      </c>
      <c r="CA112" s="16">
        <f t="shared" si="133"/>
        <v>0</v>
      </c>
      <c r="CB112" s="16">
        <f t="shared" si="133"/>
        <v>0</v>
      </c>
      <c r="CC112" s="16">
        <f t="shared" si="133"/>
        <v>0</v>
      </c>
      <c r="CD112" s="16">
        <f t="shared" si="133"/>
        <v>0</v>
      </c>
      <c r="CE112" s="16">
        <f t="shared" si="133"/>
        <v>0</v>
      </c>
      <c r="CF112" s="16">
        <f t="shared" si="133"/>
        <v>0</v>
      </c>
      <c r="CG112" s="16">
        <f t="shared" si="133"/>
        <v>0</v>
      </c>
      <c r="CH112" s="16">
        <f t="shared" si="133"/>
        <v>0</v>
      </c>
      <c r="CI112" s="16">
        <f t="shared" si="133"/>
        <v>0</v>
      </c>
      <c r="CJ112" s="16">
        <f t="shared" si="133"/>
        <v>0</v>
      </c>
      <c r="CK112" s="16">
        <f t="shared" si="133"/>
        <v>0</v>
      </c>
      <c r="CL112" s="16">
        <f t="shared" si="133"/>
        <v>0</v>
      </c>
      <c r="CM112" s="16">
        <f t="shared" si="133"/>
        <v>0</v>
      </c>
      <c r="CN112" s="16">
        <f t="shared" si="133"/>
        <v>0</v>
      </c>
      <c r="CO112" s="16">
        <f t="shared" si="133"/>
        <v>0</v>
      </c>
      <c r="CP112" s="16">
        <f t="shared" si="133"/>
        <v>0</v>
      </c>
      <c r="CQ112" s="16">
        <f t="shared" si="133"/>
        <v>0</v>
      </c>
      <c r="CR112" s="16">
        <f t="shared" si="133"/>
        <v>0</v>
      </c>
      <c r="CS112" s="16">
        <f t="shared" si="133"/>
        <v>0</v>
      </c>
      <c r="CT112" s="16">
        <f t="shared" si="133"/>
        <v>0</v>
      </c>
      <c r="CU112" s="16">
        <f t="shared" si="133"/>
        <v>0</v>
      </c>
      <c r="CV112" s="16">
        <f t="shared" si="133"/>
        <v>0</v>
      </c>
      <c r="CW112" s="17">
        <f t="shared" si="133"/>
        <v>0</v>
      </c>
      <c r="CX112" s="40"/>
    </row>
    <row r="113" spans="1:102" ht="15.75" hidden="1" x14ac:dyDescent="0.25">
      <c r="A113" s="13" t="s">
        <v>1</v>
      </c>
      <c r="B113" s="14" t="s">
        <v>1</v>
      </c>
      <c r="C113" s="14" t="s">
        <v>17</v>
      </c>
      <c r="D113" s="30" t="s">
        <v>141</v>
      </c>
      <c r="E113" s="15">
        <f>SUM(F113+BY113+CT113)</f>
        <v>6980711</v>
      </c>
      <c r="F113" s="16">
        <f>SUM(G113+BA113)</f>
        <v>6980711</v>
      </c>
      <c r="G113" s="16">
        <f>SUM(H113+I113+J113+Q113+T113+U113+V113+AE113)</f>
        <v>0</v>
      </c>
      <c r="H113" s="16">
        <v>0</v>
      </c>
      <c r="I113" s="16">
        <v>0</v>
      </c>
      <c r="J113" s="16">
        <f t="shared" si="71"/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f t="shared" si="72"/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f>SUM(W113:AD113)</f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f>SUM(AF113:AZ113)</f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f>SUM(BB113+BF113+BI113+BK113+BM113)</f>
        <v>6980711</v>
      </c>
      <c r="BB113" s="16">
        <f>SUM(BC113:BE113)</f>
        <v>6980711</v>
      </c>
      <c r="BC113" s="16">
        <v>0</v>
      </c>
      <c r="BD113" s="16">
        <v>6980711</v>
      </c>
      <c r="BE113" s="16">
        <v>0</v>
      </c>
      <c r="BF113" s="16">
        <f t="shared" si="73"/>
        <v>0</v>
      </c>
      <c r="BG113" s="16">
        <v>0</v>
      </c>
      <c r="BH113" s="16">
        <v>0</v>
      </c>
      <c r="BI113" s="16">
        <v>0</v>
      </c>
      <c r="BJ113" s="16">
        <v>0</v>
      </c>
      <c r="BK113" s="16">
        <f t="shared" si="74"/>
        <v>0</v>
      </c>
      <c r="BL113" s="16">
        <v>0</v>
      </c>
      <c r="BM113" s="16">
        <f t="shared" si="75"/>
        <v>0</v>
      </c>
      <c r="BN113" s="16">
        <v>0</v>
      </c>
      <c r="BO113" s="16">
        <v>0</v>
      </c>
      <c r="BP113" s="16">
        <v>0</v>
      </c>
      <c r="BQ113" s="16">
        <v>0</v>
      </c>
      <c r="BR113" s="16">
        <v>0</v>
      </c>
      <c r="BS113" s="16">
        <v>0</v>
      </c>
      <c r="BT113" s="16">
        <v>0</v>
      </c>
      <c r="BU113" s="16">
        <v>0</v>
      </c>
      <c r="BV113" s="16">
        <v>0</v>
      </c>
      <c r="BW113" s="16">
        <v>0</v>
      </c>
      <c r="BX113" s="16">
        <v>0</v>
      </c>
      <c r="BY113" s="16">
        <f>SUM(BZ113+CS113)</f>
        <v>0</v>
      </c>
      <c r="BZ113" s="16">
        <f>SUM(CA113+CD113+CK113)</f>
        <v>0</v>
      </c>
      <c r="CA113" s="16">
        <f t="shared" si="76"/>
        <v>0</v>
      </c>
      <c r="CB113" s="16">
        <v>0</v>
      </c>
      <c r="CC113" s="16">
        <v>0</v>
      </c>
      <c r="CD113" s="16">
        <f t="shared" si="77"/>
        <v>0</v>
      </c>
      <c r="CE113" s="16">
        <v>0</v>
      </c>
      <c r="CF113" s="16">
        <v>0</v>
      </c>
      <c r="CG113" s="16">
        <v>0</v>
      </c>
      <c r="CH113" s="16">
        <v>0</v>
      </c>
      <c r="CI113" s="16">
        <v>0</v>
      </c>
      <c r="CJ113" s="16">
        <v>0</v>
      </c>
      <c r="CK113" s="16">
        <f t="shared" si="78"/>
        <v>0</v>
      </c>
      <c r="CL113" s="16">
        <v>0</v>
      </c>
      <c r="CM113" s="16">
        <v>0</v>
      </c>
      <c r="CN113" s="16">
        <v>0</v>
      </c>
      <c r="CO113" s="16">
        <v>0</v>
      </c>
      <c r="CP113" s="16">
        <v>0</v>
      </c>
      <c r="CQ113" s="16">
        <v>0</v>
      </c>
      <c r="CR113" s="16">
        <v>0</v>
      </c>
      <c r="CS113" s="16">
        <v>0</v>
      </c>
      <c r="CT113" s="16">
        <f t="shared" si="79"/>
        <v>0</v>
      </c>
      <c r="CU113" s="16">
        <f t="shared" si="80"/>
        <v>0</v>
      </c>
      <c r="CV113" s="16">
        <v>0</v>
      </c>
      <c r="CW113" s="17">
        <v>0</v>
      </c>
      <c r="CX113" s="40"/>
    </row>
    <row r="114" spans="1:102" ht="15.75" hidden="1" x14ac:dyDescent="0.25">
      <c r="A114" s="13" t="s">
        <v>57</v>
      </c>
      <c r="B114" s="14" t="s">
        <v>100</v>
      </c>
      <c r="C114" s="14" t="s">
        <v>1</v>
      </c>
      <c r="D114" s="30" t="s">
        <v>142</v>
      </c>
      <c r="E114" s="15">
        <f t="shared" ref="E114:BP114" si="134">SUM(E115)</f>
        <v>20229102</v>
      </c>
      <c r="F114" s="16">
        <f t="shared" si="134"/>
        <v>20229102</v>
      </c>
      <c r="G114" s="16">
        <f t="shared" si="134"/>
        <v>0</v>
      </c>
      <c r="H114" s="16">
        <f t="shared" si="134"/>
        <v>0</v>
      </c>
      <c r="I114" s="16">
        <f t="shared" si="134"/>
        <v>0</v>
      </c>
      <c r="J114" s="16">
        <f t="shared" si="134"/>
        <v>0</v>
      </c>
      <c r="K114" s="16">
        <f t="shared" si="134"/>
        <v>0</v>
      </c>
      <c r="L114" s="16">
        <f t="shared" si="134"/>
        <v>0</v>
      </c>
      <c r="M114" s="16">
        <f t="shared" si="134"/>
        <v>0</v>
      </c>
      <c r="N114" s="16">
        <f t="shared" si="134"/>
        <v>0</v>
      </c>
      <c r="O114" s="16">
        <f t="shared" si="134"/>
        <v>0</v>
      </c>
      <c r="P114" s="16">
        <f t="shared" si="134"/>
        <v>0</v>
      </c>
      <c r="Q114" s="16">
        <f t="shared" si="134"/>
        <v>0</v>
      </c>
      <c r="R114" s="16">
        <f t="shared" si="134"/>
        <v>0</v>
      </c>
      <c r="S114" s="16">
        <f t="shared" si="134"/>
        <v>0</v>
      </c>
      <c r="T114" s="16">
        <f t="shared" si="134"/>
        <v>0</v>
      </c>
      <c r="U114" s="16">
        <f t="shared" si="134"/>
        <v>0</v>
      </c>
      <c r="V114" s="16">
        <f t="shared" si="134"/>
        <v>0</v>
      </c>
      <c r="W114" s="16">
        <f t="shared" si="134"/>
        <v>0</v>
      </c>
      <c r="X114" s="16">
        <f t="shared" si="134"/>
        <v>0</v>
      </c>
      <c r="Y114" s="16">
        <f t="shared" si="134"/>
        <v>0</v>
      </c>
      <c r="Z114" s="16">
        <f t="shared" si="134"/>
        <v>0</v>
      </c>
      <c r="AA114" s="16">
        <f t="shared" si="134"/>
        <v>0</v>
      </c>
      <c r="AB114" s="16">
        <f t="shared" si="134"/>
        <v>0</v>
      </c>
      <c r="AC114" s="16">
        <f t="shared" si="134"/>
        <v>0</v>
      </c>
      <c r="AD114" s="16">
        <f t="shared" si="134"/>
        <v>0</v>
      </c>
      <c r="AE114" s="16">
        <f t="shared" si="134"/>
        <v>0</v>
      </c>
      <c r="AF114" s="16">
        <f t="shared" si="134"/>
        <v>0</v>
      </c>
      <c r="AG114" s="16">
        <f t="shared" si="134"/>
        <v>0</v>
      </c>
      <c r="AH114" s="16">
        <f t="shared" si="134"/>
        <v>0</v>
      </c>
      <c r="AI114" s="16">
        <f t="shared" si="134"/>
        <v>0</v>
      </c>
      <c r="AJ114" s="16">
        <f t="shared" si="134"/>
        <v>0</v>
      </c>
      <c r="AK114" s="16">
        <f t="shared" si="134"/>
        <v>0</v>
      </c>
      <c r="AL114" s="16">
        <f t="shared" si="134"/>
        <v>0</v>
      </c>
      <c r="AM114" s="16">
        <f t="shared" si="134"/>
        <v>0</v>
      </c>
      <c r="AN114" s="16">
        <f t="shared" si="134"/>
        <v>0</v>
      </c>
      <c r="AO114" s="16">
        <f t="shared" si="134"/>
        <v>0</v>
      </c>
      <c r="AP114" s="16">
        <f t="shared" si="134"/>
        <v>0</v>
      </c>
      <c r="AQ114" s="16">
        <f t="shared" si="134"/>
        <v>0</v>
      </c>
      <c r="AR114" s="16">
        <f t="shared" si="134"/>
        <v>0</v>
      </c>
      <c r="AS114" s="16">
        <f t="shared" si="134"/>
        <v>0</v>
      </c>
      <c r="AT114" s="16">
        <f t="shared" si="134"/>
        <v>0</v>
      </c>
      <c r="AU114" s="16">
        <f t="shared" si="134"/>
        <v>0</v>
      </c>
      <c r="AV114" s="16">
        <f t="shared" si="134"/>
        <v>0</v>
      </c>
      <c r="AW114" s="16">
        <f t="shared" si="134"/>
        <v>0</v>
      </c>
      <c r="AX114" s="16">
        <f t="shared" si="134"/>
        <v>0</v>
      </c>
      <c r="AY114" s="16">
        <f t="shared" si="134"/>
        <v>0</v>
      </c>
      <c r="AZ114" s="16">
        <f t="shared" si="134"/>
        <v>0</v>
      </c>
      <c r="BA114" s="16">
        <f t="shared" si="134"/>
        <v>20229102</v>
      </c>
      <c r="BB114" s="16">
        <f t="shared" si="134"/>
        <v>20229102</v>
      </c>
      <c r="BC114" s="16">
        <f t="shared" si="134"/>
        <v>0</v>
      </c>
      <c r="BD114" s="16">
        <f t="shared" si="134"/>
        <v>0</v>
      </c>
      <c r="BE114" s="16">
        <f t="shared" si="134"/>
        <v>20229102</v>
      </c>
      <c r="BF114" s="16">
        <f t="shared" si="134"/>
        <v>0</v>
      </c>
      <c r="BG114" s="16">
        <f t="shared" si="134"/>
        <v>0</v>
      </c>
      <c r="BH114" s="16">
        <f t="shared" si="134"/>
        <v>0</v>
      </c>
      <c r="BI114" s="16">
        <f t="shared" si="134"/>
        <v>0</v>
      </c>
      <c r="BJ114" s="16">
        <f t="shared" si="134"/>
        <v>0</v>
      </c>
      <c r="BK114" s="16">
        <f t="shared" si="134"/>
        <v>0</v>
      </c>
      <c r="BL114" s="16">
        <f t="shared" si="134"/>
        <v>0</v>
      </c>
      <c r="BM114" s="16">
        <f t="shared" si="134"/>
        <v>0</v>
      </c>
      <c r="BN114" s="16">
        <f t="shared" si="134"/>
        <v>0</v>
      </c>
      <c r="BO114" s="16">
        <f t="shared" si="134"/>
        <v>0</v>
      </c>
      <c r="BP114" s="16">
        <f t="shared" si="134"/>
        <v>0</v>
      </c>
      <c r="BQ114" s="16">
        <f t="shared" ref="BQ114:CW114" si="135">SUM(BQ115)</f>
        <v>0</v>
      </c>
      <c r="BR114" s="16">
        <f t="shared" si="135"/>
        <v>0</v>
      </c>
      <c r="BS114" s="16">
        <f t="shared" si="135"/>
        <v>0</v>
      </c>
      <c r="BT114" s="16">
        <f t="shared" si="135"/>
        <v>0</v>
      </c>
      <c r="BU114" s="16">
        <f t="shared" si="135"/>
        <v>0</v>
      </c>
      <c r="BV114" s="16">
        <f t="shared" si="135"/>
        <v>0</v>
      </c>
      <c r="BW114" s="16">
        <f t="shared" si="135"/>
        <v>0</v>
      </c>
      <c r="BX114" s="16">
        <f t="shared" si="135"/>
        <v>0</v>
      </c>
      <c r="BY114" s="16">
        <f t="shared" si="135"/>
        <v>0</v>
      </c>
      <c r="BZ114" s="16">
        <f t="shared" si="135"/>
        <v>0</v>
      </c>
      <c r="CA114" s="16">
        <f t="shared" si="135"/>
        <v>0</v>
      </c>
      <c r="CB114" s="16">
        <f t="shared" si="135"/>
        <v>0</v>
      </c>
      <c r="CC114" s="16">
        <f t="shared" si="135"/>
        <v>0</v>
      </c>
      <c r="CD114" s="16">
        <f t="shared" si="135"/>
        <v>0</v>
      </c>
      <c r="CE114" s="16">
        <f t="shared" si="135"/>
        <v>0</v>
      </c>
      <c r="CF114" s="16">
        <f t="shared" si="135"/>
        <v>0</v>
      </c>
      <c r="CG114" s="16">
        <f t="shared" si="135"/>
        <v>0</v>
      </c>
      <c r="CH114" s="16">
        <f t="shared" si="135"/>
        <v>0</v>
      </c>
      <c r="CI114" s="16">
        <f t="shared" si="135"/>
        <v>0</v>
      </c>
      <c r="CJ114" s="16">
        <f t="shared" si="135"/>
        <v>0</v>
      </c>
      <c r="CK114" s="16">
        <f t="shared" si="135"/>
        <v>0</v>
      </c>
      <c r="CL114" s="16">
        <f t="shared" si="135"/>
        <v>0</v>
      </c>
      <c r="CM114" s="16">
        <f t="shared" si="135"/>
        <v>0</v>
      </c>
      <c r="CN114" s="16">
        <f t="shared" si="135"/>
        <v>0</v>
      </c>
      <c r="CO114" s="16">
        <f t="shared" si="135"/>
        <v>0</v>
      </c>
      <c r="CP114" s="16">
        <f t="shared" si="135"/>
        <v>0</v>
      </c>
      <c r="CQ114" s="16">
        <f t="shared" si="135"/>
        <v>0</v>
      </c>
      <c r="CR114" s="16">
        <f t="shared" si="135"/>
        <v>0</v>
      </c>
      <c r="CS114" s="16">
        <f t="shared" si="135"/>
        <v>0</v>
      </c>
      <c r="CT114" s="16">
        <f t="shared" si="135"/>
        <v>0</v>
      </c>
      <c r="CU114" s="16">
        <f t="shared" si="135"/>
        <v>0</v>
      </c>
      <c r="CV114" s="16">
        <f t="shared" si="135"/>
        <v>0</v>
      </c>
      <c r="CW114" s="17">
        <f t="shared" si="135"/>
        <v>0</v>
      </c>
      <c r="CX114" s="40"/>
    </row>
    <row r="115" spans="1:102" ht="15.75" hidden="1" x14ac:dyDescent="0.25">
      <c r="A115" s="13" t="s">
        <v>1</v>
      </c>
      <c r="B115" s="14" t="s">
        <v>1</v>
      </c>
      <c r="C115" s="14" t="s">
        <v>36</v>
      </c>
      <c r="D115" s="30" t="s">
        <v>143</v>
      </c>
      <c r="E115" s="15">
        <f>SUM(F115+BY115+CT115)</f>
        <v>20229102</v>
      </c>
      <c r="F115" s="16">
        <f>SUM(G115+BA115)</f>
        <v>20229102</v>
      </c>
      <c r="G115" s="16">
        <f>SUM(H115+I115+J115+Q115+T115+U115+V115+AE115)</f>
        <v>0</v>
      </c>
      <c r="H115" s="16">
        <v>0</v>
      </c>
      <c r="I115" s="16">
        <v>0</v>
      </c>
      <c r="J115" s="16">
        <f t="shared" si="71"/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f t="shared" si="72"/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f>SUM(W115:AD115)</f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f>SUM(AF115:AZ115)</f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  <c r="AT115" s="16">
        <v>0</v>
      </c>
      <c r="AU115" s="16">
        <v>0</v>
      </c>
      <c r="AV115" s="16">
        <v>0</v>
      </c>
      <c r="AW115" s="16">
        <v>0</v>
      </c>
      <c r="AX115" s="16">
        <v>0</v>
      </c>
      <c r="AY115" s="16">
        <v>0</v>
      </c>
      <c r="AZ115" s="16">
        <v>0</v>
      </c>
      <c r="BA115" s="16">
        <f>SUM(BB115+BF115+BI115+BK115+BM115)</f>
        <v>20229102</v>
      </c>
      <c r="BB115" s="16">
        <f>SUM(BC115:BE115)</f>
        <v>20229102</v>
      </c>
      <c r="BC115" s="16">
        <v>0</v>
      </c>
      <c r="BD115" s="16">
        <v>0</v>
      </c>
      <c r="BE115" s="16">
        <v>20229102</v>
      </c>
      <c r="BF115" s="16">
        <f t="shared" si="73"/>
        <v>0</v>
      </c>
      <c r="BG115" s="16">
        <v>0</v>
      </c>
      <c r="BH115" s="16">
        <v>0</v>
      </c>
      <c r="BI115" s="16">
        <v>0</v>
      </c>
      <c r="BJ115" s="16">
        <v>0</v>
      </c>
      <c r="BK115" s="16">
        <f t="shared" si="74"/>
        <v>0</v>
      </c>
      <c r="BL115" s="16">
        <v>0</v>
      </c>
      <c r="BM115" s="16">
        <f t="shared" si="75"/>
        <v>0</v>
      </c>
      <c r="BN115" s="16">
        <v>0</v>
      </c>
      <c r="BO115" s="16">
        <v>0</v>
      </c>
      <c r="BP115" s="16">
        <v>0</v>
      </c>
      <c r="BQ115" s="16">
        <v>0</v>
      </c>
      <c r="BR115" s="16">
        <v>0</v>
      </c>
      <c r="BS115" s="16">
        <v>0</v>
      </c>
      <c r="BT115" s="16">
        <v>0</v>
      </c>
      <c r="BU115" s="16">
        <v>0</v>
      </c>
      <c r="BV115" s="16">
        <v>0</v>
      </c>
      <c r="BW115" s="16">
        <v>0</v>
      </c>
      <c r="BX115" s="16">
        <v>0</v>
      </c>
      <c r="BY115" s="16">
        <f>SUM(BZ115+CS115)</f>
        <v>0</v>
      </c>
      <c r="BZ115" s="16">
        <f>SUM(CA115+CD115+CK115)</f>
        <v>0</v>
      </c>
      <c r="CA115" s="16">
        <f t="shared" si="76"/>
        <v>0</v>
      </c>
      <c r="CB115" s="16">
        <v>0</v>
      </c>
      <c r="CC115" s="16">
        <v>0</v>
      </c>
      <c r="CD115" s="16">
        <f t="shared" si="77"/>
        <v>0</v>
      </c>
      <c r="CE115" s="16">
        <v>0</v>
      </c>
      <c r="CF115" s="16">
        <v>0</v>
      </c>
      <c r="CG115" s="16">
        <v>0</v>
      </c>
      <c r="CH115" s="16">
        <v>0</v>
      </c>
      <c r="CI115" s="16">
        <v>0</v>
      </c>
      <c r="CJ115" s="16">
        <v>0</v>
      </c>
      <c r="CK115" s="16">
        <f t="shared" si="78"/>
        <v>0</v>
      </c>
      <c r="CL115" s="16">
        <v>0</v>
      </c>
      <c r="CM115" s="16">
        <v>0</v>
      </c>
      <c r="CN115" s="16">
        <v>0</v>
      </c>
      <c r="CO115" s="16">
        <v>0</v>
      </c>
      <c r="CP115" s="16">
        <v>0</v>
      </c>
      <c r="CQ115" s="16">
        <v>0</v>
      </c>
      <c r="CR115" s="16">
        <v>0</v>
      </c>
      <c r="CS115" s="16">
        <v>0</v>
      </c>
      <c r="CT115" s="16">
        <f t="shared" si="79"/>
        <v>0</v>
      </c>
      <c r="CU115" s="16">
        <f t="shared" si="80"/>
        <v>0</v>
      </c>
      <c r="CV115" s="16">
        <v>0</v>
      </c>
      <c r="CW115" s="17">
        <v>0</v>
      </c>
      <c r="CX115" s="40"/>
    </row>
    <row r="116" spans="1:102" ht="15.75" hidden="1" x14ac:dyDescent="0.25">
      <c r="A116" s="13" t="s">
        <v>57</v>
      </c>
      <c r="B116" s="14" t="s">
        <v>54</v>
      </c>
      <c r="C116" s="14" t="s">
        <v>1</v>
      </c>
      <c r="D116" s="30" t="s">
        <v>144</v>
      </c>
      <c r="E116" s="15">
        <f t="shared" ref="E116:BP116" si="136">SUM(E117)</f>
        <v>3493944</v>
      </c>
      <c r="F116" s="16">
        <f t="shared" si="136"/>
        <v>3493944</v>
      </c>
      <c r="G116" s="16">
        <f t="shared" si="136"/>
        <v>3493944</v>
      </c>
      <c r="H116" s="16">
        <f t="shared" si="136"/>
        <v>0</v>
      </c>
      <c r="I116" s="16">
        <f t="shared" si="136"/>
        <v>0</v>
      </c>
      <c r="J116" s="16">
        <f t="shared" si="136"/>
        <v>0</v>
      </c>
      <c r="K116" s="16">
        <f t="shared" si="136"/>
        <v>0</v>
      </c>
      <c r="L116" s="16">
        <f t="shared" si="136"/>
        <v>0</v>
      </c>
      <c r="M116" s="16">
        <f t="shared" si="136"/>
        <v>0</v>
      </c>
      <c r="N116" s="16">
        <f t="shared" si="136"/>
        <v>0</v>
      </c>
      <c r="O116" s="16">
        <f t="shared" si="136"/>
        <v>0</v>
      </c>
      <c r="P116" s="16">
        <f t="shared" si="136"/>
        <v>0</v>
      </c>
      <c r="Q116" s="16">
        <f t="shared" si="136"/>
        <v>0</v>
      </c>
      <c r="R116" s="16">
        <f t="shared" si="136"/>
        <v>0</v>
      </c>
      <c r="S116" s="16">
        <f t="shared" si="136"/>
        <v>0</v>
      </c>
      <c r="T116" s="16">
        <f t="shared" si="136"/>
        <v>0</v>
      </c>
      <c r="U116" s="16">
        <f t="shared" si="136"/>
        <v>0</v>
      </c>
      <c r="V116" s="16">
        <f t="shared" si="136"/>
        <v>0</v>
      </c>
      <c r="W116" s="16">
        <f t="shared" si="136"/>
        <v>0</v>
      </c>
      <c r="X116" s="16">
        <f t="shared" si="136"/>
        <v>0</v>
      </c>
      <c r="Y116" s="16">
        <f t="shared" si="136"/>
        <v>0</v>
      </c>
      <c r="Z116" s="16">
        <f t="shared" si="136"/>
        <v>0</v>
      </c>
      <c r="AA116" s="16">
        <f t="shared" si="136"/>
        <v>0</v>
      </c>
      <c r="AB116" s="16">
        <f t="shared" si="136"/>
        <v>0</v>
      </c>
      <c r="AC116" s="16">
        <f t="shared" si="136"/>
        <v>0</v>
      </c>
      <c r="AD116" s="16">
        <f t="shared" si="136"/>
        <v>0</v>
      </c>
      <c r="AE116" s="16">
        <f t="shared" si="136"/>
        <v>3493944</v>
      </c>
      <c r="AF116" s="16">
        <f t="shared" si="136"/>
        <v>0</v>
      </c>
      <c r="AG116" s="16">
        <f t="shared" si="136"/>
        <v>0</v>
      </c>
      <c r="AH116" s="16">
        <f t="shared" si="136"/>
        <v>0</v>
      </c>
      <c r="AI116" s="16">
        <f t="shared" si="136"/>
        <v>0</v>
      </c>
      <c r="AJ116" s="16">
        <f t="shared" si="136"/>
        <v>0</v>
      </c>
      <c r="AK116" s="16">
        <f t="shared" si="136"/>
        <v>0</v>
      </c>
      <c r="AL116" s="16">
        <f t="shared" si="136"/>
        <v>0</v>
      </c>
      <c r="AM116" s="16">
        <f t="shared" si="136"/>
        <v>0</v>
      </c>
      <c r="AN116" s="16">
        <f t="shared" si="136"/>
        <v>0</v>
      </c>
      <c r="AO116" s="16">
        <f t="shared" si="136"/>
        <v>0</v>
      </c>
      <c r="AP116" s="16">
        <f t="shared" si="136"/>
        <v>0</v>
      </c>
      <c r="AQ116" s="16">
        <f t="shared" si="136"/>
        <v>0</v>
      </c>
      <c r="AR116" s="16">
        <f t="shared" si="136"/>
        <v>0</v>
      </c>
      <c r="AS116" s="16">
        <f t="shared" si="136"/>
        <v>0</v>
      </c>
      <c r="AT116" s="16">
        <f t="shared" si="136"/>
        <v>0</v>
      </c>
      <c r="AU116" s="16">
        <f t="shared" si="136"/>
        <v>0</v>
      </c>
      <c r="AV116" s="16">
        <f t="shared" si="136"/>
        <v>0</v>
      </c>
      <c r="AW116" s="16">
        <f t="shared" si="136"/>
        <v>0</v>
      </c>
      <c r="AX116" s="16">
        <f t="shared" si="136"/>
        <v>0</v>
      </c>
      <c r="AY116" s="16">
        <f t="shared" si="136"/>
        <v>0</v>
      </c>
      <c r="AZ116" s="16">
        <f t="shared" si="136"/>
        <v>3493944</v>
      </c>
      <c r="BA116" s="16">
        <f t="shared" si="136"/>
        <v>0</v>
      </c>
      <c r="BB116" s="16">
        <f t="shared" si="136"/>
        <v>0</v>
      </c>
      <c r="BC116" s="16">
        <f t="shared" si="136"/>
        <v>0</v>
      </c>
      <c r="BD116" s="16">
        <f t="shared" si="136"/>
        <v>0</v>
      </c>
      <c r="BE116" s="16">
        <f t="shared" si="136"/>
        <v>0</v>
      </c>
      <c r="BF116" s="16">
        <f t="shared" si="136"/>
        <v>0</v>
      </c>
      <c r="BG116" s="16">
        <f t="shared" si="136"/>
        <v>0</v>
      </c>
      <c r="BH116" s="16">
        <f t="shared" si="136"/>
        <v>0</v>
      </c>
      <c r="BI116" s="16">
        <f t="shared" si="136"/>
        <v>0</v>
      </c>
      <c r="BJ116" s="16">
        <f t="shared" si="136"/>
        <v>0</v>
      </c>
      <c r="BK116" s="16">
        <f t="shared" si="136"/>
        <v>0</v>
      </c>
      <c r="BL116" s="16">
        <f t="shared" si="136"/>
        <v>0</v>
      </c>
      <c r="BM116" s="16">
        <f t="shared" si="136"/>
        <v>0</v>
      </c>
      <c r="BN116" s="16">
        <f t="shared" si="136"/>
        <v>0</v>
      </c>
      <c r="BO116" s="16">
        <f t="shared" si="136"/>
        <v>0</v>
      </c>
      <c r="BP116" s="16">
        <f t="shared" si="136"/>
        <v>0</v>
      </c>
      <c r="BQ116" s="16">
        <f t="shared" ref="BQ116:CW116" si="137">SUM(BQ117)</f>
        <v>0</v>
      </c>
      <c r="BR116" s="16">
        <f t="shared" si="137"/>
        <v>0</v>
      </c>
      <c r="BS116" s="16">
        <f t="shared" si="137"/>
        <v>0</v>
      </c>
      <c r="BT116" s="16">
        <f t="shared" si="137"/>
        <v>0</v>
      </c>
      <c r="BU116" s="16">
        <f t="shared" si="137"/>
        <v>0</v>
      </c>
      <c r="BV116" s="16">
        <f t="shared" si="137"/>
        <v>0</v>
      </c>
      <c r="BW116" s="16">
        <f t="shared" si="137"/>
        <v>0</v>
      </c>
      <c r="BX116" s="16">
        <f t="shared" si="137"/>
        <v>0</v>
      </c>
      <c r="BY116" s="16">
        <f t="shared" si="137"/>
        <v>0</v>
      </c>
      <c r="BZ116" s="16">
        <f t="shared" si="137"/>
        <v>0</v>
      </c>
      <c r="CA116" s="16">
        <f t="shared" si="137"/>
        <v>0</v>
      </c>
      <c r="CB116" s="16">
        <f t="shared" si="137"/>
        <v>0</v>
      </c>
      <c r="CC116" s="16">
        <f t="shared" si="137"/>
        <v>0</v>
      </c>
      <c r="CD116" s="16">
        <f t="shared" si="137"/>
        <v>0</v>
      </c>
      <c r="CE116" s="16">
        <f t="shared" si="137"/>
        <v>0</v>
      </c>
      <c r="CF116" s="16">
        <f t="shared" si="137"/>
        <v>0</v>
      </c>
      <c r="CG116" s="16">
        <f t="shared" si="137"/>
        <v>0</v>
      </c>
      <c r="CH116" s="16">
        <f t="shared" si="137"/>
        <v>0</v>
      </c>
      <c r="CI116" s="16">
        <f t="shared" si="137"/>
        <v>0</v>
      </c>
      <c r="CJ116" s="16">
        <f t="shared" si="137"/>
        <v>0</v>
      </c>
      <c r="CK116" s="16">
        <f t="shared" si="137"/>
        <v>0</v>
      </c>
      <c r="CL116" s="16">
        <f t="shared" si="137"/>
        <v>0</v>
      </c>
      <c r="CM116" s="16">
        <f t="shared" si="137"/>
        <v>0</v>
      </c>
      <c r="CN116" s="16">
        <f t="shared" si="137"/>
        <v>0</v>
      </c>
      <c r="CO116" s="16">
        <f t="shared" si="137"/>
        <v>0</v>
      </c>
      <c r="CP116" s="16">
        <f t="shared" si="137"/>
        <v>0</v>
      </c>
      <c r="CQ116" s="16">
        <f t="shared" si="137"/>
        <v>0</v>
      </c>
      <c r="CR116" s="16">
        <f t="shared" si="137"/>
        <v>0</v>
      </c>
      <c r="CS116" s="16">
        <f t="shared" si="137"/>
        <v>0</v>
      </c>
      <c r="CT116" s="16">
        <f t="shared" si="137"/>
        <v>0</v>
      </c>
      <c r="CU116" s="16">
        <f t="shared" si="137"/>
        <v>0</v>
      </c>
      <c r="CV116" s="16">
        <f t="shared" si="137"/>
        <v>0</v>
      </c>
      <c r="CW116" s="17">
        <f t="shared" si="137"/>
        <v>0</v>
      </c>
      <c r="CX116" s="40"/>
    </row>
    <row r="117" spans="1:102" ht="15.75" hidden="1" x14ac:dyDescent="0.25">
      <c r="A117" s="13" t="s">
        <v>1</v>
      </c>
      <c r="B117" s="14" t="s">
        <v>1</v>
      </c>
      <c r="C117" s="14" t="s">
        <v>36</v>
      </c>
      <c r="D117" s="30" t="s">
        <v>145</v>
      </c>
      <c r="E117" s="15">
        <f>SUM(F117+BY117+CT117)</f>
        <v>3493944</v>
      </c>
      <c r="F117" s="16">
        <f>SUM(G117+BA117)</f>
        <v>3493944</v>
      </c>
      <c r="G117" s="16">
        <f>SUM(H117+I117+J117+Q117+T117+U117+V117+AE117)</f>
        <v>3493944</v>
      </c>
      <c r="H117" s="16">
        <v>0</v>
      </c>
      <c r="I117" s="16">
        <v>0</v>
      </c>
      <c r="J117" s="16">
        <f t="shared" si="71"/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f t="shared" si="72"/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f>SUM(W117:AD117)</f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f>SUM(AF117:AZ117)</f>
        <v>3493944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0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  <c r="AZ117" s="16">
        <f>2948800+545144</f>
        <v>3493944</v>
      </c>
      <c r="BA117" s="16">
        <f>SUM(BB117+BF117+BI117+BK117+BM117)</f>
        <v>0</v>
      </c>
      <c r="BB117" s="16">
        <f>SUM(BC117:BE117)</f>
        <v>0</v>
      </c>
      <c r="BC117" s="16">
        <v>0</v>
      </c>
      <c r="BD117" s="16">
        <v>0</v>
      </c>
      <c r="BE117" s="16">
        <v>0</v>
      </c>
      <c r="BF117" s="16">
        <f t="shared" si="73"/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f t="shared" si="74"/>
        <v>0</v>
      </c>
      <c r="BL117" s="16">
        <v>0</v>
      </c>
      <c r="BM117" s="16">
        <f t="shared" si="75"/>
        <v>0</v>
      </c>
      <c r="BN117" s="16">
        <v>0</v>
      </c>
      <c r="BO117" s="16">
        <v>0</v>
      </c>
      <c r="BP117" s="16">
        <v>0</v>
      </c>
      <c r="BQ117" s="16">
        <v>0</v>
      </c>
      <c r="BR117" s="16">
        <v>0</v>
      </c>
      <c r="BS117" s="16">
        <v>0</v>
      </c>
      <c r="BT117" s="16">
        <v>0</v>
      </c>
      <c r="BU117" s="16">
        <v>0</v>
      </c>
      <c r="BV117" s="16">
        <v>0</v>
      </c>
      <c r="BW117" s="16">
        <v>0</v>
      </c>
      <c r="BX117" s="16">
        <v>0</v>
      </c>
      <c r="BY117" s="16">
        <f>SUM(BZ117+CS117)</f>
        <v>0</v>
      </c>
      <c r="BZ117" s="16">
        <f>SUM(CA117+CD117+CK117)</f>
        <v>0</v>
      </c>
      <c r="CA117" s="16">
        <f t="shared" si="76"/>
        <v>0</v>
      </c>
      <c r="CB117" s="16">
        <v>0</v>
      </c>
      <c r="CC117" s="16">
        <v>0</v>
      </c>
      <c r="CD117" s="16">
        <f t="shared" si="77"/>
        <v>0</v>
      </c>
      <c r="CE117" s="16">
        <v>0</v>
      </c>
      <c r="CF117" s="16">
        <v>0</v>
      </c>
      <c r="CG117" s="16">
        <v>0</v>
      </c>
      <c r="CH117" s="16">
        <v>0</v>
      </c>
      <c r="CI117" s="16">
        <v>0</v>
      </c>
      <c r="CJ117" s="16">
        <v>0</v>
      </c>
      <c r="CK117" s="16">
        <f t="shared" si="78"/>
        <v>0</v>
      </c>
      <c r="CL117" s="16">
        <v>0</v>
      </c>
      <c r="CM117" s="16">
        <v>0</v>
      </c>
      <c r="CN117" s="16">
        <v>0</v>
      </c>
      <c r="CO117" s="16">
        <v>0</v>
      </c>
      <c r="CP117" s="16">
        <v>0</v>
      </c>
      <c r="CQ117" s="16">
        <v>0</v>
      </c>
      <c r="CR117" s="16">
        <v>0</v>
      </c>
      <c r="CS117" s="16">
        <v>0</v>
      </c>
      <c r="CT117" s="16">
        <f t="shared" si="79"/>
        <v>0</v>
      </c>
      <c r="CU117" s="16">
        <f t="shared" si="80"/>
        <v>0</v>
      </c>
      <c r="CV117" s="16">
        <v>0</v>
      </c>
      <c r="CW117" s="17">
        <v>0</v>
      </c>
      <c r="CX117" s="40"/>
    </row>
    <row r="118" spans="1:102" ht="31.5" hidden="1" x14ac:dyDescent="0.25">
      <c r="A118" s="13" t="s">
        <v>57</v>
      </c>
      <c r="B118" s="14" t="s">
        <v>57</v>
      </c>
      <c r="C118" s="14" t="s">
        <v>1</v>
      </c>
      <c r="D118" s="30" t="s">
        <v>146</v>
      </c>
      <c r="E118" s="15">
        <f t="shared" ref="E118:BP118" si="138">SUM(E119)</f>
        <v>1455276</v>
      </c>
      <c r="F118" s="16">
        <f t="shared" si="138"/>
        <v>1455276</v>
      </c>
      <c r="G118" s="16">
        <f t="shared" si="138"/>
        <v>1455276</v>
      </c>
      <c r="H118" s="16">
        <f t="shared" si="138"/>
        <v>0</v>
      </c>
      <c r="I118" s="16">
        <f t="shared" si="138"/>
        <v>0</v>
      </c>
      <c r="J118" s="16">
        <f t="shared" si="138"/>
        <v>0</v>
      </c>
      <c r="K118" s="16">
        <f t="shared" si="138"/>
        <v>0</v>
      </c>
      <c r="L118" s="16">
        <f t="shared" si="138"/>
        <v>0</v>
      </c>
      <c r="M118" s="16">
        <f t="shared" si="138"/>
        <v>0</v>
      </c>
      <c r="N118" s="16">
        <f t="shared" si="138"/>
        <v>0</v>
      </c>
      <c r="O118" s="16">
        <f t="shared" si="138"/>
        <v>0</v>
      </c>
      <c r="P118" s="16">
        <f t="shared" si="138"/>
        <v>0</v>
      </c>
      <c r="Q118" s="16">
        <f t="shared" si="138"/>
        <v>0</v>
      </c>
      <c r="R118" s="16">
        <f t="shared" si="138"/>
        <v>0</v>
      </c>
      <c r="S118" s="16">
        <f t="shared" si="138"/>
        <v>0</v>
      </c>
      <c r="T118" s="16">
        <f t="shared" si="138"/>
        <v>0</v>
      </c>
      <c r="U118" s="16">
        <f t="shared" si="138"/>
        <v>0</v>
      </c>
      <c r="V118" s="16">
        <f t="shared" si="138"/>
        <v>0</v>
      </c>
      <c r="W118" s="16">
        <f t="shared" si="138"/>
        <v>0</v>
      </c>
      <c r="X118" s="16">
        <f t="shared" si="138"/>
        <v>0</v>
      </c>
      <c r="Y118" s="16">
        <f t="shared" si="138"/>
        <v>0</v>
      </c>
      <c r="Z118" s="16">
        <f t="shared" si="138"/>
        <v>0</v>
      </c>
      <c r="AA118" s="16">
        <f t="shared" si="138"/>
        <v>0</v>
      </c>
      <c r="AB118" s="16">
        <f t="shared" si="138"/>
        <v>0</v>
      </c>
      <c r="AC118" s="16">
        <f t="shared" si="138"/>
        <v>0</v>
      </c>
      <c r="AD118" s="16">
        <f t="shared" si="138"/>
        <v>0</v>
      </c>
      <c r="AE118" s="16">
        <f t="shared" si="138"/>
        <v>1455276</v>
      </c>
      <c r="AF118" s="16">
        <f t="shared" si="138"/>
        <v>0</v>
      </c>
      <c r="AG118" s="16">
        <f t="shared" si="138"/>
        <v>0</v>
      </c>
      <c r="AH118" s="16">
        <f t="shared" si="138"/>
        <v>0</v>
      </c>
      <c r="AI118" s="16">
        <f t="shared" si="138"/>
        <v>0</v>
      </c>
      <c r="AJ118" s="16">
        <f t="shared" si="138"/>
        <v>0</v>
      </c>
      <c r="AK118" s="16">
        <f t="shared" si="138"/>
        <v>0</v>
      </c>
      <c r="AL118" s="16">
        <f t="shared" si="138"/>
        <v>0</v>
      </c>
      <c r="AM118" s="16">
        <f t="shared" si="138"/>
        <v>0</v>
      </c>
      <c r="AN118" s="16">
        <f t="shared" si="138"/>
        <v>0</v>
      </c>
      <c r="AO118" s="16">
        <f t="shared" si="138"/>
        <v>0</v>
      </c>
      <c r="AP118" s="16">
        <f t="shared" si="138"/>
        <v>0</v>
      </c>
      <c r="AQ118" s="16">
        <f t="shared" si="138"/>
        <v>0</v>
      </c>
      <c r="AR118" s="16">
        <f t="shared" si="138"/>
        <v>0</v>
      </c>
      <c r="AS118" s="16">
        <f t="shared" si="138"/>
        <v>0</v>
      </c>
      <c r="AT118" s="16">
        <f t="shared" si="138"/>
        <v>0</v>
      </c>
      <c r="AU118" s="16">
        <f t="shared" si="138"/>
        <v>0</v>
      </c>
      <c r="AV118" s="16">
        <f t="shared" si="138"/>
        <v>0</v>
      </c>
      <c r="AW118" s="16">
        <f t="shared" si="138"/>
        <v>0</v>
      </c>
      <c r="AX118" s="16">
        <f t="shared" si="138"/>
        <v>0</v>
      </c>
      <c r="AY118" s="16">
        <f t="shared" si="138"/>
        <v>0</v>
      </c>
      <c r="AZ118" s="16">
        <f t="shared" si="138"/>
        <v>1455276</v>
      </c>
      <c r="BA118" s="16">
        <f t="shared" si="138"/>
        <v>0</v>
      </c>
      <c r="BB118" s="16">
        <f t="shared" si="138"/>
        <v>0</v>
      </c>
      <c r="BC118" s="16">
        <f t="shared" si="138"/>
        <v>0</v>
      </c>
      <c r="BD118" s="16">
        <f t="shared" si="138"/>
        <v>0</v>
      </c>
      <c r="BE118" s="16">
        <f t="shared" si="138"/>
        <v>0</v>
      </c>
      <c r="BF118" s="16">
        <f t="shared" si="138"/>
        <v>0</v>
      </c>
      <c r="BG118" s="16">
        <f t="shared" si="138"/>
        <v>0</v>
      </c>
      <c r="BH118" s="16">
        <f t="shared" si="138"/>
        <v>0</v>
      </c>
      <c r="BI118" s="16">
        <f t="shared" si="138"/>
        <v>0</v>
      </c>
      <c r="BJ118" s="16">
        <f t="shared" si="138"/>
        <v>0</v>
      </c>
      <c r="BK118" s="16">
        <f t="shared" si="138"/>
        <v>0</v>
      </c>
      <c r="BL118" s="16">
        <f t="shared" si="138"/>
        <v>0</v>
      </c>
      <c r="BM118" s="16">
        <f t="shared" si="138"/>
        <v>0</v>
      </c>
      <c r="BN118" s="16">
        <f t="shared" si="138"/>
        <v>0</v>
      </c>
      <c r="BO118" s="16">
        <f t="shared" si="138"/>
        <v>0</v>
      </c>
      <c r="BP118" s="16">
        <f t="shared" si="138"/>
        <v>0</v>
      </c>
      <c r="BQ118" s="16">
        <f t="shared" ref="BQ118:CW118" si="139">SUM(BQ119)</f>
        <v>0</v>
      </c>
      <c r="BR118" s="16">
        <f t="shared" si="139"/>
        <v>0</v>
      </c>
      <c r="BS118" s="16">
        <f t="shared" si="139"/>
        <v>0</v>
      </c>
      <c r="BT118" s="16">
        <f t="shared" si="139"/>
        <v>0</v>
      </c>
      <c r="BU118" s="16">
        <f t="shared" si="139"/>
        <v>0</v>
      </c>
      <c r="BV118" s="16">
        <f t="shared" si="139"/>
        <v>0</v>
      </c>
      <c r="BW118" s="16">
        <f t="shared" si="139"/>
        <v>0</v>
      </c>
      <c r="BX118" s="16">
        <f t="shared" si="139"/>
        <v>0</v>
      </c>
      <c r="BY118" s="16">
        <f t="shared" si="139"/>
        <v>0</v>
      </c>
      <c r="BZ118" s="16">
        <f t="shared" si="139"/>
        <v>0</v>
      </c>
      <c r="CA118" s="16">
        <f t="shared" si="139"/>
        <v>0</v>
      </c>
      <c r="CB118" s="16">
        <f t="shared" si="139"/>
        <v>0</v>
      </c>
      <c r="CC118" s="16">
        <f t="shared" si="139"/>
        <v>0</v>
      </c>
      <c r="CD118" s="16">
        <f t="shared" si="139"/>
        <v>0</v>
      </c>
      <c r="CE118" s="16">
        <f t="shared" si="139"/>
        <v>0</v>
      </c>
      <c r="CF118" s="16">
        <f t="shared" si="139"/>
        <v>0</v>
      </c>
      <c r="CG118" s="16">
        <f t="shared" si="139"/>
        <v>0</v>
      </c>
      <c r="CH118" s="16">
        <f t="shared" si="139"/>
        <v>0</v>
      </c>
      <c r="CI118" s="16">
        <f t="shared" si="139"/>
        <v>0</v>
      </c>
      <c r="CJ118" s="16">
        <f t="shared" si="139"/>
        <v>0</v>
      </c>
      <c r="CK118" s="16">
        <f t="shared" si="139"/>
        <v>0</v>
      </c>
      <c r="CL118" s="16">
        <f t="shared" si="139"/>
        <v>0</v>
      </c>
      <c r="CM118" s="16">
        <f t="shared" si="139"/>
        <v>0</v>
      </c>
      <c r="CN118" s="16">
        <f t="shared" si="139"/>
        <v>0</v>
      </c>
      <c r="CO118" s="16">
        <f t="shared" si="139"/>
        <v>0</v>
      </c>
      <c r="CP118" s="16">
        <f t="shared" si="139"/>
        <v>0</v>
      </c>
      <c r="CQ118" s="16">
        <f t="shared" si="139"/>
        <v>0</v>
      </c>
      <c r="CR118" s="16">
        <f t="shared" si="139"/>
        <v>0</v>
      </c>
      <c r="CS118" s="16">
        <f t="shared" si="139"/>
        <v>0</v>
      </c>
      <c r="CT118" s="16">
        <f t="shared" si="139"/>
        <v>0</v>
      </c>
      <c r="CU118" s="16">
        <f t="shared" si="139"/>
        <v>0</v>
      </c>
      <c r="CV118" s="16">
        <f t="shared" si="139"/>
        <v>0</v>
      </c>
      <c r="CW118" s="17">
        <f t="shared" si="139"/>
        <v>0</v>
      </c>
      <c r="CX118" s="40"/>
    </row>
    <row r="119" spans="1:102" ht="15.75" hidden="1" x14ac:dyDescent="0.25">
      <c r="A119" s="13" t="s">
        <v>1</v>
      </c>
      <c r="B119" s="14" t="s">
        <v>1</v>
      </c>
      <c r="C119" s="14" t="s">
        <v>36</v>
      </c>
      <c r="D119" s="30" t="s">
        <v>147</v>
      </c>
      <c r="E119" s="15">
        <f>SUM(F119+BY119+CT119)</f>
        <v>1455276</v>
      </c>
      <c r="F119" s="16">
        <f>SUM(G119+BA119)</f>
        <v>1455276</v>
      </c>
      <c r="G119" s="16">
        <f>SUM(H119+I119+J119+Q119+T119+U119+V119+AE119)</f>
        <v>1455276</v>
      </c>
      <c r="H119" s="16">
        <v>0</v>
      </c>
      <c r="I119" s="16">
        <v>0</v>
      </c>
      <c r="J119" s="16">
        <f t="shared" si="71"/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f t="shared" si="72"/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f>SUM(W119:AD119)</f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f>SUM(AF119:AZ119)</f>
        <v>1455276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1455276</v>
      </c>
      <c r="BA119" s="16">
        <f>SUM(BB119+BF119+BI119+BK119+BM119)</f>
        <v>0</v>
      </c>
      <c r="BB119" s="16">
        <f>SUM(BC119:BE119)</f>
        <v>0</v>
      </c>
      <c r="BC119" s="16">
        <v>0</v>
      </c>
      <c r="BD119" s="16">
        <v>0</v>
      </c>
      <c r="BE119" s="16">
        <v>0</v>
      </c>
      <c r="BF119" s="16">
        <f t="shared" si="73"/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f t="shared" si="74"/>
        <v>0</v>
      </c>
      <c r="BL119" s="16">
        <v>0</v>
      </c>
      <c r="BM119" s="16">
        <f t="shared" si="75"/>
        <v>0</v>
      </c>
      <c r="BN119" s="16">
        <v>0</v>
      </c>
      <c r="BO119" s="16">
        <v>0</v>
      </c>
      <c r="BP119" s="16">
        <v>0</v>
      </c>
      <c r="BQ119" s="16">
        <v>0</v>
      </c>
      <c r="BR119" s="16">
        <v>0</v>
      </c>
      <c r="BS119" s="16">
        <v>0</v>
      </c>
      <c r="BT119" s="16">
        <v>0</v>
      </c>
      <c r="BU119" s="16">
        <v>0</v>
      </c>
      <c r="BV119" s="16">
        <v>0</v>
      </c>
      <c r="BW119" s="16">
        <v>0</v>
      </c>
      <c r="BX119" s="16">
        <v>0</v>
      </c>
      <c r="BY119" s="16">
        <f>SUM(BZ119+CS119)</f>
        <v>0</v>
      </c>
      <c r="BZ119" s="16">
        <f>SUM(CA119+CD119+CK119)</f>
        <v>0</v>
      </c>
      <c r="CA119" s="16">
        <f t="shared" si="76"/>
        <v>0</v>
      </c>
      <c r="CB119" s="16">
        <v>0</v>
      </c>
      <c r="CC119" s="16">
        <v>0</v>
      </c>
      <c r="CD119" s="16">
        <f t="shared" si="77"/>
        <v>0</v>
      </c>
      <c r="CE119" s="16">
        <v>0</v>
      </c>
      <c r="CF119" s="16">
        <v>0</v>
      </c>
      <c r="CG119" s="16">
        <v>0</v>
      </c>
      <c r="CH119" s="16">
        <v>0</v>
      </c>
      <c r="CI119" s="16">
        <v>0</v>
      </c>
      <c r="CJ119" s="16">
        <v>0</v>
      </c>
      <c r="CK119" s="16">
        <f t="shared" si="78"/>
        <v>0</v>
      </c>
      <c r="CL119" s="16">
        <v>0</v>
      </c>
      <c r="CM119" s="16">
        <v>0</v>
      </c>
      <c r="CN119" s="16">
        <v>0</v>
      </c>
      <c r="CO119" s="16">
        <v>0</v>
      </c>
      <c r="CP119" s="16">
        <v>0</v>
      </c>
      <c r="CQ119" s="16">
        <v>0</v>
      </c>
      <c r="CR119" s="16">
        <v>0</v>
      </c>
      <c r="CS119" s="16">
        <v>0</v>
      </c>
      <c r="CT119" s="16">
        <f t="shared" si="79"/>
        <v>0</v>
      </c>
      <c r="CU119" s="16">
        <f t="shared" si="80"/>
        <v>0</v>
      </c>
      <c r="CV119" s="16">
        <v>0</v>
      </c>
      <c r="CW119" s="17">
        <v>0</v>
      </c>
      <c r="CX119" s="40"/>
    </row>
    <row r="120" spans="1:102" ht="15.75" hidden="1" x14ac:dyDescent="0.25">
      <c r="A120" s="18" t="s">
        <v>148</v>
      </c>
      <c r="B120" s="19" t="s">
        <v>1</v>
      </c>
      <c r="C120" s="19" t="s">
        <v>1</v>
      </c>
      <c r="D120" s="31" t="s">
        <v>149</v>
      </c>
      <c r="E120" s="20">
        <f>SUM(E121+E125+E129+E133+E135+E137)</f>
        <v>309858296</v>
      </c>
      <c r="F120" s="21">
        <f t="shared" ref="F120:BS120" si="140">SUM(F121+F125+F129+F133+F135+F137)</f>
        <v>301459769</v>
      </c>
      <c r="G120" s="21">
        <f t="shared" si="140"/>
        <v>257900999</v>
      </c>
      <c r="H120" s="21">
        <f t="shared" si="140"/>
        <v>179752977</v>
      </c>
      <c r="I120" s="21">
        <f t="shared" si="140"/>
        <v>41953862</v>
      </c>
      <c r="J120" s="21">
        <f t="shared" si="140"/>
        <v>20631052</v>
      </c>
      <c r="K120" s="21">
        <f t="shared" si="140"/>
        <v>235445</v>
      </c>
      <c r="L120" s="21">
        <f t="shared" si="140"/>
        <v>2405094</v>
      </c>
      <c r="M120" s="21">
        <f t="shared" si="140"/>
        <v>14670942</v>
      </c>
      <c r="N120" s="21">
        <f t="shared" si="140"/>
        <v>617832</v>
      </c>
      <c r="O120" s="21">
        <f t="shared" si="140"/>
        <v>2171300</v>
      </c>
      <c r="P120" s="21">
        <f t="shared" si="140"/>
        <v>530439</v>
      </c>
      <c r="Q120" s="21">
        <f t="shared" si="140"/>
        <v>142198</v>
      </c>
      <c r="R120" s="21">
        <f t="shared" si="140"/>
        <v>142198</v>
      </c>
      <c r="S120" s="21">
        <f t="shared" si="140"/>
        <v>0</v>
      </c>
      <c r="T120" s="21">
        <f t="shared" si="140"/>
        <v>0</v>
      </c>
      <c r="U120" s="21">
        <f t="shared" si="140"/>
        <v>978026</v>
      </c>
      <c r="V120" s="21">
        <f t="shared" si="140"/>
        <v>5779228</v>
      </c>
      <c r="W120" s="21">
        <f t="shared" si="140"/>
        <v>1314640</v>
      </c>
      <c r="X120" s="21">
        <f t="shared" si="140"/>
        <v>2783473</v>
      </c>
      <c r="Y120" s="21">
        <f t="shared" si="140"/>
        <v>825699</v>
      </c>
      <c r="Z120" s="21">
        <f t="shared" si="140"/>
        <v>444435</v>
      </c>
      <c r="AA120" s="21">
        <f t="shared" si="140"/>
        <v>300488</v>
      </c>
      <c r="AB120" s="21">
        <f t="shared" si="140"/>
        <v>74697</v>
      </c>
      <c r="AC120" s="21">
        <f t="shared" si="140"/>
        <v>0</v>
      </c>
      <c r="AD120" s="21">
        <f t="shared" si="140"/>
        <v>35796</v>
      </c>
      <c r="AE120" s="21">
        <f t="shared" si="140"/>
        <v>8663656</v>
      </c>
      <c r="AF120" s="21">
        <f t="shared" si="140"/>
        <v>0</v>
      </c>
      <c r="AG120" s="21">
        <f t="shared" si="140"/>
        <v>64132</v>
      </c>
      <c r="AH120" s="21">
        <f t="shared" si="140"/>
        <v>1493714</v>
      </c>
      <c r="AI120" s="21">
        <f t="shared" si="140"/>
        <v>1131115</v>
      </c>
      <c r="AJ120" s="21">
        <f t="shared" si="140"/>
        <v>1151124</v>
      </c>
      <c r="AK120" s="21">
        <f t="shared" si="140"/>
        <v>0</v>
      </c>
      <c r="AL120" s="21">
        <f t="shared" si="140"/>
        <v>1887802</v>
      </c>
      <c r="AM120" s="21">
        <f t="shared" si="140"/>
        <v>608892</v>
      </c>
      <c r="AN120" s="21">
        <f t="shared" si="140"/>
        <v>0</v>
      </c>
      <c r="AO120" s="21">
        <f t="shared" si="140"/>
        <v>76110</v>
      </c>
      <c r="AP120" s="21">
        <f>SUM(AP121+AP125+AP129+AP133+AP135+AP137)</f>
        <v>0</v>
      </c>
      <c r="AQ120" s="21">
        <f t="shared" si="140"/>
        <v>0</v>
      </c>
      <c r="AR120" s="21">
        <f t="shared" si="140"/>
        <v>15367</v>
      </c>
      <c r="AS120" s="21">
        <f t="shared" si="140"/>
        <v>123652</v>
      </c>
      <c r="AT120" s="21">
        <f t="shared" si="140"/>
        <v>0</v>
      </c>
      <c r="AU120" s="21">
        <f t="shared" si="140"/>
        <v>0</v>
      </c>
      <c r="AV120" s="21">
        <f t="shared" si="140"/>
        <v>0</v>
      </c>
      <c r="AW120" s="21">
        <f t="shared" si="140"/>
        <v>0</v>
      </c>
      <c r="AX120" s="21">
        <f t="shared" si="140"/>
        <v>0</v>
      </c>
      <c r="AY120" s="21">
        <f t="shared" si="140"/>
        <v>0</v>
      </c>
      <c r="AZ120" s="21">
        <f t="shared" si="140"/>
        <v>2111748</v>
      </c>
      <c r="BA120" s="21">
        <f t="shared" si="140"/>
        <v>43558770</v>
      </c>
      <c r="BB120" s="21">
        <f t="shared" si="140"/>
        <v>0</v>
      </c>
      <c r="BC120" s="21">
        <f t="shared" si="140"/>
        <v>0</v>
      </c>
      <c r="BD120" s="21">
        <f t="shared" si="140"/>
        <v>0</v>
      </c>
      <c r="BE120" s="21">
        <f t="shared" si="140"/>
        <v>0</v>
      </c>
      <c r="BF120" s="21">
        <f t="shared" si="140"/>
        <v>0</v>
      </c>
      <c r="BG120" s="21">
        <f t="shared" si="140"/>
        <v>0</v>
      </c>
      <c r="BH120" s="21">
        <f t="shared" si="140"/>
        <v>0</v>
      </c>
      <c r="BI120" s="21">
        <f t="shared" si="140"/>
        <v>0</v>
      </c>
      <c r="BJ120" s="21">
        <f t="shared" si="140"/>
        <v>0</v>
      </c>
      <c r="BK120" s="21">
        <f t="shared" si="140"/>
        <v>0</v>
      </c>
      <c r="BL120" s="21">
        <f t="shared" si="140"/>
        <v>0</v>
      </c>
      <c r="BM120" s="21">
        <f t="shared" si="140"/>
        <v>43558770</v>
      </c>
      <c r="BN120" s="21">
        <f t="shared" si="140"/>
        <v>0</v>
      </c>
      <c r="BO120" s="21">
        <f t="shared" si="140"/>
        <v>0</v>
      </c>
      <c r="BP120" s="21">
        <f t="shared" si="140"/>
        <v>16019068</v>
      </c>
      <c r="BQ120" s="21">
        <f t="shared" si="140"/>
        <v>0</v>
      </c>
      <c r="BR120" s="21">
        <f t="shared" si="140"/>
        <v>0</v>
      </c>
      <c r="BS120" s="21">
        <f t="shared" si="140"/>
        <v>407888</v>
      </c>
      <c r="BT120" s="21">
        <f t="shared" ref="BT120:CW120" si="141">SUM(BT121+BT125+BT129+BT133+BT135+BT137)</f>
        <v>0</v>
      </c>
      <c r="BU120" s="21">
        <f t="shared" si="141"/>
        <v>0</v>
      </c>
      <c r="BV120" s="21">
        <f t="shared" si="141"/>
        <v>0</v>
      </c>
      <c r="BW120" s="21">
        <f t="shared" si="141"/>
        <v>15883817</v>
      </c>
      <c r="BX120" s="21">
        <f t="shared" si="141"/>
        <v>11247997</v>
      </c>
      <c r="BY120" s="21">
        <f t="shared" si="141"/>
        <v>8398527</v>
      </c>
      <c r="BZ120" s="21">
        <f t="shared" si="141"/>
        <v>8398527</v>
      </c>
      <c r="CA120" s="21">
        <f t="shared" si="141"/>
        <v>8398527</v>
      </c>
      <c r="CB120" s="21">
        <f t="shared" si="141"/>
        <v>0</v>
      </c>
      <c r="CC120" s="21">
        <f t="shared" si="141"/>
        <v>8398527</v>
      </c>
      <c r="CD120" s="21">
        <f t="shared" si="141"/>
        <v>0</v>
      </c>
      <c r="CE120" s="21">
        <f t="shared" si="141"/>
        <v>0</v>
      </c>
      <c r="CF120" s="21">
        <f>SUM(CF121+CF125+CF129+CF133+CF135+CF137)</f>
        <v>0</v>
      </c>
      <c r="CG120" s="21">
        <f t="shared" si="141"/>
        <v>0</v>
      </c>
      <c r="CH120" s="21">
        <f t="shared" si="141"/>
        <v>0</v>
      </c>
      <c r="CI120" s="21">
        <f t="shared" si="141"/>
        <v>0</v>
      </c>
      <c r="CJ120" s="21">
        <f t="shared" si="141"/>
        <v>0</v>
      </c>
      <c r="CK120" s="21">
        <f t="shared" si="141"/>
        <v>0</v>
      </c>
      <c r="CL120" s="21">
        <f t="shared" si="141"/>
        <v>0</v>
      </c>
      <c r="CM120" s="21">
        <f>SUM(CM121+CM125+CM129+CM133+CM135+CM137)</f>
        <v>0</v>
      </c>
      <c r="CN120" s="21">
        <f t="shared" si="141"/>
        <v>0</v>
      </c>
      <c r="CO120" s="21">
        <f t="shared" si="141"/>
        <v>0</v>
      </c>
      <c r="CP120" s="21">
        <f t="shared" si="141"/>
        <v>0</v>
      </c>
      <c r="CQ120" s="21">
        <f t="shared" si="141"/>
        <v>0</v>
      </c>
      <c r="CR120" s="21">
        <f t="shared" si="141"/>
        <v>0</v>
      </c>
      <c r="CS120" s="21">
        <f t="shared" si="141"/>
        <v>0</v>
      </c>
      <c r="CT120" s="21">
        <f t="shared" si="141"/>
        <v>0</v>
      </c>
      <c r="CU120" s="21">
        <f t="shared" si="141"/>
        <v>0</v>
      </c>
      <c r="CV120" s="21">
        <f t="shared" si="141"/>
        <v>0</v>
      </c>
      <c r="CW120" s="22">
        <f t="shared" si="141"/>
        <v>0</v>
      </c>
      <c r="CX120" s="40"/>
    </row>
    <row r="121" spans="1:102" ht="15.75" hidden="1" x14ac:dyDescent="0.25">
      <c r="A121" s="13" t="s">
        <v>111</v>
      </c>
      <c r="B121" s="14" t="s">
        <v>15</v>
      </c>
      <c r="C121" s="14" t="s">
        <v>1</v>
      </c>
      <c r="D121" s="30" t="s">
        <v>150</v>
      </c>
      <c r="E121" s="15">
        <f>SUM(E122:E124)</f>
        <v>59715487</v>
      </c>
      <c r="F121" s="16">
        <f t="shared" ref="F121:BS121" si="142">SUM(F122:F124)</f>
        <v>59147227</v>
      </c>
      <c r="G121" s="16">
        <f t="shared" si="142"/>
        <v>50858058</v>
      </c>
      <c r="H121" s="16">
        <f t="shared" si="142"/>
        <v>29601720</v>
      </c>
      <c r="I121" s="16">
        <f t="shared" si="142"/>
        <v>6871989</v>
      </c>
      <c r="J121" s="16">
        <f t="shared" si="142"/>
        <v>11263409</v>
      </c>
      <c r="K121" s="16">
        <f t="shared" si="142"/>
        <v>130229</v>
      </c>
      <c r="L121" s="16">
        <f t="shared" si="142"/>
        <v>2093821</v>
      </c>
      <c r="M121" s="16">
        <f t="shared" si="142"/>
        <v>8163570</v>
      </c>
      <c r="N121" s="16">
        <f t="shared" si="142"/>
        <v>300995</v>
      </c>
      <c r="O121" s="16">
        <f t="shared" si="142"/>
        <v>512456</v>
      </c>
      <c r="P121" s="16">
        <f t="shared" si="142"/>
        <v>62338</v>
      </c>
      <c r="Q121" s="16">
        <f t="shared" si="142"/>
        <v>0</v>
      </c>
      <c r="R121" s="16">
        <f t="shared" si="142"/>
        <v>0</v>
      </c>
      <c r="S121" s="16">
        <f t="shared" si="142"/>
        <v>0</v>
      </c>
      <c r="T121" s="16">
        <f t="shared" si="142"/>
        <v>0</v>
      </c>
      <c r="U121" s="16">
        <f t="shared" si="142"/>
        <v>97120</v>
      </c>
      <c r="V121" s="16">
        <f t="shared" si="142"/>
        <v>1233926</v>
      </c>
      <c r="W121" s="16">
        <f t="shared" si="142"/>
        <v>94554</v>
      </c>
      <c r="X121" s="16">
        <f t="shared" si="142"/>
        <v>582986</v>
      </c>
      <c r="Y121" s="16">
        <f t="shared" si="142"/>
        <v>269548</v>
      </c>
      <c r="Z121" s="16">
        <f t="shared" si="142"/>
        <v>198947</v>
      </c>
      <c r="AA121" s="16">
        <f t="shared" si="142"/>
        <v>54324</v>
      </c>
      <c r="AB121" s="16">
        <f t="shared" si="142"/>
        <v>0</v>
      </c>
      <c r="AC121" s="16">
        <f t="shared" si="142"/>
        <v>0</v>
      </c>
      <c r="AD121" s="16">
        <f t="shared" si="142"/>
        <v>33567</v>
      </c>
      <c r="AE121" s="16">
        <f t="shared" si="142"/>
        <v>1789894</v>
      </c>
      <c r="AF121" s="16">
        <f t="shared" si="142"/>
        <v>0</v>
      </c>
      <c r="AG121" s="16">
        <f t="shared" si="142"/>
        <v>730</v>
      </c>
      <c r="AH121" s="16">
        <f t="shared" si="142"/>
        <v>370290</v>
      </c>
      <c r="AI121" s="16">
        <f t="shared" si="142"/>
        <v>126250</v>
      </c>
      <c r="AJ121" s="16">
        <f t="shared" si="142"/>
        <v>874077</v>
      </c>
      <c r="AK121" s="16">
        <f t="shared" si="142"/>
        <v>0</v>
      </c>
      <c r="AL121" s="16">
        <f t="shared" si="142"/>
        <v>324639</v>
      </c>
      <c r="AM121" s="16">
        <f t="shared" si="142"/>
        <v>10061</v>
      </c>
      <c r="AN121" s="16">
        <f t="shared" si="142"/>
        <v>0</v>
      </c>
      <c r="AO121" s="16">
        <f t="shared" si="142"/>
        <v>43868</v>
      </c>
      <c r="AP121" s="16">
        <f>SUM(AP122:AP124)</f>
        <v>0</v>
      </c>
      <c r="AQ121" s="16">
        <f t="shared" si="142"/>
        <v>0</v>
      </c>
      <c r="AR121" s="16">
        <f t="shared" si="142"/>
        <v>0</v>
      </c>
      <c r="AS121" s="16">
        <f t="shared" si="142"/>
        <v>0</v>
      </c>
      <c r="AT121" s="16">
        <f t="shared" si="142"/>
        <v>0</v>
      </c>
      <c r="AU121" s="16">
        <f t="shared" si="142"/>
        <v>0</v>
      </c>
      <c r="AV121" s="16">
        <f t="shared" si="142"/>
        <v>0</v>
      </c>
      <c r="AW121" s="16">
        <f t="shared" si="142"/>
        <v>0</v>
      </c>
      <c r="AX121" s="16">
        <f t="shared" si="142"/>
        <v>0</v>
      </c>
      <c r="AY121" s="16">
        <f t="shared" si="142"/>
        <v>0</v>
      </c>
      <c r="AZ121" s="16">
        <f t="shared" si="142"/>
        <v>39979</v>
      </c>
      <c r="BA121" s="16">
        <f t="shared" si="142"/>
        <v>8289169</v>
      </c>
      <c r="BB121" s="16">
        <f t="shared" si="142"/>
        <v>0</v>
      </c>
      <c r="BC121" s="16">
        <f t="shared" si="142"/>
        <v>0</v>
      </c>
      <c r="BD121" s="16">
        <f t="shared" si="142"/>
        <v>0</v>
      </c>
      <c r="BE121" s="16">
        <f t="shared" si="142"/>
        <v>0</v>
      </c>
      <c r="BF121" s="16">
        <f t="shared" si="142"/>
        <v>0</v>
      </c>
      <c r="BG121" s="16">
        <f t="shared" si="142"/>
        <v>0</v>
      </c>
      <c r="BH121" s="16">
        <f t="shared" si="142"/>
        <v>0</v>
      </c>
      <c r="BI121" s="16">
        <f t="shared" si="142"/>
        <v>0</v>
      </c>
      <c r="BJ121" s="16">
        <f t="shared" si="142"/>
        <v>0</v>
      </c>
      <c r="BK121" s="16">
        <f t="shared" si="142"/>
        <v>0</v>
      </c>
      <c r="BL121" s="16">
        <f t="shared" si="142"/>
        <v>0</v>
      </c>
      <c r="BM121" s="16">
        <f t="shared" si="142"/>
        <v>8289169</v>
      </c>
      <c r="BN121" s="16">
        <f t="shared" si="142"/>
        <v>0</v>
      </c>
      <c r="BO121" s="16">
        <f t="shared" si="142"/>
        <v>0</v>
      </c>
      <c r="BP121" s="16">
        <f t="shared" si="142"/>
        <v>0</v>
      </c>
      <c r="BQ121" s="16">
        <f t="shared" si="142"/>
        <v>0</v>
      </c>
      <c r="BR121" s="16">
        <f t="shared" si="142"/>
        <v>0</v>
      </c>
      <c r="BS121" s="16">
        <f t="shared" si="142"/>
        <v>374363</v>
      </c>
      <c r="BT121" s="16">
        <f t="shared" ref="BT121:CW121" si="143">SUM(BT122:BT124)</f>
        <v>0</v>
      </c>
      <c r="BU121" s="16">
        <f t="shared" si="143"/>
        <v>0</v>
      </c>
      <c r="BV121" s="16">
        <f t="shared" si="143"/>
        <v>0</v>
      </c>
      <c r="BW121" s="16">
        <f t="shared" si="143"/>
        <v>0</v>
      </c>
      <c r="BX121" s="16">
        <f t="shared" si="143"/>
        <v>7914806</v>
      </c>
      <c r="BY121" s="16">
        <f t="shared" si="143"/>
        <v>568260</v>
      </c>
      <c r="BZ121" s="16">
        <f t="shared" si="143"/>
        <v>568260</v>
      </c>
      <c r="CA121" s="16">
        <f t="shared" si="143"/>
        <v>568260</v>
      </c>
      <c r="CB121" s="16">
        <f t="shared" si="143"/>
        <v>0</v>
      </c>
      <c r="CC121" s="16">
        <f t="shared" si="143"/>
        <v>568260</v>
      </c>
      <c r="CD121" s="16">
        <f t="shared" si="143"/>
        <v>0</v>
      </c>
      <c r="CE121" s="16">
        <f t="shared" si="143"/>
        <v>0</v>
      </c>
      <c r="CF121" s="16">
        <f>SUM(CF122:CF124)</f>
        <v>0</v>
      </c>
      <c r="CG121" s="16">
        <f t="shared" si="143"/>
        <v>0</v>
      </c>
      <c r="CH121" s="16">
        <f t="shared" si="143"/>
        <v>0</v>
      </c>
      <c r="CI121" s="16">
        <f t="shared" si="143"/>
        <v>0</v>
      </c>
      <c r="CJ121" s="16">
        <f t="shared" si="143"/>
        <v>0</v>
      </c>
      <c r="CK121" s="16">
        <f t="shared" si="143"/>
        <v>0</v>
      </c>
      <c r="CL121" s="16">
        <f t="shared" si="143"/>
        <v>0</v>
      </c>
      <c r="CM121" s="16">
        <f>SUM(CM122:CM124)</f>
        <v>0</v>
      </c>
      <c r="CN121" s="16">
        <f t="shared" si="143"/>
        <v>0</v>
      </c>
      <c r="CO121" s="16">
        <f t="shared" si="143"/>
        <v>0</v>
      </c>
      <c r="CP121" s="16">
        <f t="shared" si="143"/>
        <v>0</v>
      </c>
      <c r="CQ121" s="16">
        <f t="shared" si="143"/>
        <v>0</v>
      </c>
      <c r="CR121" s="16">
        <f t="shared" si="143"/>
        <v>0</v>
      </c>
      <c r="CS121" s="16">
        <f t="shared" si="143"/>
        <v>0</v>
      </c>
      <c r="CT121" s="16">
        <f t="shared" si="143"/>
        <v>0</v>
      </c>
      <c r="CU121" s="16">
        <f t="shared" si="143"/>
        <v>0</v>
      </c>
      <c r="CV121" s="16">
        <f t="shared" si="143"/>
        <v>0</v>
      </c>
      <c r="CW121" s="17">
        <f t="shared" si="143"/>
        <v>0</v>
      </c>
      <c r="CX121" s="40"/>
    </row>
    <row r="122" spans="1:102" ht="15.75" hidden="1" x14ac:dyDescent="0.25">
      <c r="A122" s="13" t="s">
        <v>1</v>
      </c>
      <c r="B122" s="14" t="s">
        <v>1</v>
      </c>
      <c r="C122" s="14" t="s">
        <v>19</v>
      </c>
      <c r="D122" s="30" t="s">
        <v>151</v>
      </c>
      <c r="E122" s="15">
        <f>SUM(F122+BY122+CT122)</f>
        <v>19117790</v>
      </c>
      <c r="F122" s="16">
        <f>SUM(G122+BA122)</f>
        <v>18989845</v>
      </c>
      <c r="G122" s="16">
        <f>SUM(H122+I122+J122+Q122+T122+U122+V122+AE122)</f>
        <v>14732069</v>
      </c>
      <c r="H122" s="16">
        <v>7559762</v>
      </c>
      <c r="I122" s="16">
        <v>1771936</v>
      </c>
      <c r="J122" s="16">
        <f t="shared" si="71"/>
        <v>4716629</v>
      </c>
      <c r="K122" s="16">
        <v>18876</v>
      </c>
      <c r="L122" s="16">
        <v>695564</v>
      </c>
      <c r="M122" s="16">
        <v>3371956</v>
      </c>
      <c r="N122" s="16">
        <v>300995</v>
      </c>
      <c r="O122" s="16">
        <v>317378</v>
      </c>
      <c r="P122" s="16">
        <v>11860</v>
      </c>
      <c r="Q122" s="16">
        <f t="shared" si="72"/>
        <v>0</v>
      </c>
      <c r="R122" s="16">
        <v>0</v>
      </c>
      <c r="S122" s="16">
        <v>0</v>
      </c>
      <c r="T122" s="16">
        <v>0</v>
      </c>
      <c r="U122" s="16">
        <v>29258</v>
      </c>
      <c r="V122" s="16">
        <f>SUM(W122:AD122)</f>
        <v>406811</v>
      </c>
      <c r="W122" s="16">
        <v>6214</v>
      </c>
      <c r="X122" s="16">
        <v>240826</v>
      </c>
      <c r="Y122" s="16">
        <v>119400</v>
      </c>
      <c r="Z122" s="16">
        <v>11103</v>
      </c>
      <c r="AA122" s="16">
        <v>14160</v>
      </c>
      <c r="AB122" s="16">
        <v>0</v>
      </c>
      <c r="AC122" s="16">
        <v>0</v>
      </c>
      <c r="AD122" s="16">
        <v>15108</v>
      </c>
      <c r="AE122" s="16">
        <f>SUM(AF122:AZ122)</f>
        <v>247673</v>
      </c>
      <c r="AF122" s="16">
        <v>0</v>
      </c>
      <c r="AG122" s="16">
        <v>0</v>
      </c>
      <c r="AH122" s="16">
        <v>141460</v>
      </c>
      <c r="AI122" s="16">
        <v>5776</v>
      </c>
      <c r="AJ122" s="16">
        <v>11856</v>
      </c>
      <c r="AK122" s="16">
        <v>0</v>
      </c>
      <c r="AL122" s="16">
        <v>75598</v>
      </c>
      <c r="AM122" s="16">
        <v>5071</v>
      </c>
      <c r="AN122" s="16">
        <v>0</v>
      </c>
      <c r="AO122" s="16">
        <v>1976</v>
      </c>
      <c r="AP122" s="16"/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/>
      <c r="AZ122" s="16">
        <v>5936</v>
      </c>
      <c r="BA122" s="16">
        <f>SUM(BB122+BF122+BI122+BK122+BM122)</f>
        <v>4257776</v>
      </c>
      <c r="BB122" s="16">
        <f>SUM(BC122:BE122)</f>
        <v>0</v>
      </c>
      <c r="BC122" s="16">
        <v>0</v>
      </c>
      <c r="BD122" s="16">
        <v>0</v>
      </c>
      <c r="BE122" s="16">
        <v>0</v>
      </c>
      <c r="BF122" s="16">
        <f t="shared" si="73"/>
        <v>0</v>
      </c>
      <c r="BG122" s="16">
        <v>0</v>
      </c>
      <c r="BH122" s="16">
        <v>0</v>
      </c>
      <c r="BI122" s="16">
        <v>0</v>
      </c>
      <c r="BJ122" s="16">
        <v>0</v>
      </c>
      <c r="BK122" s="16">
        <f t="shared" si="74"/>
        <v>0</v>
      </c>
      <c r="BL122" s="16">
        <v>0</v>
      </c>
      <c r="BM122" s="16">
        <f t="shared" si="75"/>
        <v>4257776</v>
      </c>
      <c r="BN122" s="16">
        <v>0</v>
      </c>
      <c r="BO122" s="16">
        <v>0</v>
      </c>
      <c r="BP122" s="16">
        <v>0</v>
      </c>
      <c r="BQ122" s="16">
        <v>0</v>
      </c>
      <c r="BR122" s="16">
        <v>0</v>
      </c>
      <c r="BS122" s="16">
        <v>206738</v>
      </c>
      <c r="BT122" s="16">
        <v>0</v>
      </c>
      <c r="BU122" s="16">
        <v>0</v>
      </c>
      <c r="BV122" s="16">
        <v>0</v>
      </c>
      <c r="BW122" s="16">
        <v>0</v>
      </c>
      <c r="BX122" s="16">
        <v>4051038</v>
      </c>
      <c r="BY122" s="16">
        <f>SUM(BZ122+CS122)</f>
        <v>127945</v>
      </c>
      <c r="BZ122" s="16">
        <f>SUM(CA122+CD122+CK122)</f>
        <v>127945</v>
      </c>
      <c r="CA122" s="16">
        <f t="shared" si="76"/>
        <v>127945</v>
      </c>
      <c r="CB122" s="16">
        <v>0</v>
      </c>
      <c r="CC122" s="16">
        <v>127945</v>
      </c>
      <c r="CD122" s="16">
        <f t="shared" si="77"/>
        <v>0</v>
      </c>
      <c r="CE122" s="16">
        <v>0</v>
      </c>
      <c r="CF122" s="16">
        <v>0</v>
      </c>
      <c r="CG122" s="16">
        <v>0</v>
      </c>
      <c r="CH122" s="16">
        <v>0</v>
      </c>
      <c r="CI122" s="16">
        <v>0</v>
      </c>
      <c r="CJ122" s="16">
        <v>0</v>
      </c>
      <c r="CK122" s="16">
        <f t="shared" si="78"/>
        <v>0</v>
      </c>
      <c r="CL122" s="16">
        <v>0</v>
      </c>
      <c r="CM122" s="16">
        <v>0</v>
      </c>
      <c r="CN122" s="16">
        <v>0</v>
      </c>
      <c r="CO122" s="16">
        <v>0</v>
      </c>
      <c r="CP122" s="16">
        <v>0</v>
      </c>
      <c r="CQ122" s="16"/>
      <c r="CR122" s="16"/>
      <c r="CS122" s="16">
        <v>0</v>
      </c>
      <c r="CT122" s="16">
        <f t="shared" si="79"/>
        <v>0</v>
      </c>
      <c r="CU122" s="16">
        <f t="shared" si="80"/>
        <v>0</v>
      </c>
      <c r="CV122" s="16">
        <v>0</v>
      </c>
      <c r="CW122" s="17">
        <v>0</v>
      </c>
      <c r="CX122" s="40"/>
    </row>
    <row r="123" spans="1:102" ht="15.75" hidden="1" x14ac:dyDescent="0.25">
      <c r="A123" s="13" t="s">
        <v>1</v>
      </c>
      <c r="B123" s="14" t="s">
        <v>1</v>
      </c>
      <c r="C123" s="14" t="s">
        <v>19</v>
      </c>
      <c r="D123" s="30" t="s">
        <v>152</v>
      </c>
      <c r="E123" s="15">
        <f>SUM(F123+BY123+CT123)</f>
        <v>32127697</v>
      </c>
      <c r="F123" s="16">
        <f>SUM(G123+BA123)</f>
        <v>31809800</v>
      </c>
      <c r="G123" s="16">
        <f>SUM(H123+I123+J123+Q123+T123+U123+V123+AE123)</f>
        <v>27778407</v>
      </c>
      <c r="H123" s="16">
        <v>16025635</v>
      </c>
      <c r="I123" s="16">
        <v>3704351</v>
      </c>
      <c r="J123" s="16">
        <f t="shared" si="71"/>
        <v>6052716</v>
      </c>
      <c r="K123" s="16">
        <v>97293</v>
      </c>
      <c r="L123" s="16">
        <v>1384307</v>
      </c>
      <c r="M123" s="16">
        <v>4327109</v>
      </c>
      <c r="N123" s="16">
        <v>0</v>
      </c>
      <c r="O123" s="16">
        <v>195078</v>
      </c>
      <c r="P123" s="16">
        <v>48929</v>
      </c>
      <c r="Q123" s="16">
        <f t="shared" si="72"/>
        <v>0</v>
      </c>
      <c r="R123" s="16">
        <v>0</v>
      </c>
      <c r="S123" s="16">
        <v>0</v>
      </c>
      <c r="T123" s="16">
        <v>0</v>
      </c>
      <c r="U123" s="16">
        <v>33884</v>
      </c>
      <c r="V123" s="16">
        <f>SUM(W123:AD123)</f>
        <v>545891</v>
      </c>
      <c r="W123" s="16">
        <v>67769</v>
      </c>
      <c r="X123" s="16">
        <v>186939</v>
      </c>
      <c r="Y123" s="16">
        <v>89764</v>
      </c>
      <c r="Z123" s="16">
        <v>159098</v>
      </c>
      <c r="AA123" s="16">
        <v>23862</v>
      </c>
      <c r="AB123" s="16">
        <v>0</v>
      </c>
      <c r="AC123" s="16">
        <v>0</v>
      </c>
      <c r="AD123" s="16">
        <v>18459</v>
      </c>
      <c r="AE123" s="16">
        <f>SUM(AF123:AZ123)</f>
        <v>1415930</v>
      </c>
      <c r="AF123" s="16">
        <v>0</v>
      </c>
      <c r="AG123" s="16">
        <v>172</v>
      </c>
      <c r="AH123" s="16">
        <v>193351</v>
      </c>
      <c r="AI123" s="16">
        <v>102425</v>
      </c>
      <c r="AJ123" s="16">
        <v>851225</v>
      </c>
      <c r="AK123" s="16">
        <v>0</v>
      </c>
      <c r="AL123" s="16">
        <v>187832</v>
      </c>
      <c r="AM123" s="16">
        <v>4990</v>
      </c>
      <c r="AN123" s="16">
        <v>0</v>
      </c>
      <c r="AO123" s="16">
        <v>41892</v>
      </c>
      <c r="AP123" s="16"/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/>
      <c r="AZ123" s="16">
        <v>34043</v>
      </c>
      <c r="BA123" s="16">
        <f>SUM(BB123+BF123+BI123+BK123+BM123)</f>
        <v>4031393</v>
      </c>
      <c r="BB123" s="16">
        <f>SUM(BC123:BE123)</f>
        <v>0</v>
      </c>
      <c r="BC123" s="16">
        <v>0</v>
      </c>
      <c r="BD123" s="16">
        <v>0</v>
      </c>
      <c r="BE123" s="16">
        <v>0</v>
      </c>
      <c r="BF123" s="16">
        <f t="shared" si="73"/>
        <v>0</v>
      </c>
      <c r="BG123" s="16">
        <v>0</v>
      </c>
      <c r="BH123" s="16">
        <v>0</v>
      </c>
      <c r="BI123" s="16">
        <v>0</v>
      </c>
      <c r="BJ123" s="16">
        <v>0</v>
      </c>
      <c r="BK123" s="16">
        <f t="shared" si="74"/>
        <v>0</v>
      </c>
      <c r="BL123" s="16">
        <v>0</v>
      </c>
      <c r="BM123" s="16">
        <f t="shared" si="75"/>
        <v>4031393</v>
      </c>
      <c r="BN123" s="16">
        <v>0</v>
      </c>
      <c r="BO123" s="16">
        <v>0</v>
      </c>
      <c r="BP123" s="16">
        <v>0</v>
      </c>
      <c r="BQ123" s="16">
        <v>0</v>
      </c>
      <c r="BR123" s="16">
        <v>0</v>
      </c>
      <c r="BS123" s="16">
        <v>167625</v>
      </c>
      <c r="BT123" s="16">
        <v>0</v>
      </c>
      <c r="BU123" s="16">
        <v>0</v>
      </c>
      <c r="BV123" s="16">
        <v>0</v>
      </c>
      <c r="BW123" s="16">
        <v>0</v>
      </c>
      <c r="BX123" s="16">
        <v>3863768</v>
      </c>
      <c r="BY123" s="16">
        <f>SUM(BZ123+CS123)</f>
        <v>317897</v>
      </c>
      <c r="BZ123" s="16">
        <f>SUM(CA123+CD123+CK123)</f>
        <v>317897</v>
      </c>
      <c r="CA123" s="16">
        <f t="shared" si="76"/>
        <v>317897</v>
      </c>
      <c r="CB123" s="16">
        <v>0</v>
      </c>
      <c r="CC123" s="16">
        <v>317897</v>
      </c>
      <c r="CD123" s="16">
        <f t="shared" si="77"/>
        <v>0</v>
      </c>
      <c r="CE123" s="16">
        <v>0</v>
      </c>
      <c r="CF123" s="16">
        <v>0</v>
      </c>
      <c r="CG123" s="16">
        <v>0</v>
      </c>
      <c r="CH123" s="16">
        <v>0</v>
      </c>
      <c r="CI123" s="16">
        <v>0</v>
      </c>
      <c r="CJ123" s="16">
        <v>0</v>
      </c>
      <c r="CK123" s="16">
        <f t="shared" si="78"/>
        <v>0</v>
      </c>
      <c r="CL123" s="16">
        <v>0</v>
      </c>
      <c r="CM123" s="16">
        <v>0</v>
      </c>
      <c r="CN123" s="16">
        <v>0</v>
      </c>
      <c r="CO123" s="16">
        <v>0</v>
      </c>
      <c r="CP123" s="16">
        <v>0</v>
      </c>
      <c r="CQ123" s="16"/>
      <c r="CR123" s="16"/>
      <c r="CS123" s="16">
        <v>0</v>
      </c>
      <c r="CT123" s="16">
        <f t="shared" si="79"/>
        <v>0</v>
      </c>
      <c r="CU123" s="16">
        <f t="shared" si="80"/>
        <v>0</v>
      </c>
      <c r="CV123" s="16">
        <v>0</v>
      </c>
      <c r="CW123" s="17">
        <v>0</v>
      </c>
      <c r="CX123" s="40"/>
    </row>
    <row r="124" spans="1:102" ht="15.75" hidden="1" x14ac:dyDescent="0.25">
      <c r="A124" s="13" t="s">
        <v>1</v>
      </c>
      <c r="B124" s="14" t="s">
        <v>1</v>
      </c>
      <c r="C124" s="14" t="s">
        <v>23</v>
      </c>
      <c r="D124" s="30" t="s">
        <v>153</v>
      </c>
      <c r="E124" s="15">
        <f>SUM(F124+BY124+CT124)</f>
        <v>8470000</v>
      </c>
      <c r="F124" s="16">
        <f>SUM(G124+BA124)</f>
        <v>8347582</v>
      </c>
      <c r="G124" s="16">
        <f>SUM(H124+I124+J124+Q124+T124+U124+V124+AE124)</f>
        <v>8347582</v>
      </c>
      <c r="H124" s="16">
        <v>6016323</v>
      </c>
      <c r="I124" s="16">
        <v>1395702</v>
      </c>
      <c r="J124" s="16">
        <f t="shared" si="71"/>
        <v>494064</v>
      </c>
      <c r="K124" s="16">
        <v>14060</v>
      </c>
      <c r="L124" s="16">
        <v>13950</v>
      </c>
      <c r="M124" s="16">
        <v>464505</v>
      </c>
      <c r="N124" s="16">
        <v>0</v>
      </c>
      <c r="O124" s="16">
        <v>0</v>
      </c>
      <c r="P124" s="16">
        <v>1549</v>
      </c>
      <c r="Q124" s="16">
        <f t="shared" si="72"/>
        <v>0</v>
      </c>
      <c r="R124" s="16">
        <v>0</v>
      </c>
      <c r="S124" s="16">
        <v>0</v>
      </c>
      <c r="T124" s="16">
        <v>0</v>
      </c>
      <c r="U124" s="16">
        <v>33978</v>
      </c>
      <c r="V124" s="16">
        <f>SUM(W124:AD124)</f>
        <v>281224</v>
      </c>
      <c r="W124" s="16">
        <v>20571</v>
      </c>
      <c r="X124" s="16">
        <v>155221</v>
      </c>
      <c r="Y124" s="16">
        <v>60384</v>
      </c>
      <c r="Z124" s="16">
        <v>28746</v>
      </c>
      <c r="AA124" s="16">
        <v>16302</v>
      </c>
      <c r="AB124" s="16">
        <v>0</v>
      </c>
      <c r="AC124" s="16">
        <v>0</v>
      </c>
      <c r="AD124" s="16">
        <v>0</v>
      </c>
      <c r="AE124" s="16">
        <f>SUM(AF124:AZ124)</f>
        <v>126291</v>
      </c>
      <c r="AF124" s="16">
        <v>0</v>
      </c>
      <c r="AG124" s="16">
        <v>558</v>
      </c>
      <c r="AH124" s="16">
        <v>35479</v>
      </c>
      <c r="AI124" s="16">
        <v>18049</v>
      </c>
      <c r="AJ124" s="16">
        <v>10996</v>
      </c>
      <c r="AK124" s="16">
        <v>0</v>
      </c>
      <c r="AL124" s="16">
        <v>61209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  <c r="AZ124" s="16">
        <v>0</v>
      </c>
      <c r="BA124" s="16">
        <f>SUM(BB124+BF124+BI124+BK124+BM124)</f>
        <v>0</v>
      </c>
      <c r="BB124" s="16">
        <f>SUM(BC124:BE124)</f>
        <v>0</v>
      </c>
      <c r="BC124" s="16">
        <v>0</v>
      </c>
      <c r="BD124" s="16">
        <v>0</v>
      </c>
      <c r="BE124" s="16">
        <v>0</v>
      </c>
      <c r="BF124" s="16">
        <f t="shared" si="73"/>
        <v>0</v>
      </c>
      <c r="BG124" s="16">
        <v>0</v>
      </c>
      <c r="BH124" s="16">
        <v>0</v>
      </c>
      <c r="BI124" s="16">
        <v>0</v>
      </c>
      <c r="BJ124" s="16">
        <v>0</v>
      </c>
      <c r="BK124" s="16">
        <f t="shared" si="74"/>
        <v>0</v>
      </c>
      <c r="BL124" s="16">
        <v>0</v>
      </c>
      <c r="BM124" s="16">
        <f t="shared" si="75"/>
        <v>0</v>
      </c>
      <c r="BN124" s="16">
        <v>0</v>
      </c>
      <c r="BO124" s="16">
        <v>0</v>
      </c>
      <c r="BP124" s="16">
        <v>0</v>
      </c>
      <c r="BQ124" s="16">
        <v>0</v>
      </c>
      <c r="BR124" s="16">
        <v>0</v>
      </c>
      <c r="BS124" s="16">
        <v>0</v>
      </c>
      <c r="BT124" s="16">
        <v>0</v>
      </c>
      <c r="BU124" s="16">
        <v>0</v>
      </c>
      <c r="BV124" s="16">
        <v>0</v>
      </c>
      <c r="BW124" s="16">
        <v>0</v>
      </c>
      <c r="BX124" s="16">
        <v>0</v>
      </c>
      <c r="BY124" s="16">
        <f>SUM(BZ124+CS124)</f>
        <v>122418</v>
      </c>
      <c r="BZ124" s="16">
        <f>SUM(CA124+CD124+CK124)</f>
        <v>122418</v>
      </c>
      <c r="CA124" s="16">
        <f t="shared" si="76"/>
        <v>122418</v>
      </c>
      <c r="CB124" s="16">
        <v>0</v>
      </c>
      <c r="CC124" s="16">
        <v>122418</v>
      </c>
      <c r="CD124" s="16">
        <f t="shared" si="77"/>
        <v>0</v>
      </c>
      <c r="CE124" s="16">
        <v>0</v>
      </c>
      <c r="CF124" s="16">
        <v>0</v>
      </c>
      <c r="CG124" s="16">
        <v>0</v>
      </c>
      <c r="CH124" s="16">
        <v>0</v>
      </c>
      <c r="CI124" s="16">
        <v>0</v>
      </c>
      <c r="CJ124" s="16">
        <v>0</v>
      </c>
      <c r="CK124" s="16">
        <f t="shared" si="78"/>
        <v>0</v>
      </c>
      <c r="CL124" s="16">
        <v>0</v>
      </c>
      <c r="CM124" s="16">
        <v>0</v>
      </c>
      <c r="CN124" s="16">
        <v>0</v>
      </c>
      <c r="CO124" s="16">
        <v>0</v>
      </c>
      <c r="CP124" s="16">
        <v>0</v>
      </c>
      <c r="CQ124" s="16">
        <v>0</v>
      </c>
      <c r="CR124" s="16">
        <v>0</v>
      </c>
      <c r="CS124" s="16">
        <v>0</v>
      </c>
      <c r="CT124" s="16">
        <f t="shared" si="79"/>
        <v>0</v>
      </c>
      <c r="CU124" s="16">
        <f t="shared" si="80"/>
        <v>0</v>
      </c>
      <c r="CV124" s="16">
        <v>0</v>
      </c>
      <c r="CW124" s="17">
        <v>0</v>
      </c>
      <c r="CX124" s="40"/>
    </row>
    <row r="125" spans="1:102" ht="15.75" hidden="1" x14ac:dyDescent="0.25">
      <c r="A125" s="13" t="s">
        <v>111</v>
      </c>
      <c r="B125" s="14" t="s">
        <v>47</v>
      </c>
      <c r="C125" s="14" t="s">
        <v>1</v>
      </c>
      <c r="D125" s="30" t="s">
        <v>154</v>
      </c>
      <c r="E125" s="15">
        <f>SUM(E126:E128)</f>
        <v>119244578</v>
      </c>
      <c r="F125" s="16">
        <f t="shared" ref="F125:BS125" si="144">SUM(F126:F128)</f>
        <v>112172921</v>
      </c>
      <c r="G125" s="16">
        <f t="shared" si="144"/>
        <v>92642598</v>
      </c>
      <c r="H125" s="16">
        <f t="shared" si="144"/>
        <v>64629753</v>
      </c>
      <c r="I125" s="16">
        <f t="shared" si="144"/>
        <v>15063606</v>
      </c>
      <c r="J125" s="16">
        <f t="shared" si="144"/>
        <v>6420298</v>
      </c>
      <c r="K125" s="16">
        <f t="shared" si="144"/>
        <v>96314</v>
      </c>
      <c r="L125" s="16">
        <f t="shared" si="144"/>
        <v>50185</v>
      </c>
      <c r="M125" s="16">
        <f t="shared" si="144"/>
        <v>4825248</v>
      </c>
      <c r="N125" s="16">
        <f t="shared" si="144"/>
        <v>0</v>
      </c>
      <c r="O125" s="16">
        <f t="shared" si="144"/>
        <v>1088191</v>
      </c>
      <c r="P125" s="16">
        <f t="shared" si="144"/>
        <v>360360</v>
      </c>
      <c r="Q125" s="16">
        <f t="shared" si="144"/>
        <v>119846</v>
      </c>
      <c r="R125" s="16">
        <f t="shared" si="144"/>
        <v>119846</v>
      </c>
      <c r="S125" s="16">
        <f t="shared" si="144"/>
        <v>0</v>
      </c>
      <c r="T125" s="16">
        <f t="shared" si="144"/>
        <v>0</v>
      </c>
      <c r="U125" s="16">
        <f t="shared" si="144"/>
        <v>491948</v>
      </c>
      <c r="V125" s="16">
        <f t="shared" si="144"/>
        <v>2023297</v>
      </c>
      <c r="W125" s="16">
        <f t="shared" si="144"/>
        <v>43471</v>
      </c>
      <c r="X125" s="16">
        <f t="shared" si="144"/>
        <v>1476180</v>
      </c>
      <c r="Y125" s="16">
        <f t="shared" si="144"/>
        <v>289459</v>
      </c>
      <c r="Z125" s="16">
        <f t="shared" si="144"/>
        <v>110061</v>
      </c>
      <c r="AA125" s="16">
        <f t="shared" si="144"/>
        <v>104126</v>
      </c>
      <c r="AB125" s="16">
        <f t="shared" si="144"/>
        <v>0</v>
      </c>
      <c r="AC125" s="16">
        <f t="shared" si="144"/>
        <v>0</v>
      </c>
      <c r="AD125" s="16">
        <f t="shared" si="144"/>
        <v>0</v>
      </c>
      <c r="AE125" s="16">
        <f t="shared" si="144"/>
        <v>3893850</v>
      </c>
      <c r="AF125" s="16">
        <f t="shared" si="144"/>
        <v>0</v>
      </c>
      <c r="AG125" s="16">
        <f t="shared" si="144"/>
        <v>46374</v>
      </c>
      <c r="AH125" s="16">
        <f t="shared" si="144"/>
        <v>810392</v>
      </c>
      <c r="AI125" s="16">
        <f t="shared" si="144"/>
        <v>401563</v>
      </c>
      <c r="AJ125" s="16">
        <f t="shared" si="144"/>
        <v>144382</v>
      </c>
      <c r="AK125" s="16">
        <f t="shared" si="144"/>
        <v>0</v>
      </c>
      <c r="AL125" s="16">
        <f t="shared" si="144"/>
        <v>653029</v>
      </c>
      <c r="AM125" s="16">
        <f t="shared" si="144"/>
        <v>16716</v>
      </c>
      <c r="AN125" s="16">
        <f t="shared" si="144"/>
        <v>0</v>
      </c>
      <c r="AO125" s="16">
        <f t="shared" si="144"/>
        <v>14841</v>
      </c>
      <c r="AP125" s="16">
        <f>SUM(AP126:AP128)</f>
        <v>0</v>
      </c>
      <c r="AQ125" s="16">
        <f t="shared" si="144"/>
        <v>0</v>
      </c>
      <c r="AR125" s="16">
        <f t="shared" si="144"/>
        <v>15367</v>
      </c>
      <c r="AS125" s="16">
        <f t="shared" si="144"/>
        <v>83800</v>
      </c>
      <c r="AT125" s="16">
        <f t="shared" si="144"/>
        <v>0</v>
      </c>
      <c r="AU125" s="16">
        <f t="shared" si="144"/>
        <v>0</v>
      </c>
      <c r="AV125" s="16">
        <f t="shared" si="144"/>
        <v>0</v>
      </c>
      <c r="AW125" s="16">
        <f t="shared" si="144"/>
        <v>0</v>
      </c>
      <c r="AX125" s="16">
        <f t="shared" si="144"/>
        <v>0</v>
      </c>
      <c r="AY125" s="16">
        <f t="shared" si="144"/>
        <v>0</v>
      </c>
      <c r="AZ125" s="16">
        <f t="shared" si="144"/>
        <v>1707386</v>
      </c>
      <c r="BA125" s="16">
        <f t="shared" si="144"/>
        <v>19530323</v>
      </c>
      <c r="BB125" s="16">
        <f t="shared" si="144"/>
        <v>0</v>
      </c>
      <c r="BC125" s="16">
        <f t="shared" si="144"/>
        <v>0</v>
      </c>
      <c r="BD125" s="16">
        <f t="shared" si="144"/>
        <v>0</v>
      </c>
      <c r="BE125" s="16">
        <f t="shared" si="144"/>
        <v>0</v>
      </c>
      <c r="BF125" s="16">
        <f t="shared" si="144"/>
        <v>0</v>
      </c>
      <c r="BG125" s="16">
        <f t="shared" si="144"/>
        <v>0</v>
      </c>
      <c r="BH125" s="16">
        <f t="shared" si="144"/>
        <v>0</v>
      </c>
      <c r="BI125" s="16">
        <f t="shared" si="144"/>
        <v>0</v>
      </c>
      <c r="BJ125" s="16">
        <f t="shared" si="144"/>
        <v>0</v>
      </c>
      <c r="BK125" s="16">
        <f t="shared" si="144"/>
        <v>0</v>
      </c>
      <c r="BL125" s="16">
        <f t="shared" si="144"/>
        <v>0</v>
      </c>
      <c r="BM125" s="16">
        <f t="shared" si="144"/>
        <v>19530323</v>
      </c>
      <c r="BN125" s="16">
        <f t="shared" si="144"/>
        <v>0</v>
      </c>
      <c r="BO125" s="16">
        <f t="shared" si="144"/>
        <v>0</v>
      </c>
      <c r="BP125" s="16">
        <f t="shared" si="144"/>
        <v>7815125</v>
      </c>
      <c r="BQ125" s="16">
        <f t="shared" si="144"/>
        <v>0</v>
      </c>
      <c r="BR125" s="16">
        <f t="shared" si="144"/>
        <v>0</v>
      </c>
      <c r="BS125" s="16">
        <f t="shared" si="144"/>
        <v>0</v>
      </c>
      <c r="BT125" s="16">
        <f t="shared" ref="BT125:CW125" si="145">SUM(BT126:BT128)</f>
        <v>0</v>
      </c>
      <c r="BU125" s="16">
        <f t="shared" si="145"/>
        <v>0</v>
      </c>
      <c r="BV125" s="16">
        <f t="shared" si="145"/>
        <v>0</v>
      </c>
      <c r="BW125" s="16">
        <f t="shared" si="145"/>
        <v>11430670</v>
      </c>
      <c r="BX125" s="16">
        <f t="shared" si="145"/>
        <v>284528</v>
      </c>
      <c r="BY125" s="16">
        <f t="shared" si="145"/>
        <v>7071657</v>
      </c>
      <c r="BZ125" s="16">
        <f t="shared" si="145"/>
        <v>7071657</v>
      </c>
      <c r="CA125" s="16">
        <f t="shared" si="145"/>
        <v>7071657</v>
      </c>
      <c r="CB125" s="16">
        <f t="shared" si="145"/>
        <v>0</v>
      </c>
      <c r="CC125" s="16">
        <f t="shared" si="145"/>
        <v>7071657</v>
      </c>
      <c r="CD125" s="16">
        <f t="shared" si="145"/>
        <v>0</v>
      </c>
      <c r="CE125" s="16">
        <f t="shared" si="145"/>
        <v>0</v>
      </c>
      <c r="CF125" s="16">
        <f>SUM(CF126:CF128)</f>
        <v>0</v>
      </c>
      <c r="CG125" s="16">
        <f t="shared" si="145"/>
        <v>0</v>
      </c>
      <c r="CH125" s="16">
        <f t="shared" si="145"/>
        <v>0</v>
      </c>
      <c r="CI125" s="16">
        <f t="shared" si="145"/>
        <v>0</v>
      </c>
      <c r="CJ125" s="16">
        <f t="shared" si="145"/>
        <v>0</v>
      </c>
      <c r="CK125" s="16">
        <f t="shared" si="145"/>
        <v>0</v>
      </c>
      <c r="CL125" s="16">
        <f t="shared" si="145"/>
        <v>0</v>
      </c>
      <c r="CM125" s="16">
        <f>SUM(CM126:CM128)</f>
        <v>0</v>
      </c>
      <c r="CN125" s="16">
        <f t="shared" si="145"/>
        <v>0</v>
      </c>
      <c r="CO125" s="16">
        <f t="shared" si="145"/>
        <v>0</v>
      </c>
      <c r="CP125" s="16">
        <f t="shared" si="145"/>
        <v>0</v>
      </c>
      <c r="CQ125" s="16">
        <f t="shared" si="145"/>
        <v>0</v>
      </c>
      <c r="CR125" s="16">
        <f t="shared" si="145"/>
        <v>0</v>
      </c>
      <c r="CS125" s="16">
        <f t="shared" si="145"/>
        <v>0</v>
      </c>
      <c r="CT125" s="16">
        <f t="shared" si="145"/>
        <v>0</v>
      </c>
      <c r="CU125" s="16">
        <f t="shared" si="145"/>
        <v>0</v>
      </c>
      <c r="CV125" s="16">
        <f t="shared" si="145"/>
        <v>0</v>
      </c>
      <c r="CW125" s="17">
        <f t="shared" si="145"/>
        <v>0</v>
      </c>
      <c r="CX125" s="40"/>
    </row>
    <row r="126" spans="1:102" ht="31.5" hidden="1" x14ac:dyDescent="0.25">
      <c r="A126" s="13" t="s">
        <v>1</v>
      </c>
      <c r="B126" s="14" t="s">
        <v>1</v>
      </c>
      <c r="C126" s="14" t="s">
        <v>21</v>
      </c>
      <c r="D126" s="30" t="s">
        <v>155</v>
      </c>
      <c r="E126" s="15">
        <f>SUM(F126+BY126+CT126)</f>
        <v>14525355</v>
      </c>
      <c r="F126" s="16">
        <f>SUM(G126+BA126)</f>
        <v>14350201</v>
      </c>
      <c r="G126" s="16">
        <f>SUM(H126+I126+J126+Q126+T126+U126+V126+AE126)</f>
        <v>11687394</v>
      </c>
      <c r="H126" s="16">
        <v>8757688</v>
      </c>
      <c r="I126" s="16">
        <v>2026528</v>
      </c>
      <c r="J126" s="16">
        <f t="shared" si="71"/>
        <v>532552</v>
      </c>
      <c r="K126" s="16">
        <v>0</v>
      </c>
      <c r="L126" s="16">
        <v>13517</v>
      </c>
      <c r="M126" s="16">
        <v>445498</v>
      </c>
      <c r="N126" s="16">
        <v>0</v>
      </c>
      <c r="O126" s="16">
        <v>53042</v>
      </c>
      <c r="P126" s="16">
        <v>20495</v>
      </c>
      <c r="Q126" s="16">
        <f t="shared" si="72"/>
        <v>0</v>
      </c>
      <c r="R126" s="16">
        <v>0</v>
      </c>
      <c r="S126" s="16">
        <v>0</v>
      </c>
      <c r="T126" s="16">
        <v>0</v>
      </c>
      <c r="U126" s="16">
        <v>59256</v>
      </c>
      <c r="V126" s="16">
        <f>SUM(W126:AD126)</f>
        <v>77535</v>
      </c>
      <c r="W126" s="16">
        <v>0</v>
      </c>
      <c r="X126" s="16">
        <v>63488</v>
      </c>
      <c r="Y126" s="16">
        <v>4538</v>
      </c>
      <c r="Z126" s="16">
        <v>9509</v>
      </c>
      <c r="AA126" s="16">
        <v>0</v>
      </c>
      <c r="AB126" s="16">
        <v>0</v>
      </c>
      <c r="AC126" s="16">
        <v>0</v>
      </c>
      <c r="AD126" s="16">
        <v>0</v>
      </c>
      <c r="AE126" s="16">
        <f>SUM(AF126:AZ126)</f>
        <v>233835</v>
      </c>
      <c r="AF126" s="16">
        <v>0</v>
      </c>
      <c r="AG126" s="16">
        <v>0</v>
      </c>
      <c r="AH126" s="16">
        <v>68356</v>
      </c>
      <c r="AI126" s="16">
        <v>53629</v>
      </c>
      <c r="AJ126" s="16">
        <v>16162</v>
      </c>
      <c r="AK126" s="16">
        <v>0</v>
      </c>
      <c r="AL126" s="16">
        <v>87577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0</v>
      </c>
      <c r="AS126" s="16">
        <v>0</v>
      </c>
      <c r="AT126" s="16">
        <v>0</v>
      </c>
      <c r="AU126" s="16">
        <v>0</v>
      </c>
      <c r="AV126" s="16">
        <v>0</v>
      </c>
      <c r="AW126" s="16">
        <v>0</v>
      </c>
      <c r="AX126" s="16">
        <v>0</v>
      </c>
      <c r="AY126" s="16">
        <v>0</v>
      </c>
      <c r="AZ126" s="16">
        <v>8111</v>
      </c>
      <c r="BA126" s="16">
        <f>SUM(BB126+BF126+BI126+BK126+BM126)</f>
        <v>2662807</v>
      </c>
      <c r="BB126" s="16">
        <f>SUM(BC126:BE126)</f>
        <v>0</v>
      </c>
      <c r="BC126" s="16">
        <v>0</v>
      </c>
      <c r="BD126" s="16">
        <v>0</v>
      </c>
      <c r="BE126" s="16">
        <v>0</v>
      </c>
      <c r="BF126" s="16">
        <f t="shared" si="73"/>
        <v>0</v>
      </c>
      <c r="BG126" s="16">
        <v>0</v>
      </c>
      <c r="BH126" s="16">
        <v>0</v>
      </c>
      <c r="BI126" s="16">
        <v>0</v>
      </c>
      <c r="BJ126" s="16">
        <v>0</v>
      </c>
      <c r="BK126" s="16">
        <f t="shared" si="74"/>
        <v>0</v>
      </c>
      <c r="BL126" s="16">
        <v>0</v>
      </c>
      <c r="BM126" s="16">
        <f t="shared" si="75"/>
        <v>2662807</v>
      </c>
      <c r="BN126" s="16">
        <v>0</v>
      </c>
      <c r="BO126" s="16">
        <v>0</v>
      </c>
      <c r="BP126" s="16">
        <v>1067941</v>
      </c>
      <c r="BQ126" s="16">
        <v>0</v>
      </c>
      <c r="BR126" s="16">
        <v>0</v>
      </c>
      <c r="BS126" s="16">
        <v>0</v>
      </c>
      <c r="BT126" s="16">
        <v>0</v>
      </c>
      <c r="BU126" s="16">
        <v>0</v>
      </c>
      <c r="BV126" s="16">
        <v>0</v>
      </c>
      <c r="BW126" s="16">
        <v>1348678</v>
      </c>
      <c r="BX126" s="16">
        <v>246188</v>
      </c>
      <c r="BY126" s="16">
        <f>SUM(BZ126+CS126)</f>
        <v>175154</v>
      </c>
      <c r="BZ126" s="16">
        <f>SUM(CA126+CD126+CK126)</f>
        <v>175154</v>
      </c>
      <c r="CA126" s="16">
        <f t="shared" si="76"/>
        <v>175154</v>
      </c>
      <c r="CB126" s="16">
        <v>0</v>
      </c>
      <c r="CC126" s="16">
        <v>175154</v>
      </c>
      <c r="CD126" s="16">
        <f t="shared" si="77"/>
        <v>0</v>
      </c>
      <c r="CE126" s="16">
        <v>0</v>
      </c>
      <c r="CF126" s="16">
        <v>0</v>
      </c>
      <c r="CG126" s="16">
        <v>0</v>
      </c>
      <c r="CH126" s="16">
        <v>0</v>
      </c>
      <c r="CI126" s="16">
        <v>0</v>
      </c>
      <c r="CJ126" s="16">
        <v>0</v>
      </c>
      <c r="CK126" s="16">
        <f t="shared" si="78"/>
        <v>0</v>
      </c>
      <c r="CL126" s="16">
        <v>0</v>
      </c>
      <c r="CM126" s="16">
        <v>0</v>
      </c>
      <c r="CN126" s="16">
        <v>0</v>
      </c>
      <c r="CO126" s="16">
        <v>0</v>
      </c>
      <c r="CP126" s="16">
        <v>0</v>
      </c>
      <c r="CQ126" s="16">
        <v>0</v>
      </c>
      <c r="CR126" s="16">
        <v>0</v>
      </c>
      <c r="CS126" s="16">
        <v>0</v>
      </c>
      <c r="CT126" s="16">
        <f t="shared" si="79"/>
        <v>0</v>
      </c>
      <c r="CU126" s="16">
        <f t="shared" si="80"/>
        <v>0</v>
      </c>
      <c r="CV126" s="16">
        <v>0</v>
      </c>
      <c r="CW126" s="17">
        <v>0</v>
      </c>
      <c r="CX126" s="40"/>
    </row>
    <row r="127" spans="1:102" ht="31.5" hidden="1" x14ac:dyDescent="0.25">
      <c r="A127" s="13" t="s">
        <v>1</v>
      </c>
      <c r="B127" s="14" t="s">
        <v>1</v>
      </c>
      <c r="C127" s="14" t="s">
        <v>23</v>
      </c>
      <c r="D127" s="30" t="s">
        <v>156</v>
      </c>
      <c r="E127" s="15">
        <f>SUM(F127+BY127+CT127)</f>
        <v>91792438</v>
      </c>
      <c r="F127" s="16">
        <f>SUM(G127+BA127)</f>
        <v>86395682</v>
      </c>
      <c r="G127" s="16">
        <f>SUM(H127+I127+J127+Q127+T127+U127+V127+AE127)</f>
        <v>69528166</v>
      </c>
      <c r="H127" s="16">
        <f>51734559-349824</f>
        <v>51384735</v>
      </c>
      <c r="I127" s="16">
        <f>12074628-82971</f>
        <v>11991657</v>
      </c>
      <c r="J127" s="16">
        <f t="shared" si="71"/>
        <v>2005928</v>
      </c>
      <c r="K127" s="16">
        <v>0</v>
      </c>
      <c r="L127" s="16">
        <v>33748</v>
      </c>
      <c r="M127" s="16">
        <v>861679</v>
      </c>
      <c r="N127" s="16">
        <v>0</v>
      </c>
      <c r="O127" s="16">
        <v>952894</v>
      </c>
      <c r="P127" s="16">
        <f>145607+12000</f>
        <v>157607</v>
      </c>
      <c r="Q127" s="16">
        <f t="shared" si="72"/>
        <v>83394</v>
      </c>
      <c r="R127" s="16">
        <v>83394</v>
      </c>
      <c r="S127" s="16">
        <v>0</v>
      </c>
      <c r="T127" s="16">
        <v>0</v>
      </c>
      <c r="U127" s="16">
        <v>409263</v>
      </c>
      <c r="V127" s="16">
        <f>SUM(W127:AD127)</f>
        <v>1810166</v>
      </c>
      <c r="W127" s="16">
        <v>7019</v>
      </c>
      <c r="X127" s="16">
        <v>1343604</v>
      </c>
      <c r="Y127" s="16">
        <v>279667</v>
      </c>
      <c r="Z127" s="16">
        <v>94530</v>
      </c>
      <c r="AA127" s="16">
        <v>85346</v>
      </c>
      <c r="AB127" s="16">
        <v>0</v>
      </c>
      <c r="AC127" s="16">
        <v>0</v>
      </c>
      <c r="AD127" s="16">
        <v>0</v>
      </c>
      <c r="AE127" s="16">
        <f>SUM(AF127:AZ127)</f>
        <v>1843023</v>
      </c>
      <c r="AF127" s="16">
        <v>0</v>
      </c>
      <c r="AG127" s="16">
        <v>9922</v>
      </c>
      <c r="AH127" s="16">
        <v>704562</v>
      </c>
      <c r="AI127" s="16">
        <f>311509+30000</f>
        <v>341509</v>
      </c>
      <c r="AJ127" s="16">
        <v>121080</v>
      </c>
      <c r="AK127" s="16">
        <v>0</v>
      </c>
      <c r="AL127" s="16">
        <v>520579</v>
      </c>
      <c r="AM127" s="16">
        <v>13491</v>
      </c>
      <c r="AN127" s="16">
        <v>0</v>
      </c>
      <c r="AO127" s="16">
        <v>14841</v>
      </c>
      <c r="AP127" s="16"/>
      <c r="AQ127" s="16">
        <v>0</v>
      </c>
      <c r="AR127" s="16">
        <v>0</v>
      </c>
      <c r="AS127" s="16">
        <v>0</v>
      </c>
      <c r="AT127" s="16">
        <v>0</v>
      </c>
      <c r="AU127" s="16">
        <v>0</v>
      </c>
      <c r="AV127" s="16">
        <v>0</v>
      </c>
      <c r="AW127" s="16">
        <v>0</v>
      </c>
      <c r="AX127" s="16">
        <v>0</v>
      </c>
      <c r="AY127" s="16"/>
      <c r="AZ127" s="16">
        <v>117039</v>
      </c>
      <c r="BA127" s="16">
        <f>SUM(BB127+BF127+BI127+BK127+BM127)</f>
        <v>16867516</v>
      </c>
      <c r="BB127" s="16">
        <f>SUM(BC127:BE127)</f>
        <v>0</v>
      </c>
      <c r="BC127" s="16">
        <v>0</v>
      </c>
      <c r="BD127" s="16">
        <v>0</v>
      </c>
      <c r="BE127" s="16">
        <v>0</v>
      </c>
      <c r="BF127" s="16">
        <f t="shared" si="73"/>
        <v>0</v>
      </c>
      <c r="BG127" s="16">
        <v>0</v>
      </c>
      <c r="BH127" s="16">
        <v>0</v>
      </c>
      <c r="BI127" s="16">
        <v>0</v>
      </c>
      <c r="BJ127" s="16">
        <v>0</v>
      </c>
      <c r="BK127" s="16">
        <f t="shared" si="74"/>
        <v>0</v>
      </c>
      <c r="BL127" s="16">
        <v>0</v>
      </c>
      <c r="BM127" s="16">
        <f t="shared" si="75"/>
        <v>16867516</v>
      </c>
      <c r="BN127" s="16">
        <v>0</v>
      </c>
      <c r="BO127" s="16">
        <v>0</v>
      </c>
      <c r="BP127" s="16">
        <v>6747184</v>
      </c>
      <c r="BQ127" s="16">
        <v>0</v>
      </c>
      <c r="BR127" s="16">
        <v>0</v>
      </c>
      <c r="BS127" s="16">
        <v>0</v>
      </c>
      <c r="BT127" s="16">
        <v>0</v>
      </c>
      <c r="BU127" s="16">
        <v>0</v>
      </c>
      <c r="BV127" s="16">
        <v>0</v>
      </c>
      <c r="BW127" s="16">
        <v>10081992</v>
      </c>
      <c r="BX127" s="16">
        <v>38340</v>
      </c>
      <c r="BY127" s="16">
        <f>SUM(BZ127+CS127)</f>
        <v>5396756</v>
      </c>
      <c r="BZ127" s="16">
        <f>SUM(CA127+CD127+CK127)</f>
        <v>5396756</v>
      </c>
      <c r="CA127" s="16">
        <f t="shared" si="76"/>
        <v>5396756</v>
      </c>
      <c r="CB127" s="16">
        <v>0</v>
      </c>
      <c r="CC127" s="16">
        <f>1041159+4355597</f>
        <v>5396756</v>
      </c>
      <c r="CD127" s="16">
        <f t="shared" si="77"/>
        <v>0</v>
      </c>
      <c r="CE127" s="16">
        <v>0</v>
      </c>
      <c r="CF127" s="16">
        <v>0</v>
      </c>
      <c r="CG127" s="16">
        <v>0</v>
      </c>
      <c r="CH127" s="16">
        <v>0</v>
      </c>
      <c r="CI127" s="16">
        <v>0</v>
      </c>
      <c r="CJ127" s="16">
        <v>0</v>
      </c>
      <c r="CK127" s="16">
        <f t="shared" si="78"/>
        <v>0</v>
      </c>
      <c r="CL127" s="16">
        <v>0</v>
      </c>
      <c r="CM127" s="16">
        <v>0</v>
      </c>
      <c r="CN127" s="16">
        <v>0</v>
      </c>
      <c r="CO127" s="16">
        <v>0</v>
      </c>
      <c r="CP127" s="16">
        <v>0</v>
      </c>
      <c r="CQ127" s="16"/>
      <c r="CR127" s="16"/>
      <c r="CS127" s="16">
        <v>0</v>
      </c>
      <c r="CT127" s="16">
        <f t="shared" si="79"/>
        <v>0</v>
      </c>
      <c r="CU127" s="16">
        <f t="shared" si="80"/>
        <v>0</v>
      </c>
      <c r="CV127" s="16">
        <v>0</v>
      </c>
      <c r="CW127" s="17">
        <v>0</v>
      </c>
      <c r="CX127" s="40"/>
    </row>
    <row r="128" spans="1:102" ht="15.75" hidden="1" x14ac:dyDescent="0.25">
      <c r="A128" s="13" t="s">
        <v>1</v>
      </c>
      <c r="B128" s="14" t="s">
        <v>1</v>
      </c>
      <c r="C128" s="14" t="s">
        <v>31</v>
      </c>
      <c r="D128" s="30" t="s">
        <v>502</v>
      </c>
      <c r="E128" s="15">
        <f>SUM(F128+BY128+CT128)</f>
        <v>12926785</v>
      </c>
      <c r="F128" s="16">
        <f>SUM(G128+BA128)</f>
        <v>11427038</v>
      </c>
      <c r="G128" s="16">
        <f>SUM(H128+I128+J128+Q128+T128+U128+V128+AE128)</f>
        <v>11427038</v>
      </c>
      <c r="H128" s="16">
        <v>4487330</v>
      </c>
      <c r="I128" s="16">
        <v>1045421</v>
      </c>
      <c r="J128" s="16">
        <f t="shared" si="71"/>
        <v>3881818</v>
      </c>
      <c r="K128" s="16">
        <v>96314</v>
      </c>
      <c r="L128" s="16">
        <v>2920</v>
      </c>
      <c r="M128" s="16">
        <f>4928071-1410000</f>
        <v>3518071</v>
      </c>
      <c r="N128" s="16">
        <v>0</v>
      </c>
      <c r="O128" s="16">
        <v>82255</v>
      </c>
      <c r="P128" s="16">
        <v>182258</v>
      </c>
      <c r="Q128" s="16">
        <f t="shared" si="72"/>
        <v>36452</v>
      </c>
      <c r="R128" s="16">
        <v>36452</v>
      </c>
      <c r="S128" s="16">
        <v>0</v>
      </c>
      <c r="T128" s="16">
        <v>0</v>
      </c>
      <c r="U128" s="16">
        <v>23429</v>
      </c>
      <c r="V128" s="16">
        <f>SUM(W128:AD128)</f>
        <v>135596</v>
      </c>
      <c r="W128" s="16">
        <v>36452</v>
      </c>
      <c r="X128" s="16">
        <v>69088</v>
      </c>
      <c r="Y128" s="16">
        <v>5254</v>
      </c>
      <c r="Z128" s="16">
        <v>6022</v>
      </c>
      <c r="AA128" s="16">
        <v>18780</v>
      </c>
      <c r="AB128" s="16">
        <v>0</v>
      </c>
      <c r="AC128" s="16">
        <v>0</v>
      </c>
      <c r="AD128" s="16">
        <v>0</v>
      </c>
      <c r="AE128" s="16">
        <f>SUM(AF128:AZ128)</f>
        <v>1816992</v>
      </c>
      <c r="AF128" s="16">
        <v>0</v>
      </c>
      <c r="AG128" s="16">
        <v>36452</v>
      </c>
      <c r="AH128" s="16">
        <v>37474</v>
      </c>
      <c r="AI128" s="16">
        <v>6425</v>
      </c>
      <c r="AJ128" s="16">
        <v>7140</v>
      </c>
      <c r="AK128" s="16">
        <v>0</v>
      </c>
      <c r="AL128" s="16">
        <v>44873</v>
      </c>
      <c r="AM128" s="16">
        <v>3225</v>
      </c>
      <c r="AN128" s="16">
        <v>0</v>
      </c>
      <c r="AO128" s="16">
        <v>0</v>
      </c>
      <c r="AP128" s="16">
        <v>0</v>
      </c>
      <c r="AQ128" s="16">
        <v>0</v>
      </c>
      <c r="AR128" s="16">
        <v>15367</v>
      </c>
      <c r="AS128" s="16">
        <v>83800</v>
      </c>
      <c r="AT128" s="16">
        <v>0</v>
      </c>
      <c r="AU128" s="16">
        <v>0</v>
      </c>
      <c r="AV128" s="16">
        <v>0</v>
      </c>
      <c r="AW128" s="16">
        <v>0</v>
      </c>
      <c r="AX128" s="16">
        <v>0</v>
      </c>
      <c r="AY128" s="16">
        <v>0</v>
      </c>
      <c r="AZ128" s="16">
        <v>1582236</v>
      </c>
      <c r="BA128" s="16">
        <f>SUM(BB128+BF128+BI128+BK128+BM128)</f>
        <v>0</v>
      </c>
      <c r="BB128" s="16">
        <f>SUM(BC128:BE128)</f>
        <v>0</v>
      </c>
      <c r="BC128" s="16">
        <v>0</v>
      </c>
      <c r="BD128" s="16">
        <v>0</v>
      </c>
      <c r="BE128" s="16">
        <v>0</v>
      </c>
      <c r="BF128" s="16">
        <f t="shared" si="73"/>
        <v>0</v>
      </c>
      <c r="BG128" s="16">
        <v>0</v>
      </c>
      <c r="BH128" s="16">
        <v>0</v>
      </c>
      <c r="BI128" s="16">
        <v>0</v>
      </c>
      <c r="BJ128" s="16">
        <v>0</v>
      </c>
      <c r="BK128" s="16">
        <f t="shared" si="74"/>
        <v>0</v>
      </c>
      <c r="BL128" s="16">
        <v>0</v>
      </c>
      <c r="BM128" s="16">
        <f t="shared" si="75"/>
        <v>0</v>
      </c>
      <c r="BN128" s="16">
        <v>0</v>
      </c>
      <c r="BO128" s="16">
        <v>0</v>
      </c>
      <c r="BP128" s="16">
        <v>0</v>
      </c>
      <c r="BQ128" s="16">
        <v>0</v>
      </c>
      <c r="BR128" s="16">
        <v>0</v>
      </c>
      <c r="BS128" s="16">
        <v>0</v>
      </c>
      <c r="BT128" s="16">
        <v>0</v>
      </c>
      <c r="BU128" s="16">
        <v>0</v>
      </c>
      <c r="BV128" s="16">
        <v>0</v>
      </c>
      <c r="BW128" s="16">
        <v>0</v>
      </c>
      <c r="BX128" s="16">
        <v>0</v>
      </c>
      <c r="BY128" s="16">
        <f>SUM(BZ128+CS128)</f>
        <v>1499747</v>
      </c>
      <c r="BZ128" s="16">
        <f>SUM(CA128+CD128+CK128)</f>
        <v>1499747</v>
      </c>
      <c r="CA128" s="16">
        <f t="shared" si="76"/>
        <v>1499747</v>
      </c>
      <c r="CB128" s="16">
        <v>0</v>
      </c>
      <c r="CC128" s="16">
        <f>89747+1410000</f>
        <v>1499747</v>
      </c>
      <c r="CD128" s="16">
        <f t="shared" si="77"/>
        <v>0</v>
      </c>
      <c r="CE128" s="16">
        <v>0</v>
      </c>
      <c r="CF128" s="16">
        <v>0</v>
      </c>
      <c r="CG128" s="16">
        <v>0</v>
      </c>
      <c r="CH128" s="16">
        <v>0</v>
      </c>
      <c r="CI128" s="16">
        <v>0</v>
      </c>
      <c r="CJ128" s="16">
        <v>0</v>
      </c>
      <c r="CK128" s="16">
        <f t="shared" si="78"/>
        <v>0</v>
      </c>
      <c r="CL128" s="16">
        <v>0</v>
      </c>
      <c r="CM128" s="16">
        <v>0</v>
      </c>
      <c r="CN128" s="16">
        <v>0</v>
      </c>
      <c r="CO128" s="16">
        <v>0</v>
      </c>
      <c r="CP128" s="16">
        <v>0</v>
      </c>
      <c r="CQ128" s="16">
        <v>0</v>
      </c>
      <c r="CR128" s="16">
        <v>0</v>
      </c>
      <c r="CS128" s="16">
        <v>0</v>
      </c>
      <c r="CT128" s="16">
        <f t="shared" si="79"/>
        <v>0</v>
      </c>
      <c r="CU128" s="16">
        <f t="shared" si="80"/>
        <v>0</v>
      </c>
      <c r="CV128" s="16">
        <v>0</v>
      </c>
      <c r="CW128" s="17">
        <v>0</v>
      </c>
      <c r="CX128" s="40"/>
    </row>
    <row r="129" spans="1:102" ht="15.75" hidden="1" x14ac:dyDescent="0.25">
      <c r="A129" s="13" t="s">
        <v>111</v>
      </c>
      <c r="B129" s="14" t="s">
        <v>50</v>
      </c>
      <c r="C129" s="14" t="s">
        <v>1</v>
      </c>
      <c r="D129" s="30" t="s">
        <v>157</v>
      </c>
      <c r="E129" s="15">
        <f t="shared" ref="E129:AJ129" si="146">SUM(E130:E132)</f>
        <v>116726446</v>
      </c>
      <c r="F129" s="16">
        <f t="shared" si="146"/>
        <v>116096301</v>
      </c>
      <c r="G129" s="16">
        <f t="shared" si="146"/>
        <v>102736702</v>
      </c>
      <c r="H129" s="16">
        <f t="shared" si="146"/>
        <v>78527280</v>
      </c>
      <c r="I129" s="16">
        <f t="shared" si="146"/>
        <v>18412631</v>
      </c>
      <c r="J129" s="16">
        <f t="shared" si="146"/>
        <v>743978</v>
      </c>
      <c r="K129" s="16">
        <f t="shared" si="146"/>
        <v>0</v>
      </c>
      <c r="L129" s="16">
        <f t="shared" si="146"/>
        <v>25323</v>
      </c>
      <c r="M129" s="16">
        <f t="shared" si="146"/>
        <v>292880</v>
      </c>
      <c r="N129" s="16">
        <f t="shared" si="146"/>
        <v>0</v>
      </c>
      <c r="O129" s="16">
        <f t="shared" si="146"/>
        <v>376974</v>
      </c>
      <c r="P129" s="16">
        <f t="shared" si="146"/>
        <v>48801</v>
      </c>
      <c r="Q129" s="16">
        <f t="shared" si="146"/>
        <v>18453</v>
      </c>
      <c r="R129" s="16">
        <f t="shared" si="146"/>
        <v>18453</v>
      </c>
      <c r="S129" s="16">
        <f t="shared" si="146"/>
        <v>0</v>
      </c>
      <c r="T129" s="16">
        <f t="shared" si="146"/>
        <v>0</v>
      </c>
      <c r="U129" s="16">
        <f t="shared" si="146"/>
        <v>324739</v>
      </c>
      <c r="V129" s="16">
        <f t="shared" si="146"/>
        <v>2315093</v>
      </c>
      <c r="W129" s="16">
        <f t="shared" si="146"/>
        <v>1142511</v>
      </c>
      <c r="X129" s="16">
        <f t="shared" si="146"/>
        <v>640056</v>
      </c>
      <c r="Y129" s="16">
        <f t="shared" si="146"/>
        <v>220347</v>
      </c>
      <c r="Z129" s="16">
        <f t="shared" si="146"/>
        <v>100413</v>
      </c>
      <c r="AA129" s="16">
        <f t="shared" si="146"/>
        <v>136920</v>
      </c>
      <c r="AB129" s="16">
        <f t="shared" si="146"/>
        <v>74697</v>
      </c>
      <c r="AC129" s="16">
        <f t="shared" si="146"/>
        <v>0</v>
      </c>
      <c r="AD129" s="16">
        <f t="shared" ref="AD129" si="147">SUM(AD130:AD132)</f>
        <v>149</v>
      </c>
      <c r="AE129" s="16">
        <f t="shared" si="146"/>
        <v>2394528</v>
      </c>
      <c r="AF129" s="16">
        <f t="shared" si="146"/>
        <v>0</v>
      </c>
      <c r="AG129" s="16">
        <f t="shared" si="146"/>
        <v>14500</v>
      </c>
      <c r="AH129" s="16">
        <f t="shared" si="146"/>
        <v>259042</v>
      </c>
      <c r="AI129" s="16">
        <f t="shared" si="146"/>
        <v>601157</v>
      </c>
      <c r="AJ129" s="16">
        <f t="shared" si="146"/>
        <v>125728</v>
      </c>
      <c r="AK129" s="16">
        <f t="shared" ref="AK129:CV129" si="148">SUM(AK130:AK132)</f>
        <v>0</v>
      </c>
      <c r="AL129" s="16">
        <f t="shared" si="148"/>
        <v>840192</v>
      </c>
      <c r="AM129" s="16">
        <f t="shared" si="148"/>
        <v>473177</v>
      </c>
      <c r="AN129" s="16">
        <f t="shared" si="148"/>
        <v>0</v>
      </c>
      <c r="AO129" s="16">
        <f t="shared" si="148"/>
        <v>17292</v>
      </c>
      <c r="AP129" s="16">
        <f>SUM(AP130:AP132)</f>
        <v>0</v>
      </c>
      <c r="AQ129" s="16">
        <f t="shared" si="148"/>
        <v>0</v>
      </c>
      <c r="AR129" s="16">
        <f t="shared" si="148"/>
        <v>0</v>
      </c>
      <c r="AS129" s="16">
        <f t="shared" si="148"/>
        <v>39852</v>
      </c>
      <c r="AT129" s="16">
        <f t="shared" si="148"/>
        <v>0</v>
      </c>
      <c r="AU129" s="16">
        <f t="shared" si="148"/>
        <v>0</v>
      </c>
      <c r="AV129" s="16">
        <f t="shared" si="148"/>
        <v>0</v>
      </c>
      <c r="AW129" s="16">
        <f t="shared" si="148"/>
        <v>0</v>
      </c>
      <c r="AX129" s="16">
        <f t="shared" si="148"/>
        <v>0</v>
      </c>
      <c r="AY129" s="16">
        <f t="shared" si="148"/>
        <v>0</v>
      </c>
      <c r="AZ129" s="16">
        <f t="shared" si="148"/>
        <v>23588</v>
      </c>
      <c r="BA129" s="16">
        <f t="shared" si="148"/>
        <v>13359599</v>
      </c>
      <c r="BB129" s="16">
        <f t="shared" si="148"/>
        <v>0</v>
      </c>
      <c r="BC129" s="16">
        <f t="shared" si="148"/>
        <v>0</v>
      </c>
      <c r="BD129" s="16">
        <f t="shared" si="148"/>
        <v>0</v>
      </c>
      <c r="BE129" s="16">
        <f t="shared" si="148"/>
        <v>0</v>
      </c>
      <c r="BF129" s="16">
        <f t="shared" si="148"/>
        <v>0</v>
      </c>
      <c r="BG129" s="16">
        <f t="shared" si="148"/>
        <v>0</v>
      </c>
      <c r="BH129" s="16">
        <f t="shared" si="148"/>
        <v>0</v>
      </c>
      <c r="BI129" s="16">
        <f t="shared" si="148"/>
        <v>0</v>
      </c>
      <c r="BJ129" s="16">
        <f t="shared" si="148"/>
        <v>0</v>
      </c>
      <c r="BK129" s="16">
        <f t="shared" si="148"/>
        <v>0</v>
      </c>
      <c r="BL129" s="16">
        <f t="shared" si="148"/>
        <v>0</v>
      </c>
      <c r="BM129" s="16">
        <f t="shared" si="148"/>
        <v>13359599</v>
      </c>
      <c r="BN129" s="16">
        <f t="shared" si="148"/>
        <v>0</v>
      </c>
      <c r="BO129" s="16">
        <f t="shared" si="148"/>
        <v>0</v>
      </c>
      <c r="BP129" s="16">
        <f t="shared" si="148"/>
        <v>8153503</v>
      </c>
      <c r="BQ129" s="16">
        <f t="shared" si="148"/>
        <v>0</v>
      </c>
      <c r="BR129" s="16">
        <f t="shared" si="148"/>
        <v>0</v>
      </c>
      <c r="BS129" s="16">
        <f t="shared" si="148"/>
        <v>0</v>
      </c>
      <c r="BT129" s="16">
        <f t="shared" si="148"/>
        <v>0</v>
      </c>
      <c r="BU129" s="16">
        <f t="shared" si="148"/>
        <v>0</v>
      </c>
      <c r="BV129" s="16">
        <f t="shared" si="148"/>
        <v>0</v>
      </c>
      <c r="BW129" s="16">
        <f t="shared" si="148"/>
        <v>4453147</v>
      </c>
      <c r="BX129" s="16">
        <f t="shared" si="148"/>
        <v>752949</v>
      </c>
      <c r="BY129" s="16">
        <f t="shared" si="148"/>
        <v>630145</v>
      </c>
      <c r="BZ129" s="16">
        <f t="shared" si="148"/>
        <v>630145</v>
      </c>
      <c r="CA129" s="16">
        <f t="shared" si="148"/>
        <v>630145</v>
      </c>
      <c r="CB129" s="16">
        <f t="shared" si="148"/>
        <v>0</v>
      </c>
      <c r="CC129" s="16">
        <f t="shared" si="148"/>
        <v>630145</v>
      </c>
      <c r="CD129" s="16">
        <f t="shared" si="148"/>
        <v>0</v>
      </c>
      <c r="CE129" s="16">
        <f t="shared" si="148"/>
        <v>0</v>
      </c>
      <c r="CF129" s="16">
        <f t="shared" si="148"/>
        <v>0</v>
      </c>
      <c r="CG129" s="16">
        <f t="shared" si="148"/>
        <v>0</v>
      </c>
      <c r="CH129" s="16">
        <f t="shared" si="148"/>
        <v>0</v>
      </c>
      <c r="CI129" s="16">
        <f t="shared" si="148"/>
        <v>0</v>
      </c>
      <c r="CJ129" s="16">
        <f t="shared" si="148"/>
        <v>0</v>
      </c>
      <c r="CK129" s="16">
        <f t="shared" si="148"/>
        <v>0</v>
      </c>
      <c r="CL129" s="16">
        <f t="shared" si="148"/>
        <v>0</v>
      </c>
      <c r="CM129" s="16">
        <f t="shared" si="148"/>
        <v>0</v>
      </c>
      <c r="CN129" s="16">
        <f t="shared" si="148"/>
        <v>0</v>
      </c>
      <c r="CO129" s="16">
        <f t="shared" si="148"/>
        <v>0</v>
      </c>
      <c r="CP129" s="16">
        <f t="shared" si="148"/>
        <v>0</v>
      </c>
      <c r="CQ129" s="16">
        <f t="shared" si="148"/>
        <v>0</v>
      </c>
      <c r="CR129" s="16">
        <f t="shared" si="148"/>
        <v>0</v>
      </c>
      <c r="CS129" s="16">
        <f t="shared" si="148"/>
        <v>0</v>
      </c>
      <c r="CT129" s="16">
        <f t="shared" si="148"/>
        <v>0</v>
      </c>
      <c r="CU129" s="16">
        <f t="shared" si="148"/>
        <v>0</v>
      </c>
      <c r="CV129" s="16">
        <f t="shared" si="148"/>
        <v>0</v>
      </c>
      <c r="CW129" s="17">
        <f t="shared" ref="CW129" si="149">SUM(CW130:CW132)</f>
        <v>0</v>
      </c>
      <c r="CX129" s="40"/>
    </row>
    <row r="130" spans="1:102" ht="15.75" hidden="1" x14ac:dyDescent="0.25">
      <c r="A130" s="13" t="s">
        <v>1</v>
      </c>
      <c r="B130" s="14" t="s">
        <v>1</v>
      </c>
      <c r="C130" s="14" t="s">
        <v>23</v>
      </c>
      <c r="D130" s="30" t="s">
        <v>158</v>
      </c>
      <c r="E130" s="15">
        <f>SUM(F130+BY130+CT130)</f>
        <v>187986</v>
      </c>
      <c r="F130" s="16">
        <f>SUM(G130+BA130)</f>
        <v>187986</v>
      </c>
      <c r="G130" s="16">
        <f>SUM(H130+I130+J130+Q130+T130+U130+V130+AE130)</f>
        <v>0</v>
      </c>
      <c r="H130" s="16">
        <v>0</v>
      </c>
      <c r="I130" s="16">
        <v>0</v>
      </c>
      <c r="J130" s="16">
        <f t="shared" si="71"/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f t="shared" si="72"/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f>SUM(W130:AD130)</f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f>SUM(AF130:AZ130)</f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0</v>
      </c>
      <c r="AV130" s="16">
        <v>0</v>
      </c>
      <c r="AW130" s="16">
        <v>0</v>
      </c>
      <c r="AX130" s="16">
        <v>0</v>
      </c>
      <c r="AY130" s="16">
        <v>0</v>
      </c>
      <c r="AZ130" s="16">
        <v>0</v>
      </c>
      <c r="BA130" s="16">
        <f>SUM(BB130+BF130+BI130+BK130+BM130)</f>
        <v>187986</v>
      </c>
      <c r="BB130" s="16">
        <f>SUM(BC130:BE130)</f>
        <v>0</v>
      </c>
      <c r="BC130" s="16">
        <v>0</v>
      </c>
      <c r="BD130" s="16">
        <v>0</v>
      </c>
      <c r="BE130" s="16">
        <v>0</v>
      </c>
      <c r="BF130" s="16">
        <f t="shared" si="73"/>
        <v>0</v>
      </c>
      <c r="BG130" s="16">
        <v>0</v>
      </c>
      <c r="BH130" s="16">
        <v>0</v>
      </c>
      <c r="BI130" s="16">
        <v>0</v>
      </c>
      <c r="BJ130" s="16">
        <v>0</v>
      </c>
      <c r="BK130" s="16">
        <f t="shared" si="74"/>
        <v>0</v>
      </c>
      <c r="BL130" s="16">
        <v>0</v>
      </c>
      <c r="BM130" s="16">
        <f t="shared" si="75"/>
        <v>187986</v>
      </c>
      <c r="BN130" s="16">
        <v>0</v>
      </c>
      <c r="BO130" s="16">
        <v>0</v>
      </c>
      <c r="BP130" s="16">
        <v>187986</v>
      </c>
      <c r="BQ130" s="16">
        <v>0</v>
      </c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  <c r="BW130" s="16">
        <v>0</v>
      </c>
      <c r="BX130" s="16">
        <v>0</v>
      </c>
      <c r="BY130" s="16">
        <f>SUM(BZ130+CS130)</f>
        <v>0</v>
      </c>
      <c r="BZ130" s="16">
        <f>SUM(CA130+CD130+CK130)</f>
        <v>0</v>
      </c>
      <c r="CA130" s="16">
        <f t="shared" si="76"/>
        <v>0</v>
      </c>
      <c r="CB130" s="16">
        <v>0</v>
      </c>
      <c r="CC130" s="16">
        <v>0</v>
      </c>
      <c r="CD130" s="16">
        <f t="shared" si="77"/>
        <v>0</v>
      </c>
      <c r="CE130" s="16">
        <v>0</v>
      </c>
      <c r="CF130" s="16">
        <v>0</v>
      </c>
      <c r="CG130" s="16">
        <v>0</v>
      </c>
      <c r="CH130" s="16">
        <v>0</v>
      </c>
      <c r="CI130" s="16">
        <v>0</v>
      </c>
      <c r="CJ130" s="16">
        <v>0</v>
      </c>
      <c r="CK130" s="16">
        <f t="shared" si="78"/>
        <v>0</v>
      </c>
      <c r="CL130" s="16">
        <v>0</v>
      </c>
      <c r="CM130" s="16">
        <v>0</v>
      </c>
      <c r="CN130" s="16">
        <v>0</v>
      </c>
      <c r="CO130" s="16">
        <v>0</v>
      </c>
      <c r="CP130" s="16">
        <v>0</v>
      </c>
      <c r="CQ130" s="16">
        <v>0</v>
      </c>
      <c r="CR130" s="16">
        <v>0</v>
      </c>
      <c r="CS130" s="16">
        <v>0</v>
      </c>
      <c r="CT130" s="16">
        <f t="shared" si="79"/>
        <v>0</v>
      </c>
      <c r="CU130" s="16">
        <f t="shared" si="80"/>
        <v>0</v>
      </c>
      <c r="CV130" s="16">
        <v>0</v>
      </c>
      <c r="CW130" s="17">
        <v>0</v>
      </c>
      <c r="CX130" s="40"/>
    </row>
    <row r="131" spans="1:102" ht="15.75" hidden="1" x14ac:dyDescent="0.25">
      <c r="A131" s="13" t="s">
        <v>1</v>
      </c>
      <c r="B131" s="14" t="s">
        <v>1</v>
      </c>
      <c r="C131" s="14" t="s">
        <v>122</v>
      </c>
      <c r="D131" s="30" t="s">
        <v>159</v>
      </c>
      <c r="E131" s="15">
        <f>SUM(F131+BY131+CT131)</f>
        <v>102809728</v>
      </c>
      <c r="F131" s="16">
        <f>SUM(G131+BA131)</f>
        <v>102404064</v>
      </c>
      <c r="G131" s="16">
        <f>SUM(H131+I131+J131+Q131+T131+U131+V131+AE131)</f>
        <v>90147251</v>
      </c>
      <c r="H131" s="16">
        <f>69377949-581106</f>
        <v>68796843</v>
      </c>
      <c r="I131" s="16">
        <f>16177313-97680</f>
        <v>16079633</v>
      </c>
      <c r="J131" s="16">
        <f t="shared" si="71"/>
        <v>641825</v>
      </c>
      <c r="K131" s="16">
        <v>0</v>
      </c>
      <c r="L131" s="16">
        <v>22736</v>
      </c>
      <c r="M131" s="16">
        <f>318932-26052</f>
        <v>292880</v>
      </c>
      <c r="N131" s="16">
        <v>0</v>
      </c>
      <c r="O131" s="16">
        <v>306528</v>
      </c>
      <c r="P131" s="16">
        <v>19681</v>
      </c>
      <c r="Q131" s="16">
        <f t="shared" si="72"/>
        <v>18453</v>
      </c>
      <c r="R131" s="16">
        <f>20086-1633</f>
        <v>18453</v>
      </c>
      <c r="S131" s="16">
        <v>0</v>
      </c>
      <c r="T131" s="16">
        <v>0</v>
      </c>
      <c r="U131" s="16">
        <v>285497</v>
      </c>
      <c r="V131" s="16">
        <f>SUM(W131:AD131)</f>
        <v>2209799</v>
      </c>
      <c r="W131" s="16">
        <v>1138547</v>
      </c>
      <c r="X131" s="16">
        <v>566845</v>
      </c>
      <c r="Y131" s="16">
        <v>204352</v>
      </c>
      <c r="Z131" s="16">
        <v>95529</v>
      </c>
      <c r="AA131" s="16">
        <v>129680</v>
      </c>
      <c r="AB131" s="16">
        <v>74697</v>
      </c>
      <c r="AC131" s="16">
        <v>0</v>
      </c>
      <c r="AD131" s="16">
        <v>149</v>
      </c>
      <c r="AE131" s="16">
        <f>SUM(AF131:AZ131)</f>
        <v>2115201</v>
      </c>
      <c r="AF131" s="16">
        <v>0</v>
      </c>
      <c r="AG131" s="16">
        <v>0</v>
      </c>
      <c r="AH131" s="16">
        <v>204325</v>
      </c>
      <c r="AI131" s="16">
        <v>573358</v>
      </c>
      <c r="AJ131" s="16">
        <v>115817</v>
      </c>
      <c r="AK131" s="16">
        <v>0</v>
      </c>
      <c r="AL131" s="16">
        <v>727952</v>
      </c>
      <c r="AM131" s="16">
        <v>468977</v>
      </c>
      <c r="AN131" s="16">
        <v>0</v>
      </c>
      <c r="AO131" s="16">
        <v>17292</v>
      </c>
      <c r="AP131" s="16"/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/>
      <c r="AZ131" s="16">
        <v>7480</v>
      </c>
      <c r="BA131" s="16">
        <f>SUM(BB131+BF131+BI131+BK131+BM131)</f>
        <v>12256813</v>
      </c>
      <c r="BB131" s="16">
        <f>SUM(BC131:BE131)</f>
        <v>0</v>
      </c>
      <c r="BC131" s="16">
        <v>0</v>
      </c>
      <c r="BD131" s="16">
        <v>0</v>
      </c>
      <c r="BE131" s="16">
        <v>0</v>
      </c>
      <c r="BF131" s="16">
        <f t="shared" si="73"/>
        <v>0</v>
      </c>
      <c r="BG131" s="16">
        <v>0</v>
      </c>
      <c r="BH131" s="16">
        <v>0</v>
      </c>
      <c r="BI131" s="16">
        <v>0</v>
      </c>
      <c r="BJ131" s="16">
        <v>0</v>
      </c>
      <c r="BK131" s="16">
        <f t="shared" si="74"/>
        <v>0</v>
      </c>
      <c r="BL131" s="16">
        <v>0</v>
      </c>
      <c r="BM131" s="16">
        <f t="shared" si="75"/>
        <v>12256813</v>
      </c>
      <c r="BN131" s="16">
        <v>0</v>
      </c>
      <c r="BO131" s="16">
        <v>0</v>
      </c>
      <c r="BP131" s="16">
        <f>7680014-363194</f>
        <v>7316820</v>
      </c>
      <c r="BQ131" s="16">
        <v>0</v>
      </c>
      <c r="BR131" s="16">
        <v>0</v>
      </c>
      <c r="BS131" s="16">
        <v>0</v>
      </c>
      <c r="BT131" s="16">
        <v>0</v>
      </c>
      <c r="BU131" s="16">
        <v>0</v>
      </c>
      <c r="BV131" s="16">
        <v>0</v>
      </c>
      <c r="BW131" s="16">
        <v>4187044</v>
      </c>
      <c r="BX131" s="16">
        <v>752949</v>
      </c>
      <c r="BY131" s="16">
        <f>SUM(BZ131+CS131)</f>
        <v>405664</v>
      </c>
      <c r="BZ131" s="16">
        <f>SUM(CA131+CD131+CK131)</f>
        <v>405664</v>
      </c>
      <c r="CA131" s="16">
        <f t="shared" si="76"/>
        <v>405664</v>
      </c>
      <c r="CB131" s="16">
        <v>0</v>
      </c>
      <c r="CC131" s="16">
        <v>405664</v>
      </c>
      <c r="CD131" s="16">
        <f t="shared" si="77"/>
        <v>0</v>
      </c>
      <c r="CE131" s="16">
        <v>0</v>
      </c>
      <c r="CF131" s="16">
        <v>0</v>
      </c>
      <c r="CG131" s="16">
        <v>0</v>
      </c>
      <c r="CH131" s="16">
        <v>0</v>
      </c>
      <c r="CI131" s="16">
        <v>0</v>
      </c>
      <c r="CJ131" s="16">
        <v>0</v>
      </c>
      <c r="CK131" s="16">
        <f t="shared" si="78"/>
        <v>0</v>
      </c>
      <c r="CL131" s="16">
        <v>0</v>
      </c>
      <c r="CM131" s="16">
        <v>0</v>
      </c>
      <c r="CN131" s="16">
        <v>0</v>
      </c>
      <c r="CO131" s="16">
        <v>0</v>
      </c>
      <c r="CP131" s="16">
        <v>0</v>
      </c>
      <c r="CQ131" s="16"/>
      <c r="CR131" s="16"/>
      <c r="CS131" s="16">
        <v>0</v>
      </c>
      <c r="CT131" s="16">
        <f t="shared" si="79"/>
        <v>0</v>
      </c>
      <c r="CU131" s="16">
        <f t="shared" si="80"/>
        <v>0</v>
      </c>
      <c r="CV131" s="16">
        <v>0</v>
      </c>
      <c r="CW131" s="17">
        <v>0</v>
      </c>
      <c r="CX131" s="40"/>
    </row>
    <row r="132" spans="1:102" ht="15.75" hidden="1" x14ac:dyDescent="0.25">
      <c r="A132" s="13" t="s">
        <v>1</v>
      </c>
      <c r="B132" s="14" t="s">
        <v>1</v>
      </c>
      <c r="C132" s="14" t="s">
        <v>33</v>
      </c>
      <c r="D132" s="30" t="s">
        <v>160</v>
      </c>
      <c r="E132" s="15">
        <f>SUM(F132+BY132+CT132)</f>
        <v>13728732</v>
      </c>
      <c r="F132" s="16">
        <f>SUM(G132+BA132)</f>
        <v>13504251</v>
      </c>
      <c r="G132" s="16">
        <f>SUM(H132+I132+J132+Q132+T132+U132+V132+AE132)</f>
        <v>12589451</v>
      </c>
      <c r="H132" s="16">
        <f>10079084-20028-328619</f>
        <v>9730437</v>
      </c>
      <c r="I132" s="16">
        <f>2375325-5007-37320</f>
        <v>2332998</v>
      </c>
      <c r="J132" s="16">
        <f t="shared" si="71"/>
        <v>102153</v>
      </c>
      <c r="K132" s="16">
        <v>0</v>
      </c>
      <c r="L132" s="16">
        <v>2587</v>
      </c>
      <c r="M132" s="16">
        <v>0</v>
      </c>
      <c r="N132" s="16">
        <v>0</v>
      </c>
      <c r="O132" s="16">
        <f>72022-1576</f>
        <v>70446</v>
      </c>
      <c r="P132" s="16">
        <f>32000-2880</f>
        <v>29120</v>
      </c>
      <c r="Q132" s="16">
        <f t="shared" si="72"/>
        <v>0</v>
      </c>
      <c r="R132" s="16">
        <v>0</v>
      </c>
      <c r="S132" s="16">
        <v>0</v>
      </c>
      <c r="T132" s="16">
        <v>0</v>
      </c>
      <c r="U132" s="16">
        <v>39242</v>
      </c>
      <c r="V132" s="16">
        <f>SUM(W132:AD132)</f>
        <v>105294</v>
      </c>
      <c r="W132" s="16">
        <v>3964</v>
      </c>
      <c r="X132" s="16">
        <f>73512-301</f>
        <v>73211</v>
      </c>
      <c r="Y132" s="16">
        <v>15995</v>
      </c>
      <c r="Z132" s="16">
        <v>4884</v>
      </c>
      <c r="AA132" s="16">
        <v>7240</v>
      </c>
      <c r="AB132" s="16">
        <v>0</v>
      </c>
      <c r="AC132" s="16">
        <v>0</v>
      </c>
      <c r="AD132" s="16">
        <v>0</v>
      </c>
      <c r="AE132" s="16">
        <f>SUM(AF132:AZ132)</f>
        <v>279327</v>
      </c>
      <c r="AF132" s="16">
        <v>0</v>
      </c>
      <c r="AG132" s="16">
        <v>14500</v>
      </c>
      <c r="AH132" s="16">
        <v>54717</v>
      </c>
      <c r="AI132" s="16">
        <v>27799</v>
      </c>
      <c r="AJ132" s="16">
        <v>9911</v>
      </c>
      <c r="AK132" s="16">
        <v>0</v>
      </c>
      <c r="AL132" s="16">
        <v>112240</v>
      </c>
      <c r="AM132" s="16">
        <v>4200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f>39852</f>
        <v>39852</v>
      </c>
      <c r="AT132" s="16">
        <f>0</f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16108</v>
      </c>
      <c r="BA132" s="16">
        <f>SUM(BB132+BF132+BI132+BK132+BM132)</f>
        <v>914800</v>
      </c>
      <c r="BB132" s="16">
        <f>SUM(BC132:BE132)</f>
        <v>0</v>
      </c>
      <c r="BC132" s="16">
        <v>0</v>
      </c>
      <c r="BD132" s="16">
        <v>0</v>
      </c>
      <c r="BE132" s="16">
        <v>0</v>
      </c>
      <c r="BF132" s="16">
        <f t="shared" si="73"/>
        <v>0</v>
      </c>
      <c r="BG132" s="16">
        <v>0</v>
      </c>
      <c r="BH132" s="16">
        <v>0</v>
      </c>
      <c r="BI132" s="16">
        <v>0</v>
      </c>
      <c r="BJ132" s="16">
        <v>0</v>
      </c>
      <c r="BK132" s="16">
        <f t="shared" si="74"/>
        <v>0</v>
      </c>
      <c r="BL132" s="16">
        <v>0</v>
      </c>
      <c r="BM132" s="16">
        <f t="shared" si="75"/>
        <v>914800</v>
      </c>
      <c r="BN132" s="16">
        <v>0</v>
      </c>
      <c r="BO132" s="16">
        <v>0</v>
      </c>
      <c r="BP132" s="16">
        <v>648697</v>
      </c>
      <c r="BQ132" s="16">
        <v>0</v>
      </c>
      <c r="BR132" s="16">
        <v>0</v>
      </c>
      <c r="BS132" s="16">
        <v>0</v>
      </c>
      <c r="BT132" s="16">
        <v>0</v>
      </c>
      <c r="BU132" s="16">
        <v>0</v>
      </c>
      <c r="BV132" s="16">
        <v>0</v>
      </c>
      <c r="BW132" s="16">
        <v>266103</v>
      </c>
      <c r="BX132" s="16">
        <v>0</v>
      </c>
      <c r="BY132" s="16">
        <f>SUM(BZ132+CS132)</f>
        <v>224481</v>
      </c>
      <c r="BZ132" s="16">
        <f>SUM(CA132+CD132+CK132)</f>
        <v>224481</v>
      </c>
      <c r="CA132" s="16">
        <f t="shared" si="76"/>
        <v>224481</v>
      </c>
      <c r="CB132" s="16">
        <v>0</v>
      </c>
      <c r="CC132" s="16">
        <v>224481</v>
      </c>
      <c r="CD132" s="16">
        <f t="shared" si="77"/>
        <v>0</v>
      </c>
      <c r="CE132" s="16">
        <v>0</v>
      </c>
      <c r="CF132" s="16">
        <v>0</v>
      </c>
      <c r="CG132" s="16">
        <v>0</v>
      </c>
      <c r="CH132" s="16">
        <v>0</v>
      </c>
      <c r="CI132" s="16">
        <v>0</v>
      </c>
      <c r="CJ132" s="16">
        <v>0</v>
      </c>
      <c r="CK132" s="16">
        <f t="shared" si="78"/>
        <v>0</v>
      </c>
      <c r="CL132" s="16">
        <v>0</v>
      </c>
      <c r="CM132" s="16">
        <v>0</v>
      </c>
      <c r="CN132" s="16">
        <v>0</v>
      </c>
      <c r="CO132" s="16">
        <v>0</v>
      </c>
      <c r="CP132" s="16">
        <v>0</v>
      </c>
      <c r="CQ132" s="16">
        <v>0</v>
      </c>
      <c r="CR132" s="16">
        <v>0</v>
      </c>
      <c r="CS132" s="16">
        <v>0</v>
      </c>
      <c r="CT132" s="16">
        <f t="shared" si="79"/>
        <v>0</v>
      </c>
      <c r="CU132" s="16">
        <f t="shared" si="80"/>
        <v>0</v>
      </c>
      <c r="CV132" s="16">
        <v>0</v>
      </c>
      <c r="CW132" s="17">
        <v>0</v>
      </c>
      <c r="CX132" s="40"/>
    </row>
    <row r="133" spans="1:102" ht="31.5" hidden="1" x14ac:dyDescent="0.25">
      <c r="A133" s="13" t="s">
        <v>111</v>
      </c>
      <c r="B133" s="14" t="s">
        <v>100</v>
      </c>
      <c r="C133" s="14" t="s">
        <v>1</v>
      </c>
      <c r="D133" s="30" t="s">
        <v>161</v>
      </c>
      <c r="E133" s="15">
        <f>SUM(E134)</f>
        <v>3471060</v>
      </c>
      <c r="F133" s="16">
        <f t="shared" ref="F133:BS133" si="150">SUM(F134)</f>
        <v>3417083</v>
      </c>
      <c r="G133" s="16">
        <f t="shared" si="150"/>
        <v>3417083</v>
      </c>
      <c r="H133" s="16">
        <f t="shared" si="150"/>
        <v>2698873</v>
      </c>
      <c r="I133" s="16">
        <f t="shared" si="150"/>
        <v>603681</v>
      </c>
      <c r="J133" s="16">
        <f t="shared" si="150"/>
        <v>17933</v>
      </c>
      <c r="K133" s="16">
        <f t="shared" si="150"/>
        <v>0</v>
      </c>
      <c r="L133" s="16">
        <f t="shared" si="150"/>
        <v>0</v>
      </c>
      <c r="M133" s="16">
        <f t="shared" si="150"/>
        <v>0</v>
      </c>
      <c r="N133" s="16">
        <f t="shared" si="150"/>
        <v>0</v>
      </c>
      <c r="O133" s="16">
        <f t="shared" si="150"/>
        <v>13684</v>
      </c>
      <c r="P133" s="16">
        <f t="shared" si="150"/>
        <v>4249</v>
      </c>
      <c r="Q133" s="16">
        <f t="shared" si="150"/>
        <v>400</v>
      </c>
      <c r="R133" s="16">
        <f t="shared" si="150"/>
        <v>400</v>
      </c>
      <c r="S133" s="16">
        <f t="shared" si="150"/>
        <v>0</v>
      </c>
      <c r="T133" s="16">
        <f t="shared" si="150"/>
        <v>0</v>
      </c>
      <c r="U133" s="16">
        <f t="shared" si="150"/>
        <v>28743</v>
      </c>
      <c r="V133" s="16">
        <f t="shared" si="150"/>
        <v>28443</v>
      </c>
      <c r="W133" s="16">
        <f t="shared" si="150"/>
        <v>0</v>
      </c>
      <c r="X133" s="16">
        <f t="shared" si="150"/>
        <v>20941</v>
      </c>
      <c r="Y133" s="16">
        <f t="shared" si="150"/>
        <v>3685</v>
      </c>
      <c r="Z133" s="16">
        <f t="shared" si="150"/>
        <v>2312</v>
      </c>
      <c r="AA133" s="16">
        <f t="shared" si="150"/>
        <v>1505</v>
      </c>
      <c r="AB133" s="16">
        <f t="shared" si="150"/>
        <v>0</v>
      </c>
      <c r="AC133" s="16">
        <f t="shared" si="150"/>
        <v>0</v>
      </c>
      <c r="AD133" s="16">
        <f t="shared" si="150"/>
        <v>0</v>
      </c>
      <c r="AE133" s="16">
        <f t="shared" si="150"/>
        <v>39010</v>
      </c>
      <c r="AF133" s="16">
        <f t="shared" si="150"/>
        <v>0</v>
      </c>
      <c r="AG133" s="16">
        <f t="shared" si="150"/>
        <v>0</v>
      </c>
      <c r="AH133" s="16">
        <f t="shared" si="150"/>
        <v>10430</v>
      </c>
      <c r="AI133" s="16">
        <f t="shared" si="150"/>
        <v>0</v>
      </c>
      <c r="AJ133" s="16">
        <f t="shared" si="150"/>
        <v>1591</v>
      </c>
      <c r="AK133" s="16">
        <f t="shared" si="150"/>
        <v>0</v>
      </c>
      <c r="AL133" s="16">
        <f t="shared" si="150"/>
        <v>26989</v>
      </c>
      <c r="AM133" s="16">
        <f t="shared" si="150"/>
        <v>0</v>
      </c>
      <c r="AN133" s="16">
        <f t="shared" si="150"/>
        <v>0</v>
      </c>
      <c r="AO133" s="16">
        <f t="shared" si="150"/>
        <v>0</v>
      </c>
      <c r="AP133" s="16">
        <f t="shared" si="150"/>
        <v>0</v>
      </c>
      <c r="AQ133" s="16">
        <f t="shared" si="150"/>
        <v>0</v>
      </c>
      <c r="AR133" s="16">
        <f t="shared" si="150"/>
        <v>0</v>
      </c>
      <c r="AS133" s="16">
        <f t="shared" si="150"/>
        <v>0</v>
      </c>
      <c r="AT133" s="16">
        <f t="shared" si="150"/>
        <v>0</v>
      </c>
      <c r="AU133" s="16">
        <f t="shared" si="150"/>
        <v>0</v>
      </c>
      <c r="AV133" s="16">
        <f t="shared" si="150"/>
        <v>0</v>
      </c>
      <c r="AW133" s="16">
        <f t="shared" si="150"/>
        <v>0</v>
      </c>
      <c r="AX133" s="16">
        <f t="shared" si="150"/>
        <v>0</v>
      </c>
      <c r="AY133" s="16">
        <f t="shared" si="150"/>
        <v>0</v>
      </c>
      <c r="AZ133" s="16">
        <f t="shared" si="150"/>
        <v>0</v>
      </c>
      <c r="BA133" s="16">
        <f t="shared" si="150"/>
        <v>0</v>
      </c>
      <c r="BB133" s="16">
        <f t="shared" si="150"/>
        <v>0</v>
      </c>
      <c r="BC133" s="16">
        <f t="shared" si="150"/>
        <v>0</v>
      </c>
      <c r="BD133" s="16">
        <f t="shared" si="150"/>
        <v>0</v>
      </c>
      <c r="BE133" s="16">
        <f t="shared" si="150"/>
        <v>0</v>
      </c>
      <c r="BF133" s="16">
        <f t="shared" si="150"/>
        <v>0</v>
      </c>
      <c r="BG133" s="16">
        <f t="shared" si="150"/>
        <v>0</v>
      </c>
      <c r="BH133" s="16">
        <f t="shared" si="150"/>
        <v>0</v>
      </c>
      <c r="BI133" s="16">
        <f t="shared" si="150"/>
        <v>0</v>
      </c>
      <c r="BJ133" s="16">
        <f t="shared" si="150"/>
        <v>0</v>
      </c>
      <c r="BK133" s="16">
        <f t="shared" si="150"/>
        <v>0</v>
      </c>
      <c r="BL133" s="16">
        <f t="shared" si="150"/>
        <v>0</v>
      </c>
      <c r="BM133" s="16">
        <f t="shared" si="150"/>
        <v>0</v>
      </c>
      <c r="BN133" s="16">
        <f t="shared" si="150"/>
        <v>0</v>
      </c>
      <c r="BO133" s="16">
        <f t="shared" si="150"/>
        <v>0</v>
      </c>
      <c r="BP133" s="16">
        <f t="shared" si="150"/>
        <v>0</v>
      </c>
      <c r="BQ133" s="16">
        <f t="shared" si="150"/>
        <v>0</v>
      </c>
      <c r="BR133" s="16">
        <f t="shared" si="150"/>
        <v>0</v>
      </c>
      <c r="BS133" s="16">
        <f t="shared" si="150"/>
        <v>0</v>
      </c>
      <c r="BT133" s="16">
        <f t="shared" ref="BT133:CW133" si="151">SUM(BT134)</f>
        <v>0</v>
      </c>
      <c r="BU133" s="16">
        <f t="shared" si="151"/>
        <v>0</v>
      </c>
      <c r="BV133" s="16">
        <f t="shared" si="151"/>
        <v>0</v>
      </c>
      <c r="BW133" s="16">
        <f t="shared" si="151"/>
        <v>0</v>
      </c>
      <c r="BX133" s="16">
        <f t="shared" si="151"/>
        <v>0</v>
      </c>
      <c r="BY133" s="16">
        <f t="shared" si="151"/>
        <v>53977</v>
      </c>
      <c r="BZ133" s="16">
        <f t="shared" si="151"/>
        <v>53977</v>
      </c>
      <c r="CA133" s="16">
        <f t="shared" si="151"/>
        <v>53977</v>
      </c>
      <c r="CB133" s="16">
        <f t="shared" si="151"/>
        <v>0</v>
      </c>
      <c r="CC133" s="16">
        <f t="shared" si="151"/>
        <v>53977</v>
      </c>
      <c r="CD133" s="16">
        <f t="shared" si="151"/>
        <v>0</v>
      </c>
      <c r="CE133" s="16">
        <f t="shared" si="151"/>
        <v>0</v>
      </c>
      <c r="CF133" s="16">
        <f t="shared" si="151"/>
        <v>0</v>
      </c>
      <c r="CG133" s="16">
        <f t="shared" si="151"/>
        <v>0</v>
      </c>
      <c r="CH133" s="16">
        <f t="shared" si="151"/>
        <v>0</v>
      </c>
      <c r="CI133" s="16">
        <f t="shared" si="151"/>
        <v>0</v>
      </c>
      <c r="CJ133" s="16">
        <f t="shared" si="151"/>
        <v>0</v>
      </c>
      <c r="CK133" s="16">
        <f t="shared" si="151"/>
        <v>0</v>
      </c>
      <c r="CL133" s="16">
        <f t="shared" si="151"/>
        <v>0</v>
      </c>
      <c r="CM133" s="16">
        <f t="shared" si="151"/>
        <v>0</v>
      </c>
      <c r="CN133" s="16">
        <f t="shared" si="151"/>
        <v>0</v>
      </c>
      <c r="CO133" s="16">
        <f t="shared" si="151"/>
        <v>0</v>
      </c>
      <c r="CP133" s="16">
        <f t="shared" si="151"/>
        <v>0</v>
      </c>
      <c r="CQ133" s="16">
        <f t="shared" si="151"/>
        <v>0</v>
      </c>
      <c r="CR133" s="16">
        <f t="shared" si="151"/>
        <v>0</v>
      </c>
      <c r="CS133" s="16">
        <f t="shared" si="151"/>
        <v>0</v>
      </c>
      <c r="CT133" s="16">
        <f t="shared" si="151"/>
        <v>0</v>
      </c>
      <c r="CU133" s="16">
        <f t="shared" si="151"/>
        <v>0</v>
      </c>
      <c r="CV133" s="16">
        <f t="shared" si="151"/>
        <v>0</v>
      </c>
      <c r="CW133" s="17">
        <f t="shared" si="151"/>
        <v>0</v>
      </c>
      <c r="CX133" s="40"/>
    </row>
    <row r="134" spans="1:102" ht="31.5" hidden="1" x14ac:dyDescent="0.25">
      <c r="A134" s="13" t="s">
        <v>1</v>
      </c>
      <c r="B134" s="14" t="s">
        <v>1</v>
      </c>
      <c r="C134" s="14" t="s">
        <v>23</v>
      </c>
      <c r="D134" s="30" t="s">
        <v>162</v>
      </c>
      <c r="E134" s="15">
        <f>SUM(F134+BY134+CT134)</f>
        <v>3471060</v>
      </c>
      <c r="F134" s="16">
        <f>SUM(G134+BA134)</f>
        <v>3417083</v>
      </c>
      <c r="G134" s="16">
        <f>SUM(H134+I134+J134+Q134+T134+U134+V134+AE134)</f>
        <v>3417083</v>
      </c>
      <c r="H134" s="16">
        <v>2698873</v>
      </c>
      <c r="I134" s="16">
        <v>603681</v>
      </c>
      <c r="J134" s="16">
        <f t="shared" si="71"/>
        <v>17933</v>
      </c>
      <c r="K134" s="16">
        <v>0</v>
      </c>
      <c r="L134" s="16">
        <v>0</v>
      </c>
      <c r="M134" s="16">
        <v>0</v>
      </c>
      <c r="N134" s="16">
        <v>0</v>
      </c>
      <c r="O134" s="16">
        <v>13684</v>
      </c>
      <c r="P134" s="16">
        <v>4249</v>
      </c>
      <c r="Q134" s="16">
        <f t="shared" si="72"/>
        <v>400</v>
      </c>
      <c r="R134" s="16">
        <v>400</v>
      </c>
      <c r="S134" s="16">
        <v>0</v>
      </c>
      <c r="T134" s="16">
        <v>0</v>
      </c>
      <c r="U134" s="16">
        <v>28743</v>
      </c>
      <c r="V134" s="16">
        <f>SUM(W134:AD134)</f>
        <v>28443</v>
      </c>
      <c r="W134" s="16">
        <v>0</v>
      </c>
      <c r="X134" s="16">
        <v>20941</v>
      </c>
      <c r="Y134" s="16">
        <v>3685</v>
      </c>
      <c r="Z134" s="16">
        <v>2312</v>
      </c>
      <c r="AA134" s="16">
        <v>1505</v>
      </c>
      <c r="AB134" s="16">
        <v>0</v>
      </c>
      <c r="AC134" s="16">
        <v>0</v>
      </c>
      <c r="AD134" s="16">
        <v>0</v>
      </c>
      <c r="AE134" s="16">
        <f>SUM(AF134:AZ134)</f>
        <v>39010</v>
      </c>
      <c r="AF134" s="16">
        <v>0</v>
      </c>
      <c r="AG134" s="16">
        <v>0</v>
      </c>
      <c r="AH134" s="16">
        <v>10430</v>
      </c>
      <c r="AI134" s="16">
        <v>0</v>
      </c>
      <c r="AJ134" s="16">
        <v>1591</v>
      </c>
      <c r="AK134" s="16">
        <v>0</v>
      </c>
      <c r="AL134" s="16">
        <v>26989</v>
      </c>
      <c r="AM134" s="16">
        <v>0</v>
      </c>
      <c r="AN134" s="16">
        <v>0</v>
      </c>
      <c r="AO134" s="16">
        <v>0</v>
      </c>
      <c r="AP134" s="16">
        <v>0</v>
      </c>
      <c r="AQ134" s="16">
        <v>0</v>
      </c>
      <c r="AR134" s="16">
        <v>0</v>
      </c>
      <c r="AS134" s="16">
        <v>0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f>SUM(BB134+BF134+BI134+BK134+BM134)</f>
        <v>0</v>
      </c>
      <c r="BB134" s="16">
        <f>SUM(BC134:BE134)</f>
        <v>0</v>
      </c>
      <c r="BC134" s="16">
        <v>0</v>
      </c>
      <c r="BD134" s="16">
        <v>0</v>
      </c>
      <c r="BE134" s="16">
        <v>0</v>
      </c>
      <c r="BF134" s="16">
        <f t="shared" si="73"/>
        <v>0</v>
      </c>
      <c r="BG134" s="16">
        <v>0</v>
      </c>
      <c r="BH134" s="16">
        <v>0</v>
      </c>
      <c r="BI134" s="16">
        <v>0</v>
      </c>
      <c r="BJ134" s="16">
        <v>0</v>
      </c>
      <c r="BK134" s="16">
        <f t="shared" si="74"/>
        <v>0</v>
      </c>
      <c r="BL134" s="16">
        <v>0</v>
      </c>
      <c r="BM134" s="16">
        <f t="shared" si="75"/>
        <v>0</v>
      </c>
      <c r="BN134" s="16">
        <v>0</v>
      </c>
      <c r="BO134" s="16">
        <v>0</v>
      </c>
      <c r="BP134" s="16">
        <v>0</v>
      </c>
      <c r="BQ134" s="16">
        <v>0</v>
      </c>
      <c r="BR134" s="16">
        <v>0</v>
      </c>
      <c r="BS134" s="16">
        <v>0</v>
      </c>
      <c r="BT134" s="16">
        <v>0</v>
      </c>
      <c r="BU134" s="16">
        <v>0</v>
      </c>
      <c r="BV134" s="16">
        <v>0</v>
      </c>
      <c r="BW134" s="16">
        <v>0</v>
      </c>
      <c r="BX134" s="16">
        <v>0</v>
      </c>
      <c r="BY134" s="16">
        <f>SUM(BZ134+CS134)</f>
        <v>53977</v>
      </c>
      <c r="BZ134" s="16">
        <f>SUM(CA134+CD134+CK134)</f>
        <v>53977</v>
      </c>
      <c r="CA134" s="16">
        <f t="shared" si="76"/>
        <v>53977</v>
      </c>
      <c r="CB134" s="16">
        <v>0</v>
      </c>
      <c r="CC134" s="16">
        <v>53977</v>
      </c>
      <c r="CD134" s="16">
        <f t="shared" si="77"/>
        <v>0</v>
      </c>
      <c r="CE134" s="16">
        <v>0</v>
      </c>
      <c r="CF134" s="16">
        <v>0</v>
      </c>
      <c r="CG134" s="16">
        <v>0</v>
      </c>
      <c r="CH134" s="16">
        <v>0</v>
      </c>
      <c r="CI134" s="16">
        <v>0</v>
      </c>
      <c r="CJ134" s="16">
        <v>0</v>
      </c>
      <c r="CK134" s="16">
        <f t="shared" si="78"/>
        <v>0</v>
      </c>
      <c r="CL134" s="16">
        <v>0</v>
      </c>
      <c r="CM134" s="16">
        <v>0</v>
      </c>
      <c r="CN134" s="16">
        <v>0</v>
      </c>
      <c r="CO134" s="16">
        <v>0</v>
      </c>
      <c r="CP134" s="16">
        <v>0</v>
      </c>
      <c r="CQ134" s="16">
        <v>0</v>
      </c>
      <c r="CR134" s="16">
        <v>0</v>
      </c>
      <c r="CS134" s="16">
        <v>0</v>
      </c>
      <c r="CT134" s="16">
        <f t="shared" si="79"/>
        <v>0</v>
      </c>
      <c r="CU134" s="16">
        <f t="shared" si="80"/>
        <v>0</v>
      </c>
      <c r="CV134" s="16">
        <v>0</v>
      </c>
      <c r="CW134" s="17">
        <v>0</v>
      </c>
      <c r="CX134" s="40"/>
    </row>
    <row r="135" spans="1:102" ht="15.75" hidden="1" x14ac:dyDescent="0.25">
      <c r="A135" s="13" t="s">
        <v>111</v>
      </c>
      <c r="B135" s="14" t="s">
        <v>54</v>
      </c>
      <c r="C135" s="14" t="s">
        <v>1</v>
      </c>
      <c r="D135" s="30" t="s">
        <v>163</v>
      </c>
      <c r="E135" s="15">
        <f t="shared" ref="E135:BP135" si="152">SUM(E136)</f>
        <v>9438502</v>
      </c>
      <c r="F135" s="16">
        <f t="shared" si="152"/>
        <v>9375663</v>
      </c>
      <c r="G135" s="16">
        <f t="shared" si="152"/>
        <v>7046424</v>
      </c>
      <c r="H135" s="16">
        <f t="shared" si="152"/>
        <v>3712903</v>
      </c>
      <c r="I135" s="16">
        <f t="shared" si="152"/>
        <v>868652</v>
      </c>
      <c r="J135" s="16">
        <f t="shared" si="152"/>
        <v>2174086</v>
      </c>
      <c r="K135" s="16">
        <f t="shared" si="152"/>
        <v>8902</v>
      </c>
      <c r="L135" s="16">
        <f t="shared" si="152"/>
        <v>235765</v>
      </c>
      <c r="M135" s="16">
        <f t="shared" si="152"/>
        <v>1389244</v>
      </c>
      <c r="N135" s="16">
        <f t="shared" si="152"/>
        <v>316837</v>
      </c>
      <c r="O135" s="16">
        <f t="shared" si="152"/>
        <v>179995</v>
      </c>
      <c r="P135" s="16">
        <f t="shared" si="152"/>
        <v>43343</v>
      </c>
      <c r="Q135" s="16">
        <f t="shared" si="152"/>
        <v>0</v>
      </c>
      <c r="R135" s="16">
        <f t="shared" si="152"/>
        <v>0</v>
      </c>
      <c r="S135" s="16">
        <f t="shared" si="152"/>
        <v>0</v>
      </c>
      <c r="T135" s="16">
        <f t="shared" si="152"/>
        <v>0</v>
      </c>
      <c r="U135" s="16">
        <f t="shared" si="152"/>
        <v>22086</v>
      </c>
      <c r="V135" s="16">
        <f t="shared" si="152"/>
        <v>178469</v>
      </c>
      <c r="W135" s="16">
        <f t="shared" si="152"/>
        <v>34104</v>
      </c>
      <c r="X135" s="16">
        <f t="shared" si="152"/>
        <v>63310</v>
      </c>
      <c r="Y135" s="16">
        <f t="shared" si="152"/>
        <v>42660</v>
      </c>
      <c r="Z135" s="16">
        <f t="shared" si="152"/>
        <v>32702</v>
      </c>
      <c r="AA135" s="16">
        <f t="shared" si="152"/>
        <v>3613</v>
      </c>
      <c r="AB135" s="16">
        <f t="shared" si="152"/>
        <v>0</v>
      </c>
      <c r="AC135" s="16">
        <f t="shared" si="152"/>
        <v>0</v>
      </c>
      <c r="AD135" s="16">
        <f t="shared" si="152"/>
        <v>2080</v>
      </c>
      <c r="AE135" s="16">
        <f t="shared" si="152"/>
        <v>90228</v>
      </c>
      <c r="AF135" s="16">
        <f t="shared" si="152"/>
        <v>0</v>
      </c>
      <c r="AG135" s="16">
        <f t="shared" si="152"/>
        <v>660</v>
      </c>
      <c r="AH135" s="16">
        <f t="shared" si="152"/>
        <v>43560</v>
      </c>
      <c r="AI135" s="16">
        <f t="shared" si="152"/>
        <v>2145</v>
      </c>
      <c r="AJ135" s="16">
        <f t="shared" si="152"/>
        <v>3755</v>
      </c>
      <c r="AK135" s="16">
        <f t="shared" si="152"/>
        <v>0</v>
      </c>
      <c r="AL135" s="16">
        <f t="shared" si="152"/>
        <v>37129</v>
      </c>
      <c r="AM135" s="16">
        <f t="shared" si="152"/>
        <v>0</v>
      </c>
      <c r="AN135" s="16">
        <f t="shared" si="152"/>
        <v>0</v>
      </c>
      <c r="AO135" s="16">
        <f t="shared" si="152"/>
        <v>109</v>
      </c>
      <c r="AP135" s="16">
        <f t="shared" si="152"/>
        <v>0</v>
      </c>
      <c r="AQ135" s="16">
        <f t="shared" si="152"/>
        <v>0</v>
      </c>
      <c r="AR135" s="16">
        <f t="shared" si="152"/>
        <v>0</v>
      </c>
      <c r="AS135" s="16">
        <f t="shared" si="152"/>
        <v>0</v>
      </c>
      <c r="AT135" s="16">
        <f t="shared" si="152"/>
        <v>0</v>
      </c>
      <c r="AU135" s="16">
        <f t="shared" si="152"/>
        <v>0</v>
      </c>
      <c r="AV135" s="16">
        <f t="shared" si="152"/>
        <v>0</v>
      </c>
      <c r="AW135" s="16">
        <f t="shared" si="152"/>
        <v>0</v>
      </c>
      <c r="AX135" s="16">
        <f t="shared" si="152"/>
        <v>0</v>
      </c>
      <c r="AY135" s="16">
        <f t="shared" si="152"/>
        <v>0</v>
      </c>
      <c r="AZ135" s="16">
        <f t="shared" si="152"/>
        <v>2870</v>
      </c>
      <c r="BA135" s="16">
        <f t="shared" si="152"/>
        <v>2329239</v>
      </c>
      <c r="BB135" s="16">
        <f t="shared" si="152"/>
        <v>0</v>
      </c>
      <c r="BC135" s="16">
        <f t="shared" si="152"/>
        <v>0</v>
      </c>
      <c r="BD135" s="16">
        <f t="shared" si="152"/>
        <v>0</v>
      </c>
      <c r="BE135" s="16">
        <f t="shared" si="152"/>
        <v>0</v>
      </c>
      <c r="BF135" s="16">
        <f t="shared" si="152"/>
        <v>0</v>
      </c>
      <c r="BG135" s="16">
        <f t="shared" si="152"/>
        <v>0</v>
      </c>
      <c r="BH135" s="16">
        <f t="shared" si="152"/>
        <v>0</v>
      </c>
      <c r="BI135" s="16">
        <f t="shared" si="152"/>
        <v>0</v>
      </c>
      <c r="BJ135" s="16">
        <f t="shared" si="152"/>
        <v>0</v>
      </c>
      <c r="BK135" s="16">
        <f t="shared" si="152"/>
        <v>0</v>
      </c>
      <c r="BL135" s="16">
        <f t="shared" si="152"/>
        <v>0</v>
      </c>
      <c r="BM135" s="16">
        <f t="shared" si="152"/>
        <v>2329239</v>
      </c>
      <c r="BN135" s="16">
        <f t="shared" si="152"/>
        <v>0</v>
      </c>
      <c r="BO135" s="16">
        <f t="shared" si="152"/>
        <v>0</v>
      </c>
      <c r="BP135" s="16">
        <f t="shared" si="152"/>
        <v>0</v>
      </c>
      <c r="BQ135" s="16">
        <f t="shared" ref="BQ135:CW135" si="153">SUM(BQ136)</f>
        <v>0</v>
      </c>
      <c r="BR135" s="16">
        <f t="shared" si="153"/>
        <v>0</v>
      </c>
      <c r="BS135" s="16">
        <f t="shared" si="153"/>
        <v>33525</v>
      </c>
      <c r="BT135" s="16">
        <f t="shared" si="153"/>
        <v>0</v>
      </c>
      <c r="BU135" s="16">
        <f t="shared" si="153"/>
        <v>0</v>
      </c>
      <c r="BV135" s="16">
        <f t="shared" si="153"/>
        <v>0</v>
      </c>
      <c r="BW135" s="16">
        <f t="shared" si="153"/>
        <v>0</v>
      </c>
      <c r="BX135" s="16">
        <f t="shared" si="153"/>
        <v>2295714</v>
      </c>
      <c r="BY135" s="16">
        <f t="shared" si="153"/>
        <v>62839</v>
      </c>
      <c r="BZ135" s="16">
        <f t="shared" si="153"/>
        <v>62839</v>
      </c>
      <c r="CA135" s="16">
        <f t="shared" si="153"/>
        <v>62839</v>
      </c>
      <c r="CB135" s="16">
        <f t="shared" si="153"/>
        <v>0</v>
      </c>
      <c r="CC135" s="16">
        <f t="shared" si="153"/>
        <v>62839</v>
      </c>
      <c r="CD135" s="16">
        <f t="shared" si="153"/>
        <v>0</v>
      </c>
      <c r="CE135" s="16">
        <f t="shared" si="153"/>
        <v>0</v>
      </c>
      <c r="CF135" s="16">
        <f t="shared" si="153"/>
        <v>0</v>
      </c>
      <c r="CG135" s="16">
        <f t="shared" si="153"/>
        <v>0</v>
      </c>
      <c r="CH135" s="16">
        <f t="shared" si="153"/>
        <v>0</v>
      </c>
      <c r="CI135" s="16">
        <f t="shared" si="153"/>
        <v>0</v>
      </c>
      <c r="CJ135" s="16">
        <f t="shared" si="153"/>
        <v>0</v>
      </c>
      <c r="CK135" s="16">
        <f t="shared" si="153"/>
        <v>0</v>
      </c>
      <c r="CL135" s="16">
        <f t="shared" si="153"/>
        <v>0</v>
      </c>
      <c r="CM135" s="16">
        <f t="shared" si="153"/>
        <v>0</v>
      </c>
      <c r="CN135" s="16">
        <f t="shared" si="153"/>
        <v>0</v>
      </c>
      <c r="CO135" s="16">
        <f t="shared" si="153"/>
        <v>0</v>
      </c>
      <c r="CP135" s="16">
        <f t="shared" si="153"/>
        <v>0</v>
      </c>
      <c r="CQ135" s="16">
        <f t="shared" si="153"/>
        <v>0</v>
      </c>
      <c r="CR135" s="16">
        <f t="shared" si="153"/>
        <v>0</v>
      </c>
      <c r="CS135" s="16">
        <f t="shared" si="153"/>
        <v>0</v>
      </c>
      <c r="CT135" s="16">
        <f t="shared" si="153"/>
        <v>0</v>
      </c>
      <c r="CU135" s="16">
        <f t="shared" si="153"/>
        <v>0</v>
      </c>
      <c r="CV135" s="16">
        <f t="shared" si="153"/>
        <v>0</v>
      </c>
      <c r="CW135" s="17">
        <f t="shared" si="153"/>
        <v>0</v>
      </c>
      <c r="CX135" s="40"/>
    </row>
    <row r="136" spans="1:102" ht="15.75" hidden="1" x14ac:dyDescent="0.25">
      <c r="A136" s="13" t="s">
        <v>1</v>
      </c>
      <c r="B136" s="14" t="s">
        <v>1</v>
      </c>
      <c r="C136" s="14" t="s">
        <v>19</v>
      </c>
      <c r="D136" s="30" t="s">
        <v>164</v>
      </c>
      <c r="E136" s="15">
        <f>SUM(F136+BY136+CT136)</f>
        <v>9438502</v>
      </c>
      <c r="F136" s="16">
        <f>SUM(G136+BA136)</f>
        <v>9375663</v>
      </c>
      <c r="G136" s="16">
        <f>SUM(H136+I136+J136+Q136+T136+U136+V136+AE136)</f>
        <v>7046424</v>
      </c>
      <c r="H136" s="16">
        <v>3712903</v>
      </c>
      <c r="I136" s="16">
        <v>868652</v>
      </c>
      <c r="J136" s="16">
        <f t="shared" si="71"/>
        <v>2174086</v>
      </c>
      <c r="K136" s="16">
        <v>8902</v>
      </c>
      <c r="L136" s="16">
        <v>235765</v>
      </c>
      <c r="M136" s="16">
        <v>1389244</v>
      </c>
      <c r="N136" s="16">
        <v>316837</v>
      </c>
      <c r="O136" s="16">
        <v>179995</v>
      </c>
      <c r="P136" s="16">
        <v>43343</v>
      </c>
      <c r="Q136" s="16">
        <f t="shared" si="72"/>
        <v>0</v>
      </c>
      <c r="R136" s="16">
        <v>0</v>
      </c>
      <c r="S136" s="16">
        <v>0</v>
      </c>
      <c r="T136" s="16">
        <v>0</v>
      </c>
      <c r="U136" s="16">
        <v>22086</v>
      </c>
      <c r="V136" s="16">
        <f>SUM(W136:AD136)</f>
        <v>178469</v>
      </c>
      <c r="W136" s="16">
        <v>34104</v>
      </c>
      <c r="X136" s="16">
        <v>63310</v>
      </c>
      <c r="Y136" s="16">
        <v>42660</v>
      </c>
      <c r="Z136" s="16">
        <v>32702</v>
      </c>
      <c r="AA136" s="16">
        <v>3613</v>
      </c>
      <c r="AB136" s="16">
        <v>0</v>
      </c>
      <c r="AC136" s="16">
        <v>0</v>
      </c>
      <c r="AD136" s="16">
        <v>2080</v>
      </c>
      <c r="AE136" s="16">
        <f>SUM(AF136:AZ136)</f>
        <v>90228</v>
      </c>
      <c r="AF136" s="16">
        <v>0</v>
      </c>
      <c r="AG136" s="16">
        <v>660</v>
      </c>
      <c r="AH136" s="16">
        <v>43560</v>
      </c>
      <c r="AI136" s="16">
        <v>2145</v>
      </c>
      <c r="AJ136" s="16">
        <v>3755</v>
      </c>
      <c r="AK136" s="16">
        <v>0</v>
      </c>
      <c r="AL136" s="16">
        <v>37129</v>
      </c>
      <c r="AM136" s="16">
        <v>0</v>
      </c>
      <c r="AN136" s="16">
        <v>0</v>
      </c>
      <c r="AO136" s="16">
        <v>109</v>
      </c>
      <c r="AP136" s="16"/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6">
        <v>0</v>
      </c>
      <c r="AW136" s="16">
        <v>0</v>
      </c>
      <c r="AX136" s="16">
        <v>0</v>
      </c>
      <c r="AY136" s="16"/>
      <c r="AZ136" s="16">
        <v>2870</v>
      </c>
      <c r="BA136" s="16">
        <f>SUM(BB136+BF136+BI136+BK136+BM136)</f>
        <v>2329239</v>
      </c>
      <c r="BB136" s="16">
        <f>SUM(BC136:BE136)</f>
        <v>0</v>
      </c>
      <c r="BC136" s="16">
        <v>0</v>
      </c>
      <c r="BD136" s="16">
        <v>0</v>
      </c>
      <c r="BE136" s="16">
        <v>0</v>
      </c>
      <c r="BF136" s="16">
        <f t="shared" si="73"/>
        <v>0</v>
      </c>
      <c r="BG136" s="16">
        <v>0</v>
      </c>
      <c r="BH136" s="16">
        <v>0</v>
      </c>
      <c r="BI136" s="16">
        <v>0</v>
      </c>
      <c r="BJ136" s="16">
        <v>0</v>
      </c>
      <c r="BK136" s="16">
        <f t="shared" si="74"/>
        <v>0</v>
      </c>
      <c r="BL136" s="16">
        <v>0</v>
      </c>
      <c r="BM136" s="16">
        <f t="shared" si="75"/>
        <v>2329239</v>
      </c>
      <c r="BN136" s="16">
        <v>0</v>
      </c>
      <c r="BO136" s="16">
        <v>0</v>
      </c>
      <c r="BP136" s="16">
        <v>0</v>
      </c>
      <c r="BQ136" s="16">
        <v>0</v>
      </c>
      <c r="BR136" s="16">
        <v>0</v>
      </c>
      <c r="BS136" s="16">
        <v>33525</v>
      </c>
      <c r="BT136" s="16">
        <v>0</v>
      </c>
      <c r="BU136" s="16">
        <v>0</v>
      </c>
      <c r="BV136" s="16">
        <v>0</v>
      </c>
      <c r="BW136" s="16">
        <v>0</v>
      </c>
      <c r="BX136" s="16">
        <v>2295714</v>
      </c>
      <c r="BY136" s="16">
        <f>SUM(BZ136+CS136)</f>
        <v>62839</v>
      </c>
      <c r="BZ136" s="16">
        <f>SUM(CA136+CD136+CK136)</f>
        <v>62839</v>
      </c>
      <c r="CA136" s="16">
        <f t="shared" si="76"/>
        <v>62839</v>
      </c>
      <c r="CB136" s="16">
        <v>0</v>
      </c>
      <c r="CC136" s="16">
        <v>62839</v>
      </c>
      <c r="CD136" s="16">
        <f t="shared" si="77"/>
        <v>0</v>
      </c>
      <c r="CE136" s="16">
        <v>0</v>
      </c>
      <c r="CF136" s="16">
        <v>0</v>
      </c>
      <c r="CG136" s="16">
        <v>0</v>
      </c>
      <c r="CH136" s="16">
        <v>0</v>
      </c>
      <c r="CI136" s="16">
        <v>0</v>
      </c>
      <c r="CJ136" s="16">
        <v>0</v>
      </c>
      <c r="CK136" s="16">
        <f t="shared" si="78"/>
        <v>0</v>
      </c>
      <c r="CL136" s="16">
        <v>0</v>
      </c>
      <c r="CM136" s="16">
        <v>0</v>
      </c>
      <c r="CN136" s="16">
        <v>0</v>
      </c>
      <c r="CO136" s="16">
        <v>0</v>
      </c>
      <c r="CP136" s="16">
        <v>0</v>
      </c>
      <c r="CQ136" s="16"/>
      <c r="CR136" s="16"/>
      <c r="CS136" s="16">
        <v>0</v>
      </c>
      <c r="CT136" s="16">
        <f t="shared" si="79"/>
        <v>0</v>
      </c>
      <c r="CU136" s="16">
        <f t="shared" si="80"/>
        <v>0</v>
      </c>
      <c r="CV136" s="16">
        <v>0</v>
      </c>
      <c r="CW136" s="17">
        <v>0</v>
      </c>
      <c r="CX136" s="40"/>
    </row>
    <row r="137" spans="1:102" ht="31.5" hidden="1" x14ac:dyDescent="0.25">
      <c r="A137" s="13" t="s">
        <v>111</v>
      </c>
      <c r="B137" s="14" t="s">
        <v>107</v>
      </c>
      <c r="C137" s="14" t="s">
        <v>1</v>
      </c>
      <c r="D137" s="30" t="s">
        <v>165</v>
      </c>
      <c r="E137" s="15">
        <f t="shared" ref="E137:AJ137" si="154">SUM(E138:E140)</f>
        <v>1262223</v>
      </c>
      <c r="F137" s="16">
        <f t="shared" si="154"/>
        <v>1250574</v>
      </c>
      <c r="G137" s="16">
        <f t="shared" si="154"/>
        <v>1200134</v>
      </c>
      <c r="H137" s="16">
        <f t="shared" si="154"/>
        <v>582448</v>
      </c>
      <c r="I137" s="16">
        <f t="shared" si="154"/>
        <v>133303</v>
      </c>
      <c r="J137" s="16">
        <f t="shared" si="154"/>
        <v>11348</v>
      </c>
      <c r="K137" s="16">
        <f t="shared" si="154"/>
        <v>0</v>
      </c>
      <c r="L137" s="16">
        <f t="shared" si="154"/>
        <v>0</v>
      </c>
      <c r="M137" s="16">
        <f t="shared" si="154"/>
        <v>0</v>
      </c>
      <c r="N137" s="16">
        <f t="shared" si="154"/>
        <v>0</v>
      </c>
      <c r="O137" s="16">
        <f t="shared" si="154"/>
        <v>0</v>
      </c>
      <c r="P137" s="16">
        <f t="shared" si="154"/>
        <v>11348</v>
      </c>
      <c r="Q137" s="16">
        <f t="shared" si="154"/>
        <v>3499</v>
      </c>
      <c r="R137" s="16">
        <f t="shared" si="154"/>
        <v>3499</v>
      </c>
      <c r="S137" s="16">
        <f t="shared" si="154"/>
        <v>0</v>
      </c>
      <c r="T137" s="16">
        <f t="shared" si="154"/>
        <v>0</v>
      </c>
      <c r="U137" s="16">
        <f t="shared" si="154"/>
        <v>13390</v>
      </c>
      <c r="V137" s="16">
        <f t="shared" si="154"/>
        <v>0</v>
      </c>
      <c r="W137" s="16">
        <f t="shared" si="154"/>
        <v>0</v>
      </c>
      <c r="X137" s="16">
        <f t="shared" si="154"/>
        <v>0</v>
      </c>
      <c r="Y137" s="16">
        <f t="shared" si="154"/>
        <v>0</v>
      </c>
      <c r="Z137" s="16">
        <f t="shared" si="154"/>
        <v>0</v>
      </c>
      <c r="AA137" s="16">
        <f t="shared" si="154"/>
        <v>0</v>
      </c>
      <c r="AB137" s="16">
        <f t="shared" si="154"/>
        <v>0</v>
      </c>
      <c r="AC137" s="16">
        <f t="shared" si="154"/>
        <v>0</v>
      </c>
      <c r="AD137" s="16">
        <f t="shared" ref="AD137" si="155">SUM(AD138:AD140)</f>
        <v>0</v>
      </c>
      <c r="AE137" s="16">
        <f t="shared" si="154"/>
        <v>456146</v>
      </c>
      <c r="AF137" s="16">
        <f t="shared" si="154"/>
        <v>0</v>
      </c>
      <c r="AG137" s="16">
        <f t="shared" si="154"/>
        <v>1868</v>
      </c>
      <c r="AH137" s="16">
        <f t="shared" si="154"/>
        <v>0</v>
      </c>
      <c r="AI137" s="16">
        <f t="shared" si="154"/>
        <v>0</v>
      </c>
      <c r="AJ137" s="16">
        <f t="shared" si="154"/>
        <v>1591</v>
      </c>
      <c r="AK137" s="16">
        <f t="shared" ref="AK137:CV137" si="156">SUM(AK138:AK140)</f>
        <v>0</v>
      </c>
      <c r="AL137" s="16">
        <f t="shared" si="156"/>
        <v>5824</v>
      </c>
      <c r="AM137" s="16">
        <f t="shared" si="156"/>
        <v>108938</v>
      </c>
      <c r="AN137" s="16">
        <f t="shared" si="156"/>
        <v>0</v>
      </c>
      <c r="AO137" s="16">
        <f t="shared" si="156"/>
        <v>0</v>
      </c>
      <c r="AP137" s="16">
        <f t="shared" si="156"/>
        <v>0</v>
      </c>
      <c r="AQ137" s="16">
        <f t="shared" si="156"/>
        <v>0</v>
      </c>
      <c r="AR137" s="16">
        <f t="shared" si="156"/>
        <v>0</v>
      </c>
      <c r="AS137" s="16">
        <f t="shared" si="156"/>
        <v>0</v>
      </c>
      <c r="AT137" s="16">
        <f t="shared" si="156"/>
        <v>0</v>
      </c>
      <c r="AU137" s="16">
        <f t="shared" si="156"/>
        <v>0</v>
      </c>
      <c r="AV137" s="16">
        <f t="shared" si="156"/>
        <v>0</v>
      </c>
      <c r="AW137" s="16">
        <f t="shared" si="156"/>
        <v>0</v>
      </c>
      <c r="AX137" s="16">
        <f t="shared" si="156"/>
        <v>0</v>
      </c>
      <c r="AY137" s="16">
        <f t="shared" si="156"/>
        <v>0</v>
      </c>
      <c r="AZ137" s="16">
        <f t="shared" si="156"/>
        <v>337925</v>
      </c>
      <c r="BA137" s="16">
        <f t="shared" si="156"/>
        <v>50440</v>
      </c>
      <c r="BB137" s="16">
        <f t="shared" si="156"/>
        <v>0</v>
      </c>
      <c r="BC137" s="16">
        <f t="shared" si="156"/>
        <v>0</v>
      </c>
      <c r="BD137" s="16">
        <f t="shared" si="156"/>
        <v>0</v>
      </c>
      <c r="BE137" s="16">
        <f t="shared" si="156"/>
        <v>0</v>
      </c>
      <c r="BF137" s="16">
        <f t="shared" si="156"/>
        <v>0</v>
      </c>
      <c r="BG137" s="16">
        <f t="shared" si="156"/>
        <v>0</v>
      </c>
      <c r="BH137" s="16">
        <f t="shared" si="156"/>
        <v>0</v>
      </c>
      <c r="BI137" s="16">
        <f t="shared" si="156"/>
        <v>0</v>
      </c>
      <c r="BJ137" s="16">
        <f t="shared" si="156"/>
        <v>0</v>
      </c>
      <c r="BK137" s="16">
        <f t="shared" si="156"/>
        <v>0</v>
      </c>
      <c r="BL137" s="16">
        <f t="shared" si="156"/>
        <v>0</v>
      </c>
      <c r="BM137" s="16">
        <f t="shared" si="156"/>
        <v>50440</v>
      </c>
      <c r="BN137" s="16">
        <f t="shared" si="156"/>
        <v>0</v>
      </c>
      <c r="BO137" s="16">
        <f t="shared" si="156"/>
        <v>0</v>
      </c>
      <c r="BP137" s="16">
        <f t="shared" si="156"/>
        <v>50440</v>
      </c>
      <c r="BQ137" s="16">
        <f t="shared" si="156"/>
        <v>0</v>
      </c>
      <c r="BR137" s="16">
        <f t="shared" si="156"/>
        <v>0</v>
      </c>
      <c r="BS137" s="16">
        <f t="shared" si="156"/>
        <v>0</v>
      </c>
      <c r="BT137" s="16">
        <f t="shared" si="156"/>
        <v>0</v>
      </c>
      <c r="BU137" s="16">
        <f t="shared" si="156"/>
        <v>0</v>
      </c>
      <c r="BV137" s="16">
        <f t="shared" si="156"/>
        <v>0</v>
      </c>
      <c r="BW137" s="16">
        <f t="shared" si="156"/>
        <v>0</v>
      </c>
      <c r="BX137" s="16">
        <f t="shared" si="156"/>
        <v>0</v>
      </c>
      <c r="BY137" s="16">
        <f t="shared" si="156"/>
        <v>11649</v>
      </c>
      <c r="BZ137" s="16">
        <f t="shared" si="156"/>
        <v>11649</v>
      </c>
      <c r="CA137" s="16">
        <f t="shared" si="156"/>
        <v>11649</v>
      </c>
      <c r="CB137" s="16">
        <f t="shared" si="156"/>
        <v>0</v>
      </c>
      <c r="CC137" s="16">
        <f t="shared" si="156"/>
        <v>11649</v>
      </c>
      <c r="CD137" s="16">
        <f t="shared" si="156"/>
        <v>0</v>
      </c>
      <c r="CE137" s="16">
        <f t="shared" si="156"/>
        <v>0</v>
      </c>
      <c r="CF137" s="16">
        <f t="shared" si="156"/>
        <v>0</v>
      </c>
      <c r="CG137" s="16">
        <f t="shared" si="156"/>
        <v>0</v>
      </c>
      <c r="CH137" s="16">
        <f t="shared" si="156"/>
        <v>0</v>
      </c>
      <c r="CI137" s="16">
        <f t="shared" si="156"/>
        <v>0</v>
      </c>
      <c r="CJ137" s="16">
        <f t="shared" si="156"/>
        <v>0</v>
      </c>
      <c r="CK137" s="16">
        <f t="shared" si="156"/>
        <v>0</v>
      </c>
      <c r="CL137" s="16">
        <f t="shared" si="156"/>
        <v>0</v>
      </c>
      <c r="CM137" s="16">
        <f t="shared" si="156"/>
        <v>0</v>
      </c>
      <c r="CN137" s="16">
        <f t="shared" si="156"/>
        <v>0</v>
      </c>
      <c r="CO137" s="16">
        <f t="shared" si="156"/>
        <v>0</v>
      </c>
      <c r="CP137" s="16">
        <f t="shared" si="156"/>
        <v>0</v>
      </c>
      <c r="CQ137" s="16">
        <f t="shared" si="156"/>
        <v>0</v>
      </c>
      <c r="CR137" s="16">
        <f t="shared" si="156"/>
        <v>0</v>
      </c>
      <c r="CS137" s="16">
        <f t="shared" si="156"/>
        <v>0</v>
      </c>
      <c r="CT137" s="16">
        <f t="shared" si="156"/>
        <v>0</v>
      </c>
      <c r="CU137" s="16">
        <f t="shared" si="156"/>
        <v>0</v>
      </c>
      <c r="CV137" s="16">
        <f t="shared" si="156"/>
        <v>0</v>
      </c>
      <c r="CW137" s="17">
        <f t="shared" ref="CW137" si="157">SUM(CW138:CW140)</f>
        <v>0</v>
      </c>
      <c r="CX137" s="40"/>
    </row>
    <row r="138" spans="1:102" ht="31.5" hidden="1" x14ac:dyDescent="0.25">
      <c r="A138" s="13" t="s">
        <v>1</v>
      </c>
      <c r="B138" s="14" t="s">
        <v>1</v>
      </c>
      <c r="C138" s="14" t="s">
        <v>19</v>
      </c>
      <c r="D138" s="30" t="s">
        <v>166</v>
      </c>
      <c r="E138" s="15">
        <f>SUM(F138+BY138+CT138)</f>
        <v>97570</v>
      </c>
      <c r="F138" s="16">
        <f>SUM(G138+BA138)</f>
        <v>97570</v>
      </c>
      <c r="G138" s="16">
        <f>SUM(H138+I138+J138+Q138+T138+U138+V138+AE138)</f>
        <v>97570</v>
      </c>
      <c r="H138" s="16">
        <v>0</v>
      </c>
      <c r="I138" s="16">
        <v>0</v>
      </c>
      <c r="J138" s="16">
        <f t="shared" si="71"/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f t="shared" si="72"/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f>SUM(W138:AD138)</f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f>SUM(AF138:AZ138)</f>
        <v>97570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14500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  <c r="AT138" s="16">
        <v>0</v>
      </c>
      <c r="AU138" s="16">
        <v>0</v>
      </c>
      <c r="AV138" s="16">
        <v>0</v>
      </c>
      <c r="AW138" s="16">
        <v>0</v>
      </c>
      <c r="AX138" s="16">
        <v>0</v>
      </c>
      <c r="AY138" s="16">
        <v>0</v>
      </c>
      <c r="AZ138" s="16">
        <v>83070</v>
      </c>
      <c r="BA138" s="16">
        <f>SUM(BB138+BF138+BI138+BK138+BM138)</f>
        <v>0</v>
      </c>
      <c r="BB138" s="16">
        <f>SUM(BC138:BE138)</f>
        <v>0</v>
      </c>
      <c r="BC138" s="16">
        <v>0</v>
      </c>
      <c r="BD138" s="16">
        <v>0</v>
      </c>
      <c r="BE138" s="16">
        <v>0</v>
      </c>
      <c r="BF138" s="16">
        <f t="shared" si="73"/>
        <v>0</v>
      </c>
      <c r="BG138" s="16">
        <v>0</v>
      </c>
      <c r="BH138" s="16">
        <v>0</v>
      </c>
      <c r="BI138" s="16">
        <v>0</v>
      </c>
      <c r="BJ138" s="16">
        <v>0</v>
      </c>
      <c r="BK138" s="16">
        <f t="shared" si="74"/>
        <v>0</v>
      </c>
      <c r="BL138" s="16">
        <v>0</v>
      </c>
      <c r="BM138" s="16">
        <f t="shared" si="75"/>
        <v>0</v>
      </c>
      <c r="BN138" s="16">
        <v>0</v>
      </c>
      <c r="BO138" s="16">
        <v>0</v>
      </c>
      <c r="BP138" s="16">
        <v>0</v>
      </c>
      <c r="BQ138" s="16">
        <v>0</v>
      </c>
      <c r="BR138" s="16">
        <v>0</v>
      </c>
      <c r="BS138" s="16">
        <v>0</v>
      </c>
      <c r="BT138" s="16">
        <v>0</v>
      </c>
      <c r="BU138" s="16">
        <v>0</v>
      </c>
      <c r="BV138" s="16">
        <v>0</v>
      </c>
      <c r="BW138" s="16">
        <v>0</v>
      </c>
      <c r="BX138" s="16">
        <v>0</v>
      </c>
      <c r="BY138" s="16">
        <f>SUM(BZ138+CS138)</f>
        <v>0</v>
      </c>
      <c r="BZ138" s="16">
        <f>SUM(CA138+CD138+CK138)</f>
        <v>0</v>
      </c>
      <c r="CA138" s="16">
        <f t="shared" si="76"/>
        <v>0</v>
      </c>
      <c r="CB138" s="16">
        <v>0</v>
      </c>
      <c r="CC138" s="16">
        <v>0</v>
      </c>
      <c r="CD138" s="16">
        <f t="shared" si="77"/>
        <v>0</v>
      </c>
      <c r="CE138" s="16">
        <v>0</v>
      </c>
      <c r="CF138" s="16">
        <v>0</v>
      </c>
      <c r="CG138" s="16">
        <v>0</v>
      </c>
      <c r="CH138" s="16">
        <v>0</v>
      </c>
      <c r="CI138" s="16">
        <v>0</v>
      </c>
      <c r="CJ138" s="16">
        <v>0</v>
      </c>
      <c r="CK138" s="16">
        <f t="shared" si="78"/>
        <v>0</v>
      </c>
      <c r="CL138" s="16">
        <v>0</v>
      </c>
      <c r="CM138" s="16">
        <v>0</v>
      </c>
      <c r="CN138" s="16">
        <v>0</v>
      </c>
      <c r="CO138" s="16">
        <v>0</v>
      </c>
      <c r="CP138" s="16">
        <v>0</v>
      </c>
      <c r="CQ138" s="16">
        <v>0</v>
      </c>
      <c r="CR138" s="16">
        <v>0</v>
      </c>
      <c r="CS138" s="16">
        <v>0</v>
      </c>
      <c r="CT138" s="16">
        <f t="shared" si="79"/>
        <v>0</v>
      </c>
      <c r="CU138" s="16">
        <f t="shared" si="80"/>
        <v>0</v>
      </c>
      <c r="CV138" s="16">
        <v>0</v>
      </c>
      <c r="CW138" s="17">
        <v>0</v>
      </c>
      <c r="CX138" s="40"/>
    </row>
    <row r="139" spans="1:102" ht="15.75" hidden="1" x14ac:dyDescent="0.25">
      <c r="A139" s="13" t="s">
        <v>1</v>
      </c>
      <c r="B139" s="14" t="s">
        <v>1</v>
      </c>
      <c r="C139" s="14" t="s">
        <v>23</v>
      </c>
      <c r="D139" s="30" t="s">
        <v>168</v>
      </c>
      <c r="E139" s="15">
        <f>SUM(F139+BY139+CT139)</f>
        <v>764920</v>
      </c>
      <c r="F139" s="16">
        <f>SUM(G139+BA139)</f>
        <v>753271</v>
      </c>
      <c r="G139" s="16">
        <f>SUM(H139+I139+J139+Q139+T139+U139+V139+AE139)</f>
        <v>753271</v>
      </c>
      <c r="H139" s="16">
        <v>582448</v>
      </c>
      <c r="I139" s="16">
        <v>133303</v>
      </c>
      <c r="J139" s="16">
        <f>SUM(K139:P139)</f>
        <v>11348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11348</v>
      </c>
      <c r="Q139" s="16">
        <f>SUM(R139:S139)</f>
        <v>3499</v>
      </c>
      <c r="R139" s="16">
        <v>3499</v>
      </c>
      <c r="S139" s="16">
        <v>0</v>
      </c>
      <c r="T139" s="16">
        <v>0</v>
      </c>
      <c r="U139" s="16">
        <v>13390</v>
      </c>
      <c r="V139" s="16">
        <f>SUM(W139:AD139)</f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f>SUM(AF139:AZ139)</f>
        <v>9283</v>
      </c>
      <c r="AF139" s="16">
        <v>0</v>
      </c>
      <c r="AG139" s="16">
        <v>1868</v>
      </c>
      <c r="AH139" s="16">
        <v>0</v>
      </c>
      <c r="AI139" s="16">
        <v>0</v>
      </c>
      <c r="AJ139" s="16">
        <v>1591</v>
      </c>
      <c r="AK139" s="16">
        <v>0</v>
      </c>
      <c r="AL139" s="16">
        <v>5824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0</v>
      </c>
      <c r="AV139" s="16">
        <v>0</v>
      </c>
      <c r="AW139" s="16">
        <v>0</v>
      </c>
      <c r="AX139" s="16">
        <v>0</v>
      </c>
      <c r="AY139" s="16">
        <v>0</v>
      </c>
      <c r="AZ139" s="16">
        <v>0</v>
      </c>
      <c r="BA139" s="16">
        <f>SUM(BB139+BF139+BI139+BK139+BM139)</f>
        <v>0</v>
      </c>
      <c r="BB139" s="16">
        <f>SUM(BC139:BE139)</f>
        <v>0</v>
      </c>
      <c r="BC139" s="16">
        <v>0</v>
      </c>
      <c r="BD139" s="16">
        <v>0</v>
      </c>
      <c r="BE139" s="16">
        <v>0</v>
      </c>
      <c r="BF139" s="16">
        <f>SUM(BG139:BH139)</f>
        <v>0</v>
      </c>
      <c r="BG139" s="16">
        <v>0</v>
      </c>
      <c r="BH139" s="16">
        <v>0</v>
      </c>
      <c r="BI139" s="16">
        <v>0</v>
      </c>
      <c r="BJ139" s="16">
        <v>0</v>
      </c>
      <c r="BK139" s="16">
        <f>SUM(BL139)</f>
        <v>0</v>
      </c>
      <c r="BL139" s="16">
        <v>0</v>
      </c>
      <c r="BM139" s="16">
        <f>SUM(BN139:BX139)</f>
        <v>0</v>
      </c>
      <c r="BN139" s="16">
        <v>0</v>
      </c>
      <c r="BO139" s="16">
        <v>0</v>
      </c>
      <c r="BP139" s="16">
        <v>0</v>
      </c>
      <c r="BQ139" s="16">
        <v>0</v>
      </c>
      <c r="BR139" s="16">
        <v>0</v>
      </c>
      <c r="BS139" s="16">
        <v>0</v>
      </c>
      <c r="BT139" s="16">
        <v>0</v>
      </c>
      <c r="BU139" s="16">
        <v>0</v>
      </c>
      <c r="BV139" s="16">
        <v>0</v>
      </c>
      <c r="BW139" s="16">
        <v>0</v>
      </c>
      <c r="BX139" s="16">
        <v>0</v>
      </c>
      <c r="BY139" s="16">
        <f>SUM(BZ139+CS139)</f>
        <v>11649</v>
      </c>
      <c r="BZ139" s="16">
        <f>SUM(CA139+CD139+CK139)</f>
        <v>11649</v>
      </c>
      <c r="CA139" s="16">
        <f>SUM(CB139:CC139)</f>
        <v>11649</v>
      </c>
      <c r="CB139" s="16">
        <v>0</v>
      </c>
      <c r="CC139" s="16">
        <v>11649</v>
      </c>
      <c r="CD139" s="16">
        <f>SUM(CE139:CI139)</f>
        <v>0</v>
      </c>
      <c r="CE139" s="16">
        <v>0</v>
      </c>
      <c r="CF139" s="16">
        <v>0</v>
      </c>
      <c r="CG139" s="16">
        <v>0</v>
      </c>
      <c r="CH139" s="16">
        <v>0</v>
      </c>
      <c r="CI139" s="16">
        <v>0</v>
      </c>
      <c r="CJ139" s="16">
        <v>0</v>
      </c>
      <c r="CK139" s="16">
        <f>SUM(CL139:CP139)</f>
        <v>0</v>
      </c>
      <c r="CL139" s="16">
        <v>0</v>
      </c>
      <c r="CM139" s="16">
        <v>0</v>
      </c>
      <c r="CN139" s="16">
        <v>0</v>
      </c>
      <c r="CO139" s="16">
        <v>0</v>
      </c>
      <c r="CP139" s="16">
        <v>0</v>
      </c>
      <c r="CQ139" s="16">
        <v>0</v>
      </c>
      <c r="CR139" s="16">
        <v>0</v>
      </c>
      <c r="CS139" s="16">
        <v>0</v>
      </c>
      <c r="CT139" s="16">
        <f>SUM(CU139)</f>
        <v>0</v>
      </c>
      <c r="CU139" s="16">
        <f>SUM(CV139:CW139)</f>
        <v>0</v>
      </c>
      <c r="CV139" s="16">
        <v>0</v>
      </c>
      <c r="CW139" s="17">
        <v>0</v>
      </c>
      <c r="CX139" s="40"/>
    </row>
    <row r="140" spans="1:102" ht="15.75" hidden="1" x14ac:dyDescent="0.25">
      <c r="A140" s="13" t="s">
        <v>1</v>
      </c>
      <c r="B140" s="14" t="s">
        <v>1</v>
      </c>
      <c r="C140" s="14" t="s">
        <v>23</v>
      </c>
      <c r="D140" s="30" t="s">
        <v>167</v>
      </c>
      <c r="E140" s="15">
        <f>SUM(F140+BY140+CT140)</f>
        <v>399733</v>
      </c>
      <c r="F140" s="16">
        <f>SUM(G140+BA140)</f>
        <v>399733</v>
      </c>
      <c r="G140" s="16">
        <f>SUM(H140+I140+J140+Q140+T140+U140+V140+AE140)</f>
        <v>349293</v>
      </c>
      <c r="H140" s="16">
        <v>0</v>
      </c>
      <c r="I140" s="16">
        <v>0</v>
      </c>
      <c r="J140" s="16">
        <f t="shared" si="71"/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f t="shared" si="72"/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f>SUM(W140:AD140)</f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f>SUM(AF140:AZ140)</f>
        <v>349293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94438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  <c r="AZ140" s="16">
        <v>254855</v>
      </c>
      <c r="BA140" s="16">
        <f>SUM(BB140+BF140+BI140+BK140+BM140)</f>
        <v>50440</v>
      </c>
      <c r="BB140" s="16">
        <f>SUM(BC140:BE140)</f>
        <v>0</v>
      </c>
      <c r="BC140" s="16">
        <v>0</v>
      </c>
      <c r="BD140" s="16">
        <v>0</v>
      </c>
      <c r="BE140" s="16">
        <v>0</v>
      </c>
      <c r="BF140" s="16">
        <f t="shared" si="73"/>
        <v>0</v>
      </c>
      <c r="BG140" s="16">
        <v>0</v>
      </c>
      <c r="BH140" s="16">
        <v>0</v>
      </c>
      <c r="BI140" s="16">
        <v>0</v>
      </c>
      <c r="BJ140" s="16">
        <v>0</v>
      </c>
      <c r="BK140" s="16">
        <f t="shared" si="74"/>
        <v>0</v>
      </c>
      <c r="BL140" s="16">
        <v>0</v>
      </c>
      <c r="BM140" s="16">
        <f t="shared" si="75"/>
        <v>50440</v>
      </c>
      <c r="BN140" s="16">
        <v>0</v>
      </c>
      <c r="BO140" s="16">
        <v>0</v>
      </c>
      <c r="BP140" s="16">
        <v>50440</v>
      </c>
      <c r="BQ140" s="16">
        <v>0</v>
      </c>
      <c r="BR140" s="16">
        <v>0</v>
      </c>
      <c r="BS140" s="16">
        <v>0</v>
      </c>
      <c r="BT140" s="16">
        <v>0</v>
      </c>
      <c r="BU140" s="16">
        <v>0</v>
      </c>
      <c r="BV140" s="16">
        <v>0</v>
      </c>
      <c r="BW140" s="16">
        <v>0</v>
      </c>
      <c r="BX140" s="16">
        <v>0</v>
      </c>
      <c r="BY140" s="16">
        <f>SUM(BZ140+CS140)</f>
        <v>0</v>
      </c>
      <c r="BZ140" s="16">
        <f>SUM(CA140+CD140+CK140)</f>
        <v>0</v>
      </c>
      <c r="CA140" s="16">
        <f t="shared" si="76"/>
        <v>0</v>
      </c>
      <c r="CB140" s="16">
        <v>0</v>
      </c>
      <c r="CC140" s="16">
        <v>0</v>
      </c>
      <c r="CD140" s="16">
        <f t="shared" si="77"/>
        <v>0</v>
      </c>
      <c r="CE140" s="16">
        <v>0</v>
      </c>
      <c r="CF140" s="16">
        <v>0</v>
      </c>
      <c r="CG140" s="16">
        <v>0</v>
      </c>
      <c r="CH140" s="16">
        <v>0</v>
      </c>
      <c r="CI140" s="16">
        <v>0</v>
      </c>
      <c r="CJ140" s="16">
        <v>0</v>
      </c>
      <c r="CK140" s="16">
        <f t="shared" si="78"/>
        <v>0</v>
      </c>
      <c r="CL140" s="16">
        <v>0</v>
      </c>
      <c r="CM140" s="16">
        <v>0</v>
      </c>
      <c r="CN140" s="16">
        <v>0</v>
      </c>
      <c r="CO140" s="16">
        <v>0</v>
      </c>
      <c r="CP140" s="16">
        <v>0</v>
      </c>
      <c r="CQ140" s="16">
        <v>0</v>
      </c>
      <c r="CR140" s="16">
        <v>0</v>
      </c>
      <c r="CS140" s="16">
        <v>0</v>
      </c>
      <c r="CT140" s="16">
        <f t="shared" si="79"/>
        <v>0</v>
      </c>
      <c r="CU140" s="16">
        <f t="shared" si="80"/>
        <v>0</v>
      </c>
      <c r="CV140" s="16">
        <v>0</v>
      </c>
      <c r="CW140" s="17">
        <v>0</v>
      </c>
      <c r="CX140" s="40"/>
    </row>
    <row r="141" spans="1:102" ht="31.5" x14ac:dyDescent="0.25">
      <c r="A141" s="18" t="s">
        <v>169</v>
      </c>
      <c r="B141" s="19" t="s">
        <v>1</v>
      </c>
      <c r="C141" s="19" t="s">
        <v>1</v>
      </c>
      <c r="D141" s="31" t="s">
        <v>170</v>
      </c>
      <c r="E141" s="20">
        <f>SUM(E142+E146+E149)</f>
        <v>23539458</v>
      </c>
      <c r="F141" s="21">
        <f t="shared" ref="F141:BS141" si="158">SUM(F142+F146+F149)</f>
        <v>23299794</v>
      </c>
      <c r="G141" s="21">
        <f t="shared" si="158"/>
        <v>22787634</v>
      </c>
      <c r="H141" s="21">
        <f t="shared" si="158"/>
        <v>14906008</v>
      </c>
      <c r="I141" s="21">
        <f t="shared" si="158"/>
        <v>3487289</v>
      </c>
      <c r="J141" s="21">
        <f t="shared" si="158"/>
        <v>223637</v>
      </c>
      <c r="K141" s="21">
        <f t="shared" si="158"/>
        <v>1401</v>
      </c>
      <c r="L141" s="21">
        <f t="shared" si="158"/>
        <v>8000</v>
      </c>
      <c r="M141" s="21">
        <f t="shared" si="158"/>
        <v>0</v>
      </c>
      <c r="N141" s="21">
        <f t="shared" si="158"/>
        <v>0</v>
      </c>
      <c r="O141" s="21">
        <f t="shared" si="158"/>
        <v>195264</v>
      </c>
      <c r="P141" s="21">
        <f t="shared" si="158"/>
        <v>18972</v>
      </c>
      <c r="Q141" s="21">
        <f t="shared" si="158"/>
        <v>1081</v>
      </c>
      <c r="R141" s="21">
        <f t="shared" si="158"/>
        <v>1081</v>
      </c>
      <c r="S141" s="21">
        <f t="shared" si="158"/>
        <v>0</v>
      </c>
      <c r="T141" s="21">
        <f t="shared" si="158"/>
        <v>0</v>
      </c>
      <c r="U141" s="21">
        <f t="shared" si="158"/>
        <v>99698</v>
      </c>
      <c r="V141" s="21">
        <f t="shared" si="158"/>
        <v>204466</v>
      </c>
      <c r="W141" s="21">
        <f t="shared" si="158"/>
        <v>9800</v>
      </c>
      <c r="X141" s="21">
        <f t="shared" si="158"/>
        <v>135632</v>
      </c>
      <c r="Y141" s="21">
        <f t="shared" si="158"/>
        <v>41855</v>
      </c>
      <c r="Z141" s="21">
        <f t="shared" si="158"/>
        <v>8943</v>
      </c>
      <c r="AA141" s="21">
        <f t="shared" si="158"/>
        <v>6522</v>
      </c>
      <c r="AB141" s="21">
        <f t="shared" si="158"/>
        <v>0</v>
      </c>
      <c r="AC141" s="21">
        <f t="shared" si="158"/>
        <v>0</v>
      </c>
      <c r="AD141" s="21">
        <f t="shared" si="158"/>
        <v>1714</v>
      </c>
      <c r="AE141" s="21">
        <f t="shared" si="158"/>
        <v>3865455</v>
      </c>
      <c r="AF141" s="21">
        <f t="shared" si="158"/>
        <v>0</v>
      </c>
      <c r="AG141" s="21">
        <f t="shared" si="158"/>
        <v>0</v>
      </c>
      <c r="AH141" s="21">
        <f t="shared" si="158"/>
        <v>54080</v>
      </c>
      <c r="AI141" s="21">
        <f t="shared" si="158"/>
        <v>0</v>
      </c>
      <c r="AJ141" s="21">
        <f t="shared" si="158"/>
        <v>9546</v>
      </c>
      <c r="AK141" s="21">
        <f t="shared" si="158"/>
        <v>0</v>
      </c>
      <c r="AL141" s="21">
        <f t="shared" si="158"/>
        <v>119834</v>
      </c>
      <c r="AM141" s="21">
        <f t="shared" si="158"/>
        <v>0</v>
      </c>
      <c r="AN141" s="21">
        <f t="shared" si="158"/>
        <v>0</v>
      </c>
      <c r="AO141" s="21">
        <f t="shared" si="158"/>
        <v>0</v>
      </c>
      <c r="AP141" s="21">
        <f>SUM(AP142+AP146+AP149)</f>
        <v>0</v>
      </c>
      <c r="AQ141" s="21">
        <f t="shared" si="158"/>
        <v>0</v>
      </c>
      <c r="AR141" s="21">
        <f t="shared" si="158"/>
        <v>42219</v>
      </c>
      <c r="AS141" s="21">
        <f t="shared" si="158"/>
        <v>17000</v>
      </c>
      <c r="AT141" s="21">
        <f t="shared" si="158"/>
        <v>0</v>
      </c>
      <c r="AU141" s="21">
        <f t="shared" si="158"/>
        <v>0</v>
      </c>
      <c r="AV141" s="21">
        <f t="shared" si="158"/>
        <v>0</v>
      </c>
      <c r="AW141" s="21">
        <f t="shared" si="158"/>
        <v>0</v>
      </c>
      <c r="AX141" s="21">
        <f t="shared" si="158"/>
        <v>0</v>
      </c>
      <c r="AY141" s="21">
        <f t="shared" si="158"/>
        <v>0</v>
      </c>
      <c r="AZ141" s="21">
        <f t="shared" si="158"/>
        <v>3622776</v>
      </c>
      <c r="BA141" s="21">
        <f t="shared" si="158"/>
        <v>512160</v>
      </c>
      <c r="BB141" s="21">
        <f t="shared" si="158"/>
        <v>0</v>
      </c>
      <c r="BC141" s="21">
        <f t="shared" si="158"/>
        <v>0</v>
      </c>
      <c r="BD141" s="21">
        <f t="shared" si="158"/>
        <v>0</v>
      </c>
      <c r="BE141" s="21">
        <f t="shared" si="158"/>
        <v>0</v>
      </c>
      <c r="BF141" s="21">
        <f t="shared" si="158"/>
        <v>0</v>
      </c>
      <c r="BG141" s="21">
        <f t="shared" si="158"/>
        <v>0</v>
      </c>
      <c r="BH141" s="21">
        <f t="shared" si="158"/>
        <v>0</v>
      </c>
      <c r="BI141" s="21">
        <f t="shared" si="158"/>
        <v>0</v>
      </c>
      <c r="BJ141" s="21">
        <f t="shared" si="158"/>
        <v>0</v>
      </c>
      <c r="BK141" s="21">
        <f t="shared" si="158"/>
        <v>0</v>
      </c>
      <c r="BL141" s="21">
        <f t="shared" si="158"/>
        <v>0</v>
      </c>
      <c r="BM141" s="21">
        <f t="shared" si="158"/>
        <v>512160</v>
      </c>
      <c r="BN141" s="21">
        <f t="shared" si="158"/>
        <v>0</v>
      </c>
      <c r="BO141" s="21">
        <f t="shared" si="158"/>
        <v>0</v>
      </c>
      <c r="BP141" s="21">
        <f t="shared" si="158"/>
        <v>512160</v>
      </c>
      <c r="BQ141" s="21">
        <f t="shared" si="158"/>
        <v>0</v>
      </c>
      <c r="BR141" s="21">
        <f t="shared" si="158"/>
        <v>0</v>
      </c>
      <c r="BS141" s="21">
        <f t="shared" si="158"/>
        <v>0</v>
      </c>
      <c r="BT141" s="21">
        <f t="shared" ref="BT141:CW141" si="159">SUM(BT142+BT146+BT149)</f>
        <v>0</v>
      </c>
      <c r="BU141" s="21">
        <f t="shared" si="159"/>
        <v>0</v>
      </c>
      <c r="BV141" s="21">
        <f t="shared" si="159"/>
        <v>0</v>
      </c>
      <c r="BW141" s="21">
        <f t="shared" si="159"/>
        <v>0</v>
      </c>
      <c r="BX141" s="21">
        <f t="shared" si="159"/>
        <v>0</v>
      </c>
      <c r="BY141" s="21">
        <f t="shared" si="159"/>
        <v>239664</v>
      </c>
      <c r="BZ141" s="21">
        <f t="shared" si="159"/>
        <v>239664</v>
      </c>
      <c r="CA141" s="21">
        <f t="shared" si="159"/>
        <v>239664</v>
      </c>
      <c r="CB141" s="21">
        <f t="shared" si="159"/>
        <v>0</v>
      </c>
      <c r="CC141" s="21">
        <f t="shared" si="159"/>
        <v>239664</v>
      </c>
      <c r="CD141" s="21">
        <f t="shared" si="159"/>
        <v>0</v>
      </c>
      <c r="CE141" s="21">
        <f t="shared" si="159"/>
        <v>0</v>
      </c>
      <c r="CF141" s="21">
        <f>SUM(CF142+CF146+CF149)</f>
        <v>0</v>
      </c>
      <c r="CG141" s="21">
        <f t="shared" si="159"/>
        <v>0</v>
      </c>
      <c r="CH141" s="21">
        <f t="shared" si="159"/>
        <v>0</v>
      </c>
      <c r="CI141" s="21">
        <f t="shared" si="159"/>
        <v>0</v>
      </c>
      <c r="CJ141" s="21">
        <f t="shared" si="159"/>
        <v>0</v>
      </c>
      <c r="CK141" s="21">
        <f t="shared" si="159"/>
        <v>0</v>
      </c>
      <c r="CL141" s="21">
        <f t="shared" si="159"/>
        <v>0</v>
      </c>
      <c r="CM141" s="21">
        <f>SUM(CM142+CM146+CM149)</f>
        <v>0</v>
      </c>
      <c r="CN141" s="21">
        <f t="shared" si="159"/>
        <v>0</v>
      </c>
      <c r="CO141" s="21">
        <f t="shared" si="159"/>
        <v>0</v>
      </c>
      <c r="CP141" s="21">
        <f t="shared" si="159"/>
        <v>0</v>
      </c>
      <c r="CQ141" s="21">
        <f t="shared" si="159"/>
        <v>0</v>
      </c>
      <c r="CR141" s="21">
        <f t="shared" si="159"/>
        <v>0</v>
      </c>
      <c r="CS141" s="21">
        <f t="shared" si="159"/>
        <v>0</v>
      </c>
      <c r="CT141" s="21">
        <f t="shared" si="159"/>
        <v>0</v>
      </c>
      <c r="CU141" s="21">
        <f t="shared" si="159"/>
        <v>0</v>
      </c>
      <c r="CV141" s="21">
        <f t="shared" si="159"/>
        <v>0</v>
      </c>
      <c r="CW141" s="22">
        <f t="shared" si="159"/>
        <v>0</v>
      </c>
      <c r="CX141" s="40"/>
    </row>
    <row r="142" spans="1:102" ht="31.5" x14ac:dyDescent="0.25">
      <c r="A142" s="13" t="s">
        <v>171</v>
      </c>
      <c r="B142" s="14" t="s">
        <v>7</v>
      </c>
      <c r="C142" s="14" t="s">
        <v>1</v>
      </c>
      <c r="D142" s="30" t="s">
        <v>172</v>
      </c>
      <c r="E142" s="15">
        <f>SUM(E143:E145)</f>
        <v>13523279</v>
      </c>
      <c r="F142" s="16">
        <f t="shared" ref="F142:BS142" si="160">SUM(F143:F145)</f>
        <v>13371643</v>
      </c>
      <c r="G142" s="16">
        <f t="shared" si="160"/>
        <v>13371643</v>
      </c>
      <c r="H142" s="16">
        <f t="shared" si="160"/>
        <v>10352411</v>
      </c>
      <c r="I142" s="16">
        <f t="shared" si="160"/>
        <v>2422237</v>
      </c>
      <c r="J142" s="16">
        <f t="shared" si="160"/>
        <v>128615</v>
      </c>
      <c r="K142" s="16">
        <f t="shared" si="160"/>
        <v>0</v>
      </c>
      <c r="L142" s="16">
        <f t="shared" si="160"/>
        <v>0</v>
      </c>
      <c r="M142" s="16">
        <f t="shared" si="160"/>
        <v>0</v>
      </c>
      <c r="N142" s="16">
        <f t="shared" si="160"/>
        <v>0</v>
      </c>
      <c r="O142" s="16">
        <f t="shared" si="160"/>
        <v>119656</v>
      </c>
      <c r="P142" s="16">
        <f t="shared" si="160"/>
        <v>8959</v>
      </c>
      <c r="Q142" s="16">
        <f t="shared" si="160"/>
        <v>1081</v>
      </c>
      <c r="R142" s="16">
        <f t="shared" si="160"/>
        <v>1081</v>
      </c>
      <c r="S142" s="16">
        <f t="shared" si="160"/>
        <v>0</v>
      </c>
      <c r="T142" s="16">
        <f t="shared" si="160"/>
        <v>0</v>
      </c>
      <c r="U142" s="16">
        <f t="shared" si="160"/>
        <v>43857</v>
      </c>
      <c r="V142" s="16">
        <f t="shared" si="160"/>
        <v>135815</v>
      </c>
      <c r="W142" s="16">
        <f t="shared" si="160"/>
        <v>9800</v>
      </c>
      <c r="X142" s="16">
        <f t="shared" si="160"/>
        <v>73512</v>
      </c>
      <c r="Y142" s="16">
        <f t="shared" si="160"/>
        <v>36328</v>
      </c>
      <c r="Z142" s="16">
        <f t="shared" si="160"/>
        <v>7939</v>
      </c>
      <c r="AA142" s="16">
        <f t="shared" si="160"/>
        <v>6522</v>
      </c>
      <c r="AB142" s="16">
        <f t="shared" si="160"/>
        <v>0</v>
      </c>
      <c r="AC142" s="16">
        <f t="shared" si="160"/>
        <v>0</v>
      </c>
      <c r="AD142" s="16">
        <f t="shared" si="160"/>
        <v>1714</v>
      </c>
      <c r="AE142" s="16">
        <f t="shared" si="160"/>
        <v>287627</v>
      </c>
      <c r="AF142" s="16">
        <f t="shared" si="160"/>
        <v>0</v>
      </c>
      <c r="AG142" s="16">
        <f t="shared" si="160"/>
        <v>0</v>
      </c>
      <c r="AH142" s="16">
        <f t="shared" si="160"/>
        <v>41407</v>
      </c>
      <c r="AI142" s="16">
        <f t="shared" si="160"/>
        <v>0</v>
      </c>
      <c r="AJ142" s="16">
        <f t="shared" si="160"/>
        <v>3182</v>
      </c>
      <c r="AK142" s="16">
        <f t="shared" si="160"/>
        <v>0</v>
      </c>
      <c r="AL142" s="16">
        <f t="shared" si="160"/>
        <v>75819</v>
      </c>
      <c r="AM142" s="16">
        <f t="shared" si="160"/>
        <v>0</v>
      </c>
      <c r="AN142" s="16">
        <f t="shared" si="160"/>
        <v>0</v>
      </c>
      <c r="AO142" s="16">
        <f t="shared" si="160"/>
        <v>0</v>
      </c>
      <c r="AP142" s="16">
        <f>SUM(AP143:AP145)</f>
        <v>0</v>
      </c>
      <c r="AQ142" s="16">
        <f t="shared" si="160"/>
        <v>0</v>
      </c>
      <c r="AR142" s="16">
        <f t="shared" si="160"/>
        <v>42219</v>
      </c>
      <c r="AS142" s="16">
        <f t="shared" si="160"/>
        <v>0</v>
      </c>
      <c r="AT142" s="16">
        <f t="shared" si="160"/>
        <v>0</v>
      </c>
      <c r="AU142" s="16">
        <f t="shared" si="160"/>
        <v>0</v>
      </c>
      <c r="AV142" s="16">
        <f t="shared" si="160"/>
        <v>0</v>
      </c>
      <c r="AW142" s="16">
        <f t="shared" si="160"/>
        <v>0</v>
      </c>
      <c r="AX142" s="16">
        <f t="shared" si="160"/>
        <v>0</v>
      </c>
      <c r="AY142" s="16">
        <f t="shared" si="160"/>
        <v>0</v>
      </c>
      <c r="AZ142" s="16">
        <f t="shared" si="160"/>
        <v>125000</v>
      </c>
      <c r="BA142" s="16">
        <f t="shared" si="160"/>
        <v>0</v>
      </c>
      <c r="BB142" s="16">
        <f t="shared" si="160"/>
        <v>0</v>
      </c>
      <c r="BC142" s="16">
        <f t="shared" si="160"/>
        <v>0</v>
      </c>
      <c r="BD142" s="16">
        <f t="shared" si="160"/>
        <v>0</v>
      </c>
      <c r="BE142" s="16">
        <f t="shared" si="160"/>
        <v>0</v>
      </c>
      <c r="BF142" s="16">
        <f t="shared" si="160"/>
        <v>0</v>
      </c>
      <c r="BG142" s="16">
        <f t="shared" si="160"/>
        <v>0</v>
      </c>
      <c r="BH142" s="16">
        <f t="shared" si="160"/>
        <v>0</v>
      </c>
      <c r="BI142" s="16">
        <f t="shared" si="160"/>
        <v>0</v>
      </c>
      <c r="BJ142" s="16">
        <f t="shared" si="160"/>
        <v>0</v>
      </c>
      <c r="BK142" s="16">
        <f t="shared" si="160"/>
        <v>0</v>
      </c>
      <c r="BL142" s="16">
        <f t="shared" si="160"/>
        <v>0</v>
      </c>
      <c r="BM142" s="16">
        <f t="shared" si="160"/>
        <v>0</v>
      </c>
      <c r="BN142" s="16">
        <f t="shared" si="160"/>
        <v>0</v>
      </c>
      <c r="BO142" s="16">
        <f t="shared" si="160"/>
        <v>0</v>
      </c>
      <c r="BP142" s="16">
        <f t="shared" si="160"/>
        <v>0</v>
      </c>
      <c r="BQ142" s="16">
        <f t="shared" si="160"/>
        <v>0</v>
      </c>
      <c r="BR142" s="16">
        <f t="shared" si="160"/>
        <v>0</v>
      </c>
      <c r="BS142" s="16">
        <f t="shared" si="160"/>
        <v>0</v>
      </c>
      <c r="BT142" s="16">
        <f t="shared" ref="BT142:CW142" si="161">SUM(BT143:BT145)</f>
        <v>0</v>
      </c>
      <c r="BU142" s="16">
        <f t="shared" si="161"/>
        <v>0</v>
      </c>
      <c r="BV142" s="16">
        <f t="shared" si="161"/>
        <v>0</v>
      </c>
      <c r="BW142" s="16">
        <f t="shared" si="161"/>
        <v>0</v>
      </c>
      <c r="BX142" s="16">
        <f t="shared" si="161"/>
        <v>0</v>
      </c>
      <c r="BY142" s="16">
        <f t="shared" si="161"/>
        <v>151636</v>
      </c>
      <c r="BZ142" s="16">
        <f t="shared" si="161"/>
        <v>151636</v>
      </c>
      <c r="CA142" s="16">
        <f t="shared" si="161"/>
        <v>151636</v>
      </c>
      <c r="CB142" s="16">
        <f t="shared" si="161"/>
        <v>0</v>
      </c>
      <c r="CC142" s="16">
        <f t="shared" si="161"/>
        <v>151636</v>
      </c>
      <c r="CD142" s="16">
        <f t="shared" si="161"/>
        <v>0</v>
      </c>
      <c r="CE142" s="16">
        <f t="shared" si="161"/>
        <v>0</v>
      </c>
      <c r="CF142" s="16">
        <f>SUM(CF143:CF145)</f>
        <v>0</v>
      </c>
      <c r="CG142" s="16">
        <f t="shared" si="161"/>
        <v>0</v>
      </c>
      <c r="CH142" s="16">
        <f t="shared" si="161"/>
        <v>0</v>
      </c>
      <c r="CI142" s="16">
        <f t="shared" si="161"/>
        <v>0</v>
      </c>
      <c r="CJ142" s="16">
        <f t="shared" si="161"/>
        <v>0</v>
      </c>
      <c r="CK142" s="16">
        <f t="shared" si="161"/>
        <v>0</v>
      </c>
      <c r="CL142" s="16">
        <f t="shared" si="161"/>
        <v>0</v>
      </c>
      <c r="CM142" s="16">
        <f>SUM(CM143:CM145)</f>
        <v>0</v>
      </c>
      <c r="CN142" s="16">
        <f t="shared" si="161"/>
        <v>0</v>
      </c>
      <c r="CO142" s="16">
        <f t="shared" si="161"/>
        <v>0</v>
      </c>
      <c r="CP142" s="16">
        <f t="shared" si="161"/>
        <v>0</v>
      </c>
      <c r="CQ142" s="16">
        <f t="shared" si="161"/>
        <v>0</v>
      </c>
      <c r="CR142" s="16">
        <f t="shared" si="161"/>
        <v>0</v>
      </c>
      <c r="CS142" s="16">
        <f t="shared" si="161"/>
        <v>0</v>
      </c>
      <c r="CT142" s="16">
        <f t="shared" si="161"/>
        <v>0</v>
      </c>
      <c r="CU142" s="16">
        <f t="shared" si="161"/>
        <v>0</v>
      </c>
      <c r="CV142" s="16">
        <f t="shared" si="161"/>
        <v>0</v>
      </c>
      <c r="CW142" s="17">
        <f t="shared" si="161"/>
        <v>0</v>
      </c>
      <c r="CX142" s="40"/>
    </row>
    <row r="143" spans="1:102" ht="31.5" x14ac:dyDescent="0.25">
      <c r="A143" s="13" t="s">
        <v>1</v>
      </c>
      <c r="B143" s="14" t="s">
        <v>1</v>
      </c>
      <c r="C143" s="14" t="s">
        <v>33</v>
      </c>
      <c r="D143" s="30" t="s">
        <v>173</v>
      </c>
      <c r="E143" s="15">
        <f>SUM(F143+BY143+CT143)</f>
        <v>8178780</v>
      </c>
      <c r="F143" s="16">
        <f>SUM(G143+BA143)</f>
        <v>8042211</v>
      </c>
      <c r="G143" s="16">
        <f>SUM(H143+I143+J143+Q143+T143+U143+V143+AE143)</f>
        <v>8042211</v>
      </c>
      <c r="H143" s="16">
        <v>6218149</v>
      </c>
      <c r="I143" s="16">
        <v>1431221</v>
      </c>
      <c r="J143" s="16">
        <f t="shared" si="71"/>
        <v>128615</v>
      </c>
      <c r="K143" s="16">
        <v>0</v>
      </c>
      <c r="L143" s="16">
        <v>0</v>
      </c>
      <c r="M143" s="16">
        <v>0</v>
      </c>
      <c r="N143" s="16">
        <v>0</v>
      </c>
      <c r="O143" s="16">
        <v>119656</v>
      </c>
      <c r="P143" s="16">
        <v>8959</v>
      </c>
      <c r="Q143" s="16">
        <f t="shared" si="72"/>
        <v>1081</v>
      </c>
      <c r="R143" s="16">
        <v>1081</v>
      </c>
      <c r="S143" s="16">
        <v>0</v>
      </c>
      <c r="T143" s="16">
        <v>0</v>
      </c>
      <c r="U143" s="16">
        <v>30909</v>
      </c>
      <c r="V143" s="16">
        <f>SUM(W143:AD143)</f>
        <v>125666</v>
      </c>
      <c r="W143" s="16">
        <v>9800</v>
      </c>
      <c r="X143" s="16">
        <f>73112+400</f>
        <v>73512</v>
      </c>
      <c r="Y143" s="16">
        <v>28758</v>
      </c>
      <c r="Z143" s="16">
        <v>7074</v>
      </c>
      <c r="AA143" s="16">
        <v>6522</v>
      </c>
      <c r="AB143" s="16">
        <v>0</v>
      </c>
      <c r="AC143" s="16">
        <v>0</v>
      </c>
      <c r="AD143" s="16">
        <v>0</v>
      </c>
      <c r="AE143" s="16">
        <f>SUM(AF143:AZ143)</f>
        <v>106570</v>
      </c>
      <c r="AF143" s="16">
        <v>0</v>
      </c>
      <c r="AG143" s="16">
        <v>0</v>
      </c>
      <c r="AH143" s="16">
        <v>36694</v>
      </c>
      <c r="AI143" s="16">
        <v>0</v>
      </c>
      <c r="AJ143" s="16">
        <v>1591</v>
      </c>
      <c r="AK143" s="16">
        <v>0</v>
      </c>
      <c r="AL143" s="16">
        <v>68285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16">
        <v>0</v>
      </c>
      <c r="BA143" s="16">
        <f>SUM(BB143+BF143+BI143+BK143+BM143)</f>
        <v>0</v>
      </c>
      <c r="BB143" s="16">
        <f>SUM(BC143:BE143)</f>
        <v>0</v>
      </c>
      <c r="BC143" s="16">
        <v>0</v>
      </c>
      <c r="BD143" s="16">
        <v>0</v>
      </c>
      <c r="BE143" s="16">
        <v>0</v>
      </c>
      <c r="BF143" s="16">
        <f t="shared" si="73"/>
        <v>0</v>
      </c>
      <c r="BG143" s="16">
        <v>0</v>
      </c>
      <c r="BH143" s="16">
        <v>0</v>
      </c>
      <c r="BI143" s="16">
        <v>0</v>
      </c>
      <c r="BJ143" s="16">
        <v>0</v>
      </c>
      <c r="BK143" s="16">
        <f t="shared" si="74"/>
        <v>0</v>
      </c>
      <c r="BL143" s="16">
        <v>0</v>
      </c>
      <c r="BM143" s="16">
        <f t="shared" si="75"/>
        <v>0</v>
      </c>
      <c r="BN143" s="16">
        <v>0</v>
      </c>
      <c r="BO143" s="16">
        <v>0</v>
      </c>
      <c r="BP143" s="16">
        <v>0</v>
      </c>
      <c r="BQ143" s="16">
        <v>0</v>
      </c>
      <c r="BR143" s="16">
        <v>0</v>
      </c>
      <c r="BS143" s="16">
        <v>0</v>
      </c>
      <c r="BT143" s="16">
        <v>0</v>
      </c>
      <c r="BU143" s="16">
        <v>0</v>
      </c>
      <c r="BV143" s="16">
        <v>0</v>
      </c>
      <c r="BW143" s="16">
        <v>0</v>
      </c>
      <c r="BX143" s="16">
        <v>0</v>
      </c>
      <c r="BY143" s="16">
        <f>SUM(BZ143+CS143)</f>
        <v>136569</v>
      </c>
      <c r="BZ143" s="16">
        <f>SUM(CA143+CD143+CK143)</f>
        <v>136569</v>
      </c>
      <c r="CA143" s="16">
        <f t="shared" si="76"/>
        <v>136569</v>
      </c>
      <c r="CB143" s="16">
        <v>0</v>
      </c>
      <c r="CC143" s="16">
        <v>136569</v>
      </c>
      <c r="CD143" s="16">
        <f t="shared" si="77"/>
        <v>0</v>
      </c>
      <c r="CE143" s="16">
        <v>0</v>
      </c>
      <c r="CF143" s="16">
        <v>0</v>
      </c>
      <c r="CG143" s="16">
        <v>0</v>
      </c>
      <c r="CH143" s="16">
        <v>0</v>
      </c>
      <c r="CI143" s="16">
        <v>0</v>
      </c>
      <c r="CJ143" s="16">
        <v>0</v>
      </c>
      <c r="CK143" s="16">
        <f t="shared" si="78"/>
        <v>0</v>
      </c>
      <c r="CL143" s="16">
        <v>0</v>
      </c>
      <c r="CM143" s="16">
        <v>0</v>
      </c>
      <c r="CN143" s="16">
        <v>0</v>
      </c>
      <c r="CO143" s="16">
        <v>0</v>
      </c>
      <c r="CP143" s="16">
        <v>0</v>
      </c>
      <c r="CQ143" s="16">
        <v>0</v>
      </c>
      <c r="CR143" s="16">
        <v>0</v>
      </c>
      <c r="CS143" s="16">
        <v>0</v>
      </c>
      <c r="CT143" s="16">
        <f t="shared" si="79"/>
        <v>0</v>
      </c>
      <c r="CU143" s="16">
        <f t="shared" si="80"/>
        <v>0</v>
      </c>
      <c r="CV143" s="16">
        <v>0</v>
      </c>
      <c r="CW143" s="17">
        <v>0</v>
      </c>
      <c r="CX143" s="40"/>
    </row>
    <row r="144" spans="1:102" ht="15.75" x14ac:dyDescent="0.25">
      <c r="A144" s="13" t="s">
        <v>1</v>
      </c>
      <c r="B144" s="14" t="s">
        <v>1</v>
      </c>
      <c r="C144" s="14" t="s">
        <v>33</v>
      </c>
      <c r="D144" s="30" t="s">
        <v>174</v>
      </c>
      <c r="E144" s="15">
        <f>SUM(F144+BY144+CT144)</f>
        <v>1117043</v>
      </c>
      <c r="F144" s="16">
        <f>SUM(G144+BA144)</f>
        <v>1101976</v>
      </c>
      <c r="G144" s="16">
        <f>SUM(H144+I144+J144+Q144+T144+U144+V144+AE144)</f>
        <v>1101976</v>
      </c>
      <c r="H144" s="16">
        <v>728521</v>
      </c>
      <c r="I144" s="16">
        <v>169301</v>
      </c>
      <c r="J144" s="16">
        <f t="shared" si="71"/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f t="shared" si="72"/>
        <v>0</v>
      </c>
      <c r="R144" s="16">
        <v>0</v>
      </c>
      <c r="S144" s="16">
        <v>0</v>
      </c>
      <c r="T144" s="16">
        <v>0</v>
      </c>
      <c r="U144" s="16">
        <v>12948</v>
      </c>
      <c r="V144" s="16">
        <f>SUM(W144:AD144)</f>
        <v>10149</v>
      </c>
      <c r="W144" s="16">
        <v>0</v>
      </c>
      <c r="X144" s="16">
        <v>0</v>
      </c>
      <c r="Y144" s="16">
        <v>7570</v>
      </c>
      <c r="Z144" s="16">
        <v>865</v>
      </c>
      <c r="AA144" s="16">
        <v>0</v>
      </c>
      <c r="AB144" s="16">
        <v>0</v>
      </c>
      <c r="AC144" s="16">
        <v>0</v>
      </c>
      <c r="AD144" s="16">
        <v>1714</v>
      </c>
      <c r="AE144" s="16">
        <f>SUM(AF144:AZ144)</f>
        <v>181057</v>
      </c>
      <c r="AF144" s="16">
        <v>0</v>
      </c>
      <c r="AG144" s="16">
        <v>0</v>
      </c>
      <c r="AH144" s="16">
        <v>4713</v>
      </c>
      <c r="AI144" s="16">
        <v>0</v>
      </c>
      <c r="AJ144" s="16">
        <v>1591</v>
      </c>
      <c r="AK144" s="16">
        <v>0</v>
      </c>
      <c r="AL144" s="16">
        <v>7534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42219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125000</v>
      </c>
      <c r="BA144" s="16">
        <f>SUM(BB144+BF144+BI144+BK144+BM144)</f>
        <v>0</v>
      </c>
      <c r="BB144" s="16">
        <f>SUM(BC144:BE144)</f>
        <v>0</v>
      </c>
      <c r="BC144" s="16">
        <v>0</v>
      </c>
      <c r="BD144" s="16">
        <v>0</v>
      </c>
      <c r="BE144" s="16">
        <v>0</v>
      </c>
      <c r="BF144" s="16">
        <f t="shared" si="73"/>
        <v>0</v>
      </c>
      <c r="BG144" s="16">
        <v>0</v>
      </c>
      <c r="BH144" s="16">
        <v>0</v>
      </c>
      <c r="BI144" s="16">
        <v>0</v>
      </c>
      <c r="BJ144" s="16">
        <v>0</v>
      </c>
      <c r="BK144" s="16">
        <f t="shared" si="74"/>
        <v>0</v>
      </c>
      <c r="BL144" s="16">
        <v>0</v>
      </c>
      <c r="BM144" s="16">
        <f t="shared" si="75"/>
        <v>0</v>
      </c>
      <c r="BN144" s="16">
        <v>0</v>
      </c>
      <c r="BO144" s="16">
        <v>0</v>
      </c>
      <c r="BP144" s="16">
        <v>0</v>
      </c>
      <c r="BQ144" s="16">
        <v>0</v>
      </c>
      <c r="BR144" s="16">
        <v>0</v>
      </c>
      <c r="BS144" s="16">
        <v>0</v>
      </c>
      <c r="BT144" s="16">
        <v>0</v>
      </c>
      <c r="BU144" s="16">
        <v>0</v>
      </c>
      <c r="BV144" s="16">
        <v>0</v>
      </c>
      <c r="BW144" s="16">
        <v>0</v>
      </c>
      <c r="BX144" s="16">
        <v>0</v>
      </c>
      <c r="BY144" s="16">
        <f>SUM(BZ144+CS144)</f>
        <v>15067</v>
      </c>
      <c r="BZ144" s="16">
        <f>SUM(CA144+CD144+CK144)</f>
        <v>15067</v>
      </c>
      <c r="CA144" s="16">
        <f t="shared" si="76"/>
        <v>15067</v>
      </c>
      <c r="CB144" s="16">
        <v>0</v>
      </c>
      <c r="CC144" s="16">
        <v>15067</v>
      </c>
      <c r="CD144" s="16">
        <f t="shared" si="77"/>
        <v>0</v>
      </c>
      <c r="CE144" s="16">
        <v>0</v>
      </c>
      <c r="CF144" s="16">
        <v>0</v>
      </c>
      <c r="CG144" s="16">
        <v>0</v>
      </c>
      <c r="CH144" s="16">
        <v>0</v>
      </c>
      <c r="CI144" s="16">
        <v>0</v>
      </c>
      <c r="CJ144" s="16">
        <v>0</v>
      </c>
      <c r="CK144" s="16">
        <f t="shared" si="78"/>
        <v>0</v>
      </c>
      <c r="CL144" s="16">
        <v>0</v>
      </c>
      <c r="CM144" s="16">
        <v>0</v>
      </c>
      <c r="CN144" s="16">
        <v>0</v>
      </c>
      <c r="CO144" s="16">
        <v>0</v>
      </c>
      <c r="CP144" s="16">
        <v>0</v>
      </c>
      <c r="CQ144" s="16">
        <v>0</v>
      </c>
      <c r="CR144" s="16">
        <v>0</v>
      </c>
      <c r="CS144" s="16">
        <v>0</v>
      </c>
      <c r="CT144" s="16">
        <f t="shared" si="79"/>
        <v>0</v>
      </c>
      <c r="CU144" s="16">
        <f t="shared" si="80"/>
        <v>0</v>
      </c>
      <c r="CV144" s="16">
        <v>0</v>
      </c>
      <c r="CW144" s="17">
        <v>0</v>
      </c>
      <c r="CX144" s="40"/>
    </row>
    <row r="145" spans="1:102" ht="31.5" x14ac:dyDescent="0.25">
      <c r="A145" s="13" t="s">
        <v>1</v>
      </c>
      <c r="B145" s="14" t="s">
        <v>1</v>
      </c>
      <c r="C145" s="14" t="s">
        <v>33</v>
      </c>
      <c r="D145" s="30" t="s">
        <v>521</v>
      </c>
      <c r="E145" s="15">
        <f>SUM(F145+BY145+CT145)</f>
        <v>4227456</v>
      </c>
      <c r="F145" s="16">
        <f>SUM(G145+BA145)</f>
        <v>4227456</v>
      </c>
      <c r="G145" s="16">
        <f>SUM(H145+I145+J145+Q145+T145+U145+V145+AE145)</f>
        <v>4227456</v>
      </c>
      <c r="H145" s="16">
        <v>3405741</v>
      </c>
      <c r="I145" s="16">
        <v>821715</v>
      </c>
      <c r="J145" s="16">
        <f t="shared" si="71"/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f t="shared" si="72"/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f>SUM(W145:AD145)</f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f>SUM(AF145:AZ145)</f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0</v>
      </c>
      <c r="BA145" s="16">
        <f>SUM(BB145+BF145+BI145+BK145+BM145)</f>
        <v>0</v>
      </c>
      <c r="BB145" s="16">
        <f>SUM(BC145:BE145)</f>
        <v>0</v>
      </c>
      <c r="BC145" s="16">
        <v>0</v>
      </c>
      <c r="BD145" s="16">
        <v>0</v>
      </c>
      <c r="BE145" s="16">
        <v>0</v>
      </c>
      <c r="BF145" s="16">
        <f t="shared" si="73"/>
        <v>0</v>
      </c>
      <c r="BG145" s="16">
        <v>0</v>
      </c>
      <c r="BH145" s="16">
        <v>0</v>
      </c>
      <c r="BI145" s="16">
        <v>0</v>
      </c>
      <c r="BJ145" s="16">
        <v>0</v>
      </c>
      <c r="BK145" s="16">
        <f t="shared" si="74"/>
        <v>0</v>
      </c>
      <c r="BL145" s="16">
        <v>0</v>
      </c>
      <c r="BM145" s="16">
        <f t="shared" si="75"/>
        <v>0</v>
      </c>
      <c r="BN145" s="16">
        <v>0</v>
      </c>
      <c r="BO145" s="16">
        <v>0</v>
      </c>
      <c r="BP145" s="16">
        <v>0</v>
      </c>
      <c r="BQ145" s="16">
        <v>0</v>
      </c>
      <c r="BR145" s="16">
        <v>0</v>
      </c>
      <c r="BS145" s="16">
        <v>0</v>
      </c>
      <c r="BT145" s="16">
        <v>0</v>
      </c>
      <c r="BU145" s="16">
        <v>0</v>
      </c>
      <c r="BV145" s="16">
        <v>0</v>
      </c>
      <c r="BW145" s="16">
        <v>0</v>
      </c>
      <c r="BX145" s="16">
        <v>0</v>
      </c>
      <c r="BY145" s="16">
        <f>SUM(BZ145+CS145)</f>
        <v>0</v>
      </c>
      <c r="BZ145" s="16">
        <f>SUM(CA145+CD145+CK145)</f>
        <v>0</v>
      </c>
      <c r="CA145" s="16">
        <f t="shared" si="76"/>
        <v>0</v>
      </c>
      <c r="CB145" s="16">
        <v>0</v>
      </c>
      <c r="CC145" s="16">
        <v>0</v>
      </c>
      <c r="CD145" s="16">
        <f t="shared" si="77"/>
        <v>0</v>
      </c>
      <c r="CE145" s="16">
        <v>0</v>
      </c>
      <c r="CF145" s="16">
        <v>0</v>
      </c>
      <c r="CG145" s="16">
        <v>0</v>
      </c>
      <c r="CH145" s="16">
        <v>0</v>
      </c>
      <c r="CI145" s="16">
        <v>0</v>
      </c>
      <c r="CJ145" s="16">
        <v>0</v>
      </c>
      <c r="CK145" s="16">
        <f t="shared" si="78"/>
        <v>0</v>
      </c>
      <c r="CL145" s="16">
        <v>0</v>
      </c>
      <c r="CM145" s="16">
        <v>0</v>
      </c>
      <c r="CN145" s="16">
        <v>0</v>
      </c>
      <c r="CO145" s="16">
        <v>0</v>
      </c>
      <c r="CP145" s="16">
        <v>0</v>
      </c>
      <c r="CQ145" s="16">
        <v>0</v>
      </c>
      <c r="CR145" s="16">
        <v>0</v>
      </c>
      <c r="CS145" s="16">
        <v>0</v>
      </c>
      <c r="CT145" s="16">
        <f t="shared" si="79"/>
        <v>0</v>
      </c>
      <c r="CU145" s="16">
        <f t="shared" si="80"/>
        <v>0</v>
      </c>
      <c r="CV145" s="16">
        <v>0</v>
      </c>
      <c r="CW145" s="17">
        <v>0</v>
      </c>
      <c r="CX145" s="40"/>
    </row>
    <row r="146" spans="1:102" ht="15.75" x14ac:dyDescent="0.25">
      <c r="A146" s="13" t="s">
        <v>171</v>
      </c>
      <c r="B146" s="14" t="s">
        <v>15</v>
      </c>
      <c r="C146" s="14" t="s">
        <v>1</v>
      </c>
      <c r="D146" s="30" t="s">
        <v>175</v>
      </c>
      <c r="E146" s="15">
        <f>SUM(E147:E148)</f>
        <v>1317760</v>
      </c>
      <c r="F146" s="16">
        <f t="shared" ref="F146:BS146" si="162">SUM(F147:F148)</f>
        <v>1317760</v>
      </c>
      <c r="G146" s="16">
        <f t="shared" si="162"/>
        <v>1317760</v>
      </c>
      <c r="H146" s="16">
        <f t="shared" si="162"/>
        <v>0</v>
      </c>
      <c r="I146" s="16">
        <f t="shared" si="162"/>
        <v>0</v>
      </c>
      <c r="J146" s="16">
        <f t="shared" si="162"/>
        <v>0</v>
      </c>
      <c r="K146" s="16">
        <f t="shared" si="162"/>
        <v>0</v>
      </c>
      <c r="L146" s="16">
        <f t="shared" si="162"/>
        <v>0</v>
      </c>
      <c r="M146" s="16">
        <f t="shared" si="162"/>
        <v>0</v>
      </c>
      <c r="N146" s="16">
        <f t="shared" si="162"/>
        <v>0</v>
      </c>
      <c r="O146" s="16">
        <f t="shared" si="162"/>
        <v>0</v>
      </c>
      <c r="P146" s="16">
        <f t="shared" si="162"/>
        <v>0</v>
      </c>
      <c r="Q146" s="16">
        <f t="shared" si="162"/>
        <v>0</v>
      </c>
      <c r="R146" s="16">
        <f t="shared" si="162"/>
        <v>0</v>
      </c>
      <c r="S146" s="16">
        <f t="shared" si="162"/>
        <v>0</v>
      </c>
      <c r="T146" s="16">
        <f t="shared" si="162"/>
        <v>0</v>
      </c>
      <c r="U146" s="16">
        <f t="shared" si="162"/>
        <v>0</v>
      </c>
      <c r="V146" s="16">
        <f t="shared" si="162"/>
        <v>0</v>
      </c>
      <c r="W146" s="16">
        <f t="shared" si="162"/>
        <v>0</v>
      </c>
      <c r="X146" s="16">
        <f t="shared" si="162"/>
        <v>0</v>
      </c>
      <c r="Y146" s="16">
        <f t="shared" si="162"/>
        <v>0</v>
      </c>
      <c r="Z146" s="16">
        <f t="shared" si="162"/>
        <v>0</v>
      </c>
      <c r="AA146" s="16">
        <f t="shared" si="162"/>
        <v>0</v>
      </c>
      <c r="AB146" s="16">
        <f t="shared" si="162"/>
        <v>0</v>
      </c>
      <c r="AC146" s="16">
        <f t="shared" si="162"/>
        <v>0</v>
      </c>
      <c r="AD146" s="16">
        <f t="shared" si="162"/>
        <v>0</v>
      </c>
      <c r="AE146" s="16">
        <f t="shared" si="162"/>
        <v>1317760</v>
      </c>
      <c r="AF146" s="16">
        <f t="shared" si="162"/>
        <v>0</v>
      </c>
      <c r="AG146" s="16">
        <f t="shared" si="162"/>
        <v>0</v>
      </c>
      <c r="AH146" s="16">
        <f t="shared" si="162"/>
        <v>0</v>
      </c>
      <c r="AI146" s="16">
        <f t="shared" si="162"/>
        <v>0</v>
      </c>
      <c r="AJ146" s="16">
        <f t="shared" si="162"/>
        <v>0</v>
      </c>
      <c r="AK146" s="16">
        <f t="shared" si="162"/>
        <v>0</v>
      </c>
      <c r="AL146" s="16">
        <f t="shared" si="162"/>
        <v>0</v>
      </c>
      <c r="AM146" s="16">
        <f t="shared" si="162"/>
        <v>0</v>
      </c>
      <c r="AN146" s="16">
        <f t="shared" si="162"/>
        <v>0</v>
      </c>
      <c r="AO146" s="16">
        <f t="shared" si="162"/>
        <v>0</v>
      </c>
      <c r="AP146" s="16">
        <f>SUM(AP147:AP148)</f>
        <v>0</v>
      </c>
      <c r="AQ146" s="16">
        <f t="shared" si="162"/>
        <v>0</v>
      </c>
      <c r="AR146" s="16">
        <f t="shared" si="162"/>
        <v>0</v>
      </c>
      <c r="AS146" s="16">
        <f t="shared" si="162"/>
        <v>0</v>
      </c>
      <c r="AT146" s="16">
        <f t="shared" si="162"/>
        <v>0</v>
      </c>
      <c r="AU146" s="16">
        <f t="shared" si="162"/>
        <v>0</v>
      </c>
      <c r="AV146" s="16">
        <f t="shared" si="162"/>
        <v>0</v>
      </c>
      <c r="AW146" s="16">
        <f t="shared" si="162"/>
        <v>0</v>
      </c>
      <c r="AX146" s="16">
        <f t="shared" si="162"/>
        <v>0</v>
      </c>
      <c r="AY146" s="16">
        <f t="shared" si="162"/>
        <v>0</v>
      </c>
      <c r="AZ146" s="16">
        <f t="shared" si="162"/>
        <v>1317760</v>
      </c>
      <c r="BA146" s="16">
        <f t="shared" si="162"/>
        <v>0</v>
      </c>
      <c r="BB146" s="16">
        <f t="shared" si="162"/>
        <v>0</v>
      </c>
      <c r="BC146" s="16">
        <f t="shared" si="162"/>
        <v>0</v>
      </c>
      <c r="BD146" s="16">
        <f t="shared" si="162"/>
        <v>0</v>
      </c>
      <c r="BE146" s="16">
        <f t="shared" si="162"/>
        <v>0</v>
      </c>
      <c r="BF146" s="16">
        <f t="shared" si="162"/>
        <v>0</v>
      </c>
      <c r="BG146" s="16">
        <f t="shared" si="162"/>
        <v>0</v>
      </c>
      <c r="BH146" s="16">
        <f t="shared" si="162"/>
        <v>0</v>
      </c>
      <c r="BI146" s="16">
        <f t="shared" si="162"/>
        <v>0</v>
      </c>
      <c r="BJ146" s="16">
        <f t="shared" si="162"/>
        <v>0</v>
      </c>
      <c r="BK146" s="16">
        <f t="shared" si="162"/>
        <v>0</v>
      </c>
      <c r="BL146" s="16">
        <f t="shared" si="162"/>
        <v>0</v>
      </c>
      <c r="BM146" s="16">
        <f t="shared" si="162"/>
        <v>0</v>
      </c>
      <c r="BN146" s="16">
        <f t="shared" si="162"/>
        <v>0</v>
      </c>
      <c r="BO146" s="16">
        <f t="shared" si="162"/>
        <v>0</v>
      </c>
      <c r="BP146" s="16">
        <f t="shared" si="162"/>
        <v>0</v>
      </c>
      <c r="BQ146" s="16">
        <f t="shared" si="162"/>
        <v>0</v>
      </c>
      <c r="BR146" s="16">
        <f t="shared" si="162"/>
        <v>0</v>
      </c>
      <c r="BS146" s="16">
        <f t="shared" si="162"/>
        <v>0</v>
      </c>
      <c r="BT146" s="16">
        <f t="shared" ref="BT146:CW146" si="163">SUM(BT147:BT148)</f>
        <v>0</v>
      </c>
      <c r="BU146" s="16">
        <f t="shared" si="163"/>
        <v>0</v>
      </c>
      <c r="BV146" s="16">
        <f t="shared" si="163"/>
        <v>0</v>
      </c>
      <c r="BW146" s="16">
        <f t="shared" si="163"/>
        <v>0</v>
      </c>
      <c r="BX146" s="16">
        <f t="shared" si="163"/>
        <v>0</v>
      </c>
      <c r="BY146" s="16">
        <f t="shared" si="163"/>
        <v>0</v>
      </c>
      <c r="BZ146" s="16">
        <f t="shared" si="163"/>
        <v>0</v>
      </c>
      <c r="CA146" s="16">
        <f t="shared" si="163"/>
        <v>0</v>
      </c>
      <c r="CB146" s="16">
        <f t="shared" si="163"/>
        <v>0</v>
      </c>
      <c r="CC146" s="16">
        <f t="shared" si="163"/>
        <v>0</v>
      </c>
      <c r="CD146" s="16">
        <f t="shared" si="163"/>
        <v>0</v>
      </c>
      <c r="CE146" s="16">
        <f t="shared" si="163"/>
        <v>0</v>
      </c>
      <c r="CF146" s="16">
        <f>SUM(CF147:CF148)</f>
        <v>0</v>
      </c>
      <c r="CG146" s="16">
        <f t="shared" si="163"/>
        <v>0</v>
      </c>
      <c r="CH146" s="16">
        <f t="shared" si="163"/>
        <v>0</v>
      </c>
      <c r="CI146" s="16">
        <f t="shared" si="163"/>
        <v>0</v>
      </c>
      <c r="CJ146" s="16">
        <f t="shared" si="163"/>
        <v>0</v>
      </c>
      <c r="CK146" s="16">
        <f t="shared" si="163"/>
        <v>0</v>
      </c>
      <c r="CL146" s="16">
        <f t="shared" si="163"/>
        <v>0</v>
      </c>
      <c r="CM146" s="16">
        <f>SUM(CM147:CM148)</f>
        <v>0</v>
      </c>
      <c r="CN146" s="16">
        <f t="shared" si="163"/>
        <v>0</v>
      </c>
      <c r="CO146" s="16">
        <f t="shared" si="163"/>
        <v>0</v>
      </c>
      <c r="CP146" s="16">
        <f t="shared" si="163"/>
        <v>0</v>
      </c>
      <c r="CQ146" s="16">
        <f t="shared" si="163"/>
        <v>0</v>
      </c>
      <c r="CR146" s="16">
        <f t="shared" si="163"/>
        <v>0</v>
      </c>
      <c r="CS146" s="16">
        <f t="shared" si="163"/>
        <v>0</v>
      </c>
      <c r="CT146" s="16">
        <f t="shared" si="163"/>
        <v>0</v>
      </c>
      <c r="CU146" s="16">
        <f t="shared" si="163"/>
        <v>0</v>
      </c>
      <c r="CV146" s="16">
        <f t="shared" si="163"/>
        <v>0</v>
      </c>
      <c r="CW146" s="17">
        <f t="shared" si="163"/>
        <v>0</v>
      </c>
      <c r="CX146" s="40"/>
    </row>
    <row r="147" spans="1:102" ht="15.75" x14ac:dyDescent="0.25">
      <c r="A147" s="13" t="s">
        <v>1</v>
      </c>
      <c r="B147" s="14" t="s">
        <v>1</v>
      </c>
      <c r="C147" s="14" t="s">
        <v>23</v>
      </c>
      <c r="D147" s="30" t="s">
        <v>176</v>
      </c>
      <c r="E147" s="15">
        <f>SUM(F147+BY147+CT147)</f>
        <v>551607</v>
      </c>
      <c r="F147" s="16">
        <f>SUM(G147+BA147)</f>
        <v>551607</v>
      </c>
      <c r="G147" s="16">
        <f>SUM(H147+I147+J147+Q147+T147+U147+V147+AE147)</f>
        <v>551607</v>
      </c>
      <c r="H147" s="16">
        <v>0</v>
      </c>
      <c r="I147" s="16">
        <v>0</v>
      </c>
      <c r="J147" s="16">
        <f t="shared" ref="J147:J213" si="164">SUM(K147:P147)</f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f t="shared" ref="Q147:Q213" si="165">SUM(R147:S147)</f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f>SUM(W147:AD147)</f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f>SUM(AF147:AZ147)</f>
        <v>551607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f>691924-140317</f>
        <v>551607</v>
      </c>
      <c r="BA147" s="16">
        <f>SUM(BB147+BF147+BI147+BK147+BM147)</f>
        <v>0</v>
      </c>
      <c r="BB147" s="16">
        <f>SUM(BC147:BE147)</f>
        <v>0</v>
      </c>
      <c r="BC147" s="16">
        <v>0</v>
      </c>
      <c r="BD147" s="16">
        <v>0</v>
      </c>
      <c r="BE147" s="16">
        <v>0</v>
      </c>
      <c r="BF147" s="16">
        <f t="shared" ref="BF147:BF213" si="166">SUM(BG147:BH147)</f>
        <v>0</v>
      </c>
      <c r="BG147" s="16">
        <v>0</v>
      </c>
      <c r="BH147" s="16">
        <v>0</v>
      </c>
      <c r="BI147" s="16">
        <v>0</v>
      </c>
      <c r="BJ147" s="16">
        <v>0</v>
      </c>
      <c r="BK147" s="16">
        <f t="shared" ref="BK147:BK213" si="167">SUM(BL147)</f>
        <v>0</v>
      </c>
      <c r="BL147" s="16">
        <v>0</v>
      </c>
      <c r="BM147" s="16">
        <f t="shared" ref="BM147:BM213" si="168">SUM(BN147:BX147)</f>
        <v>0</v>
      </c>
      <c r="BN147" s="16">
        <v>0</v>
      </c>
      <c r="BO147" s="16">
        <v>0</v>
      </c>
      <c r="BP147" s="16">
        <v>0</v>
      </c>
      <c r="BQ147" s="16">
        <v>0</v>
      </c>
      <c r="BR147" s="16">
        <v>0</v>
      </c>
      <c r="BS147" s="16">
        <v>0</v>
      </c>
      <c r="BT147" s="16">
        <v>0</v>
      </c>
      <c r="BU147" s="16">
        <v>0</v>
      </c>
      <c r="BV147" s="16">
        <v>0</v>
      </c>
      <c r="BW147" s="16">
        <v>0</v>
      </c>
      <c r="BX147" s="16">
        <v>0</v>
      </c>
      <c r="BY147" s="16">
        <f>SUM(BZ147+CS147)</f>
        <v>0</v>
      </c>
      <c r="BZ147" s="16">
        <f>SUM(CA147+CD147+CK147)</f>
        <v>0</v>
      </c>
      <c r="CA147" s="16">
        <f t="shared" ref="CA147:CA213" si="169">SUM(CB147:CC147)</f>
        <v>0</v>
      </c>
      <c r="CB147" s="16">
        <v>0</v>
      </c>
      <c r="CC147" s="16">
        <v>0</v>
      </c>
      <c r="CD147" s="16">
        <f t="shared" ref="CD147:CD213" si="170">SUM(CE147:CI147)</f>
        <v>0</v>
      </c>
      <c r="CE147" s="16">
        <v>0</v>
      </c>
      <c r="CF147" s="16">
        <v>0</v>
      </c>
      <c r="CG147" s="16">
        <v>0</v>
      </c>
      <c r="CH147" s="16">
        <v>0</v>
      </c>
      <c r="CI147" s="16">
        <v>0</v>
      </c>
      <c r="CJ147" s="16">
        <v>0</v>
      </c>
      <c r="CK147" s="16">
        <f t="shared" ref="CK147:CK213" si="171">SUM(CL147:CP147)</f>
        <v>0</v>
      </c>
      <c r="CL147" s="16">
        <v>0</v>
      </c>
      <c r="CM147" s="16">
        <v>0</v>
      </c>
      <c r="CN147" s="16">
        <v>0</v>
      </c>
      <c r="CO147" s="16">
        <v>0</v>
      </c>
      <c r="CP147" s="16">
        <v>0</v>
      </c>
      <c r="CQ147" s="16">
        <v>0</v>
      </c>
      <c r="CR147" s="16">
        <v>0</v>
      </c>
      <c r="CS147" s="16">
        <v>0</v>
      </c>
      <c r="CT147" s="16">
        <f t="shared" ref="CT147:CT213" si="172">SUM(CU147)</f>
        <v>0</v>
      </c>
      <c r="CU147" s="16">
        <f t="shared" ref="CU147:CU213" si="173">SUM(CV147:CW147)</f>
        <v>0</v>
      </c>
      <c r="CV147" s="16">
        <v>0</v>
      </c>
      <c r="CW147" s="17">
        <v>0</v>
      </c>
      <c r="CX147" s="40"/>
    </row>
    <row r="148" spans="1:102" ht="15.75" x14ac:dyDescent="0.25">
      <c r="A148" s="13" t="s">
        <v>1</v>
      </c>
      <c r="B148" s="14" t="s">
        <v>1</v>
      </c>
      <c r="C148" s="14" t="s">
        <v>31</v>
      </c>
      <c r="D148" s="30" t="s">
        <v>177</v>
      </c>
      <c r="E148" s="15">
        <f>SUM(F148+BY148+CT148)</f>
        <v>766153</v>
      </c>
      <c r="F148" s="16">
        <f>SUM(G148+BA148)</f>
        <v>766153</v>
      </c>
      <c r="G148" s="16">
        <f>SUM(H148+I148+J148+Q148+T148+U148+V148+AE148)</f>
        <v>766153</v>
      </c>
      <c r="H148" s="16">
        <v>0</v>
      </c>
      <c r="I148" s="16">
        <v>0</v>
      </c>
      <c r="J148" s="16">
        <f t="shared" si="164"/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f t="shared" si="165"/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f>SUM(W148:AD148)</f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6">
        <v>0</v>
      </c>
      <c r="AE148" s="16">
        <f>SUM(AF148:AZ148)</f>
        <v>766153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16"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  <c r="AZ148" s="16">
        <f>216153+550000</f>
        <v>766153</v>
      </c>
      <c r="BA148" s="16">
        <f>SUM(BB148+BF148+BI148+BK148+BM148)</f>
        <v>0</v>
      </c>
      <c r="BB148" s="16">
        <f>SUM(BC148:BE148)</f>
        <v>0</v>
      </c>
      <c r="BC148" s="16">
        <v>0</v>
      </c>
      <c r="BD148" s="16">
        <v>0</v>
      </c>
      <c r="BE148" s="16">
        <v>0</v>
      </c>
      <c r="BF148" s="16">
        <f t="shared" si="166"/>
        <v>0</v>
      </c>
      <c r="BG148" s="16">
        <v>0</v>
      </c>
      <c r="BH148" s="16">
        <v>0</v>
      </c>
      <c r="BI148" s="16">
        <v>0</v>
      </c>
      <c r="BJ148" s="16">
        <v>0</v>
      </c>
      <c r="BK148" s="16">
        <f t="shared" si="167"/>
        <v>0</v>
      </c>
      <c r="BL148" s="16">
        <v>0</v>
      </c>
      <c r="BM148" s="16">
        <f t="shared" si="168"/>
        <v>0</v>
      </c>
      <c r="BN148" s="16">
        <v>0</v>
      </c>
      <c r="BO148" s="16">
        <v>0</v>
      </c>
      <c r="BP148" s="16">
        <v>0</v>
      </c>
      <c r="BQ148" s="16">
        <v>0</v>
      </c>
      <c r="BR148" s="16">
        <v>0</v>
      </c>
      <c r="BS148" s="16">
        <v>0</v>
      </c>
      <c r="BT148" s="16">
        <v>0</v>
      </c>
      <c r="BU148" s="16">
        <v>0</v>
      </c>
      <c r="BV148" s="16">
        <v>0</v>
      </c>
      <c r="BW148" s="16">
        <v>0</v>
      </c>
      <c r="BX148" s="16">
        <v>0</v>
      </c>
      <c r="BY148" s="16">
        <f>SUM(BZ148+CS148)</f>
        <v>0</v>
      </c>
      <c r="BZ148" s="16">
        <f>SUM(CA148+CD148+CK148)</f>
        <v>0</v>
      </c>
      <c r="CA148" s="16">
        <f t="shared" si="169"/>
        <v>0</v>
      </c>
      <c r="CB148" s="16">
        <v>0</v>
      </c>
      <c r="CC148" s="16">
        <v>0</v>
      </c>
      <c r="CD148" s="16">
        <f t="shared" si="170"/>
        <v>0</v>
      </c>
      <c r="CE148" s="16">
        <v>0</v>
      </c>
      <c r="CF148" s="16">
        <v>0</v>
      </c>
      <c r="CG148" s="16">
        <v>0</v>
      </c>
      <c r="CH148" s="16">
        <v>0</v>
      </c>
      <c r="CI148" s="16">
        <v>0</v>
      </c>
      <c r="CJ148" s="16">
        <v>0</v>
      </c>
      <c r="CK148" s="16">
        <f t="shared" si="171"/>
        <v>0</v>
      </c>
      <c r="CL148" s="16">
        <v>0</v>
      </c>
      <c r="CM148" s="16">
        <v>0</v>
      </c>
      <c r="CN148" s="16">
        <v>0</v>
      </c>
      <c r="CO148" s="16">
        <v>0</v>
      </c>
      <c r="CP148" s="16">
        <v>0</v>
      </c>
      <c r="CQ148" s="16">
        <v>0</v>
      </c>
      <c r="CR148" s="16">
        <v>0</v>
      </c>
      <c r="CS148" s="16">
        <v>0</v>
      </c>
      <c r="CT148" s="16">
        <f t="shared" si="172"/>
        <v>0</v>
      </c>
      <c r="CU148" s="16">
        <f t="shared" si="173"/>
        <v>0</v>
      </c>
      <c r="CV148" s="16">
        <v>0</v>
      </c>
      <c r="CW148" s="17">
        <v>0</v>
      </c>
      <c r="CX148" s="40"/>
    </row>
    <row r="149" spans="1:102" ht="31.5" x14ac:dyDescent="0.25">
      <c r="A149" s="13" t="s">
        <v>171</v>
      </c>
      <c r="B149" s="14" t="s">
        <v>47</v>
      </c>
      <c r="C149" s="14" t="s">
        <v>1</v>
      </c>
      <c r="D149" s="30" t="s">
        <v>178</v>
      </c>
      <c r="E149" s="15">
        <f t="shared" ref="E149:AJ149" si="174">SUM(E150:E155)</f>
        <v>8698419</v>
      </c>
      <c r="F149" s="16">
        <f t="shared" si="174"/>
        <v>8610391</v>
      </c>
      <c r="G149" s="16">
        <f t="shared" si="174"/>
        <v>8098231</v>
      </c>
      <c r="H149" s="16">
        <f t="shared" si="174"/>
        <v>4553597</v>
      </c>
      <c r="I149" s="16">
        <f t="shared" si="174"/>
        <v>1065052</v>
      </c>
      <c r="J149" s="16">
        <f t="shared" si="174"/>
        <v>95022</v>
      </c>
      <c r="K149" s="16">
        <f t="shared" si="174"/>
        <v>1401</v>
      </c>
      <c r="L149" s="16">
        <f t="shared" si="174"/>
        <v>8000</v>
      </c>
      <c r="M149" s="16">
        <f t="shared" si="174"/>
        <v>0</v>
      </c>
      <c r="N149" s="16">
        <f t="shared" si="174"/>
        <v>0</v>
      </c>
      <c r="O149" s="16">
        <f t="shared" si="174"/>
        <v>75608</v>
      </c>
      <c r="P149" s="16">
        <f t="shared" si="174"/>
        <v>10013</v>
      </c>
      <c r="Q149" s="16">
        <f t="shared" si="174"/>
        <v>0</v>
      </c>
      <c r="R149" s="16">
        <f t="shared" si="174"/>
        <v>0</v>
      </c>
      <c r="S149" s="16">
        <f t="shared" si="174"/>
        <v>0</v>
      </c>
      <c r="T149" s="16">
        <f t="shared" si="174"/>
        <v>0</v>
      </c>
      <c r="U149" s="16">
        <f t="shared" si="174"/>
        <v>55841</v>
      </c>
      <c r="V149" s="16">
        <f t="shared" si="174"/>
        <v>68651</v>
      </c>
      <c r="W149" s="16">
        <f t="shared" si="174"/>
        <v>0</v>
      </c>
      <c r="X149" s="16">
        <f t="shared" si="174"/>
        <v>62120</v>
      </c>
      <c r="Y149" s="16">
        <f t="shared" si="174"/>
        <v>5527</v>
      </c>
      <c r="Z149" s="16">
        <f t="shared" si="174"/>
        <v>1004</v>
      </c>
      <c r="AA149" s="16">
        <f t="shared" si="174"/>
        <v>0</v>
      </c>
      <c r="AB149" s="16">
        <f t="shared" si="174"/>
        <v>0</v>
      </c>
      <c r="AC149" s="16">
        <f t="shared" si="174"/>
        <v>0</v>
      </c>
      <c r="AD149" s="16">
        <f t="shared" si="174"/>
        <v>0</v>
      </c>
      <c r="AE149" s="16">
        <f t="shared" si="174"/>
        <v>2260068</v>
      </c>
      <c r="AF149" s="16">
        <f t="shared" si="174"/>
        <v>0</v>
      </c>
      <c r="AG149" s="16">
        <f t="shared" si="174"/>
        <v>0</v>
      </c>
      <c r="AH149" s="16">
        <f t="shared" si="174"/>
        <v>12673</v>
      </c>
      <c r="AI149" s="16">
        <f t="shared" si="174"/>
        <v>0</v>
      </c>
      <c r="AJ149" s="16">
        <f t="shared" si="174"/>
        <v>6364</v>
      </c>
      <c r="AK149" s="16">
        <f t="shared" ref="AK149:CV149" si="175">SUM(AK150:AK155)</f>
        <v>0</v>
      </c>
      <c r="AL149" s="16">
        <f t="shared" si="175"/>
        <v>44015</v>
      </c>
      <c r="AM149" s="16">
        <f t="shared" si="175"/>
        <v>0</v>
      </c>
      <c r="AN149" s="16">
        <f t="shared" si="175"/>
        <v>0</v>
      </c>
      <c r="AO149" s="16">
        <f t="shared" si="175"/>
        <v>0</v>
      </c>
      <c r="AP149" s="16">
        <f t="shared" si="175"/>
        <v>0</v>
      </c>
      <c r="AQ149" s="16">
        <f t="shared" si="175"/>
        <v>0</v>
      </c>
      <c r="AR149" s="16">
        <f t="shared" si="175"/>
        <v>0</v>
      </c>
      <c r="AS149" s="16">
        <f t="shared" si="175"/>
        <v>17000</v>
      </c>
      <c r="AT149" s="16">
        <f t="shared" si="175"/>
        <v>0</v>
      </c>
      <c r="AU149" s="16">
        <f t="shared" si="175"/>
        <v>0</v>
      </c>
      <c r="AV149" s="16">
        <f t="shared" si="175"/>
        <v>0</v>
      </c>
      <c r="AW149" s="16">
        <f t="shared" si="175"/>
        <v>0</v>
      </c>
      <c r="AX149" s="16">
        <f t="shared" si="175"/>
        <v>0</v>
      </c>
      <c r="AY149" s="16">
        <f t="shared" si="175"/>
        <v>0</v>
      </c>
      <c r="AZ149" s="16">
        <f t="shared" si="175"/>
        <v>2180016</v>
      </c>
      <c r="BA149" s="16">
        <f t="shared" si="175"/>
        <v>512160</v>
      </c>
      <c r="BB149" s="16">
        <f t="shared" si="175"/>
        <v>0</v>
      </c>
      <c r="BC149" s="16">
        <f t="shared" si="175"/>
        <v>0</v>
      </c>
      <c r="BD149" s="16">
        <f t="shared" si="175"/>
        <v>0</v>
      </c>
      <c r="BE149" s="16">
        <f t="shared" si="175"/>
        <v>0</v>
      </c>
      <c r="BF149" s="16">
        <f t="shared" si="175"/>
        <v>0</v>
      </c>
      <c r="BG149" s="16">
        <f t="shared" si="175"/>
        <v>0</v>
      </c>
      <c r="BH149" s="16">
        <f t="shared" si="175"/>
        <v>0</v>
      </c>
      <c r="BI149" s="16">
        <f t="shared" si="175"/>
        <v>0</v>
      </c>
      <c r="BJ149" s="16">
        <f t="shared" si="175"/>
        <v>0</v>
      </c>
      <c r="BK149" s="16">
        <f t="shared" si="175"/>
        <v>0</v>
      </c>
      <c r="BL149" s="16">
        <f t="shared" si="175"/>
        <v>0</v>
      </c>
      <c r="BM149" s="16">
        <f t="shared" si="175"/>
        <v>512160</v>
      </c>
      <c r="BN149" s="16">
        <f t="shared" si="175"/>
        <v>0</v>
      </c>
      <c r="BO149" s="16">
        <f t="shared" si="175"/>
        <v>0</v>
      </c>
      <c r="BP149" s="16">
        <f t="shared" si="175"/>
        <v>512160</v>
      </c>
      <c r="BQ149" s="16">
        <f t="shared" si="175"/>
        <v>0</v>
      </c>
      <c r="BR149" s="16">
        <f t="shared" si="175"/>
        <v>0</v>
      </c>
      <c r="BS149" s="16">
        <f t="shared" si="175"/>
        <v>0</v>
      </c>
      <c r="BT149" s="16">
        <f t="shared" si="175"/>
        <v>0</v>
      </c>
      <c r="BU149" s="16">
        <f t="shared" si="175"/>
        <v>0</v>
      </c>
      <c r="BV149" s="16">
        <f t="shared" si="175"/>
        <v>0</v>
      </c>
      <c r="BW149" s="16">
        <f t="shared" si="175"/>
        <v>0</v>
      </c>
      <c r="BX149" s="16">
        <f t="shared" si="175"/>
        <v>0</v>
      </c>
      <c r="BY149" s="16">
        <f t="shared" si="175"/>
        <v>88028</v>
      </c>
      <c r="BZ149" s="16">
        <f t="shared" si="175"/>
        <v>88028</v>
      </c>
      <c r="CA149" s="16">
        <f t="shared" si="175"/>
        <v>88028</v>
      </c>
      <c r="CB149" s="16">
        <f t="shared" si="175"/>
        <v>0</v>
      </c>
      <c r="CC149" s="16">
        <f t="shared" si="175"/>
        <v>88028</v>
      </c>
      <c r="CD149" s="16">
        <f t="shared" si="175"/>
        <v>0</v>
      </c>
      <c r="CE149" s="16">
        <f t="shared" si="175"/>
        <v>0</v>
      </c>
      <c r="CF149" s="16">
        <f t="shared" si="175"/>
        <v>0</v>
      </c>
      <c r="CG149" s="16">
        <f t="shared" si="175"/>
        <v>0</v>
      </c>
      <c r="CH149" s="16">
        <f t="shared" si="175"/>
        <v>0</v>
      </c>
      <c r="CI149" s="16">
        <f t="shared" si="175"/>
        <v>0</v>
      </c>
      <c r="CJ149" s="16">
        <f t="shared" si="175"/>
        <v>0</v>
      </c>
      <c r="CK149" s="16">
        <f t="shared" si="175"/>
        <v>0</v>
      </c>
      <c r="CL149" s="16">
        <f t="shared" si="175"/>
        <v>0</v>
      </c>
      <c r="CM149" s="16">
        <f t="shared" si="175"/>
        <v>0</v>
      </c>
      <c r="CN149" s="16">
        <f t="shared" si="175"/>
        <v>0</v>
      </c>
      <c r="CO149" s="16">
        <f t="shared" si="175"/>
        <v>0</v>
      </c>
      <c r="CP149" s="16">
        <f t="shared" si="175"/>
        <v>0</v>
      </c>
      <c r="CQ149" s="16">
        <f t="shared" si="175"/>
        <v>0</v>
      </c>
      <c r="CR149" s="16">
        <f t="shared" si="175"/>
        <v>0</v>
      </c>
      <c r="CS149" s="16">
        <f t="shared" si="175"/>
        <v>0</v>
      </c>
      <c r="CT149" s="16">
        <f t="shared" si="175"/>
        <v>0</v>
      </c>
      <c r="CU149" s="16">
        <f t="shared" si="175"/>
        <v>0</v>
      </c>
      <c r="CV149" s="16">
        <f t="shared" si="175"/>
        <v>0</v>
      </c>
      <c r="CW149" s="17">
        <f t="shared" ref="CW149" si="176">SUM(CW150:CW155)</f>
        <v>0</v>
      </c>
      <c r="CX149" s="40"/>
    </row>
    <row r="150" spans="1:102" ht="15.75" x14ac:dyDescent="0.25">
      <c r="A150" s="13" t="s">
        <v>1</v>
      </c>
      <c r="B150" s="14" t="s">
        <v>1</v>
      </c>
      <c r="C150" s="14" t="s">
        <v>19</v>
      </c>
      <c r="D150" s="30" t="s">
        <v>179</v>
      </c>
      <c r="E150" s="15">
        <f t="shared" ref="E150:E155" si="177">SUM(F150+BY150+CT150)</f>
        <v>1974150</v>
      </c>
      <c r="F150" s="16">
        <f t="shared" ref="F150:F155" si="178">SUM(G150+BA150)</f>
        <v>1955441</v>
      </c>
      <c r="G150" s="16">
        <f t="shared" ref="G150:G155" si="179">SUM(H150+I150+J150+Q150+T150+U150+V150+AE150)</f>
        <v>1443281</v>
      </c>
      <c r="H150" s="16">
        <f>745358+294841</f>
        <v>1040199</v>
      </c>
      <c r="I150" s="16">
        <f>152377+97495</f>
        <v>249872</v>
      </c>
      <c r="J150" s="16">
        <f t="shared" si="164"/>
        <v>64151</v>
      </c>
      <c r="K150" s="16">
        <v>0</v>
      </c>
      <c r="L150" s="16">
        <v>8000</v>
      </c>
      <c r="M150" s="16">
        <v>0</v>
      </c>
      <c r="N150" s="16">
        <v>0</v>
      </c>
      <c r="O150" s="16">
        <f>52892-541</f>
        <v>52351</v>
      </c>
      <c r="P150" s="16">
        <v>3800</v>
      </c>
      <c r="Q150" s="16">
        <f t="shared" si="165"/>
        <v>0</v>
      </c>
      <c r="R150" s="16">
        <v>0</v>
      </c>
      <c r="S150" s="16">
        <v>0</v>
      </c>
      <c r="T150" s="16">
        <v>0</v>
      </c>
      <c r="U150" s="16">
        <v>15691</v>
      </c>
      <c r="V150" s="16">
        <f t="shared" ref="V150:V155" si="180">SUM(W150:AD150)</f>
        <v>42278</v>
      </c>
      <c r="W150" s="16">
        <v>0</v>
      </c>
      <c r="X150" s="16">
        <f>0+41098</f>
        <v>41098</v>
      </c>
      <c r="Y150" s="16">
        <v>977</v>
      </c>
      <c r="Z150" s="16">
        <v>203</v>
      </c>
      <c r="AA150" s="16">
        <v>0</v>
      </c>
      <c r="AB150" s="16">
        <v>0</v>
      </c>
      <c r="AC150" s="16">
        <v>0</v>
      </c>
      <c r="AD150" s="16">
        <v>0</v>
      </c>
      <c r="AE150" s="16">
        <f t="shared" ref="AE150:AE155" si="181">SUM(AF150:AZ150)</f>
        <v>31090</v>
      </c>
      <c r="AF150" s="16">
        <v>0</v>
      </c>
      <c r="AG150" s="16">
        <v>0</v>
      </c>
      <c r="AH150" s="16">
        <v>3144</v>
      </c>
      <c r="AI150" s="16">
        <v>0</v>
      </c>
      <c r="AJ150" s="16">
        <v>1591</v>
      </c>
      <c r="AK150" s="16">
        <v>0</v>
      </c>
      <c r="AL150" s="16">
        <v>9355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17000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  <c r="AZ150" s="16">
        <v>0</v>
      </c>
      <c r="BA150" s="16">
        <f t="shared" ref="BA150:BA155" si="182">SUM(BB150+BF150+BI150+BK150+BM150)</f>
        <v>512160</v>
      </c>
      <c r="BB150" s="16">
        <f t="shared" ref="BB150:BB155" si="183">SUM(BC150:BE150)</f>
        <v>0</v>
      </c>
      <c r="BC150" s="16">
        <v>0</v>
      </c>
      <c r="BD150" s="16">
        <v>0</v>
      </c>
      <c r="BE150" s="16">
        <v>0</v>
      </c>
      <c r="BF150" s="16">
        <f t="shared" si="166"/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f t="shared" si="167"/>
        <v>0</v>
      </c>
      <c r="BL150" s="16">
        <v>0</v>
      </c>
      <c r="BM150" s="16">
        <f t="shared" si="168"/>
        <v>512160</v>
      </c>
      <c r="BN150" s="16">
        <v>0</v>
      </c>
      <c r="BO150" s="16">
        <v>0</v>
      </c>
      <c r="BP150" s="16">
        <v>512160</v>
      </c>
      <c r="BQ150" s="16">
        <v>0</v>
      </c>
      <c r="BR150" s="16">
        <v>0</v>
      </c>
      <c r="BS150" s="16">
        <v>0</v>
      </c>
      <c r="BT150" s="16">
        <v>0</v>
      </c>
      <c r="BU150" s="16">
        <v>0</v>
      </c>
      <c r="BV150" s="16">
        <v>0</v>
      </c>
      <c r="BW150" s="16">
        <v>0</v>
      </c>
      <c r="BX150" s="16">
        <v>0</v>
      </c>
      <c r="BY150" s="16">
        <f t="shared" ref="BY150:BY155" si="184">SUM(BZ150+CS150)</f>
        <v>18709</v>
      </c>
      <c r="BZ150" s="16">
        <f t="shared" ref="BZ150:BZ155" si="185">SUM(CA150+CD150+CK150)</f>
        <v>18709</v>
      </c>
      <c r="CA150" s="16">
        <f t="shared" si="169"/>
        <v>18709</v>
      </c>
      <c r="CB150" s="16">
        <v>0</v>
      </c>
      <c r="CC150" s="16">
        <v>18709</v>
      </c>
      <c r="CD150" s="16">
        <f t="shared" si="170"/>
        <v>0</v>
      </c>
      <c r="CE150" s="16">
        <v>0</v>
      </c>
      <c r="CF150" s="16">
        <v>0</v>
      </c>
      <c r="CG150" s="16">
        <v>0</v>
      </c>
      <c r="CH150" s="16">
        <v>0</v>
      </c>
      <c r="CI150" s="16">
        <v>0</v>
      </c>
      <c r="CJ150" s="16">
        <v>0</v>
      </c>
      <c r="CK150" s="16">
        <f t="shared" si="171"/>
        <v>0</v>
      </c>
      <c r="CL150" s="16">
        <v>0</v>
      </c>
      <c r="CM150" s="16">
        <v>0</v>
      </c>
      <c r="CN150" s="16">
        <v>0</v>
      </c>
      <c r="CO150" s="16">
        <v>0</v>
      </c>
      <c r="CP150" s="16">
        <v>0</v>
      </c>
      <c r="CQ150" s="16">
        <v>0</v>
      </c>
      <c r="CR150" s="16">
        <v>0</v>
      </c>
      <c r="CS150" s="16">
        <v>0</v>
      </c>
      <c r="CT150" s="16">
        <f t="shared" si="172"/>
        <v>0</v>
      </c>
      <c r="CU150" s="16">
        <f t="shared" si="173"/>
        <v>0</v>
      </c>
      <c r="CV150" s="16">
        <v>0</v>
      </c>
      <c r="CW150" s="17">
        <v>0</v>
      </c>
      <c r="CX150" s="40"/>
    </row>
    <row r="151" spans="1:102" ht="15.75" x14ac:dyDescent="0.25">
      <c r="A151" s="13" t="s">
        <v>1</v>
      </c>
      <c r="B151" s="14" t="s">
        <v>1</v>
      </c>
      <c r="C151" s="14" t="s">
        <v>31</v>
      </c>
      <c r="D151" s="30" t="s">
        <v>182</v>
      </c>
      <c r="E151" s="15">
        <f t="shared" si="177"/>
        <v>1385443</v>
      </c>
      <c r="F151" s="16">
        <f t="shared" si="178"/>
        <v>1363845</v>
      </c>
      <c r="G151" s="16">
        <f t="shared" si="179"/>
        <v>1363845</v>
      </c>
      <c r="H151" s="16">
        <v>1024106</v>
      </c>
      <c r="I151" s="16">
        <v>239432</v>
      </c>
      <c r="J151" s="16">
        <f>SUM(K151:P151)</f>
        <v>23257</v>
      </c>
      <c r="K151" s="16">
        <v>0</v>
      </c>
      <c r="L151" s="16">
        <v>0</v>
      </c>
      <c r="M151" s="16">
        <v>0</v>
      </c>
      <c r="N151" s="16">
        <v>0</v>
      </c>
      <c r="O151" s="16">
        <v>23257</v>
      </c>
      <c r="P151" s="16">
        <v>0</v>
      </c>
      <c r="Q151" s="16">
        <f>SUM(R151:S151)</f>
        <v>0</v>
      </c>
      <c r="R151" s="16">
        <v>0</v>
      </c>
      <c r="S151" s="16">
        <v>0</v>
      </c>
      <c r="T151" s="16">
        <v>0</v>
      </c>
      <c r="U151" s="16">
        <v>28758</v>
      </c>
      <c r="V151" s="16">
        <f t="shared" si="180"/>
        <v>26373</v>
      </c>
      <c r="W151" s="16">
        <v>0</v>
      </c>
      <c r="X151" s="16">
        <v>21022</v>
      </c>
      <c r="Y151" s="16">
        <v>4550</v>
      </c>
      <c r="Z151" s="16">
        <v>801</v>
      </c>
      <c r="AA151" s="16">
        <v>0</v>
      </c>
      <c r="AB151" s="16">
        <v>0</v>
      </c>
      <c r="AC151" s="16">
        <v>0</v>
      </c>
      <c r="AD151" s="16">
        <v>0</v>
      </c>
      <c r="AE151" s="16">
        <f t="shared" si="181"/>
        <v>21919</v>
      </c>
      <c r="AF151" s="16">
        <v>0</v>
      </c>
      <c r="AG151" s="16">
        <v>0</v>
      </c>
      <c r="AH151" s="16">
        <v>9529</v>
      </c>
      <c r="AI151" s="16">
        <v>0</v>
      </c>
      <c r="AJ151" s="16">
        <v>1591</v>
      </c>
      <c r="AK151" s="16">
        <v>0</v>
      </c>
      <c r="AL151" s="16">
        <v>10799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f t="shared" si="182"/>
        <v>0</v>
      </c>
      <c r="BB151" s="16">
        <f t="shared" si="183"/>
        <v>0</v>
      </c>
      <c r="BC151" s="16">
        <v>0</v>
      </c>
      <c r="BD151" s="16">
        <v>0</v>
      </c>
      <c r="BE151" s="16">
        <v>0</v>
      </c>
      <c r="BF151" s="16">
        <f>SUM(BG151:BH151)</f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f>SUM(BL151)</f>
        <v>0</v>
      </c>
      <c r="BL151" s="16">
        <v>0</v>
      </c>
      <c r="BM151" s="16">
        <f>SUM(BN151:BX151)</f>
        <v>0</v>
      </c>
      <c r="BN151" s="16">
        <v>0</v>
      </c>
      <c r="BO151" s="16">
        <v>0</v>
      </c>
      <c r="BP151" s="16">
        <v>0</v>
      </c>
      <c r="BQ151" s="16">
        <v>0</v>
      </c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  <c r="BW151" s="16">
        <v>0</v>
      </c>
      <c r="BX151" s="16">
        <v>0</v>
      </c>
      <c r="BY151" s="16">
        <f t="shared" si="184"/>
        <v>21598</v>
      </c>
      <c r="BZ151" s="16">
        <f t="shared" si="185"/>
        <v>21598</v>
      </c>
      <c r="CA151" s="16">
        <f>SUM(CB151:CC151)</f>
        <v>21598</v>
      </c>
      <c r="CB151" s="16">
        <v>0</v>
      </c>
      <c r="CC151" s="16">
        <v>21598</v>
      </c>
      <c r="CD151" s="16">
        <f>SUM(CE151:CI151)</f>
        <v>0</v>
      </c>
      <c r="CE151" s="16">
        <v>0</v>
      </c>
      <c r="CF151" s="16">
        <v>0</v>
      </c>
      <c r="CG151" s="16">
        <v>0</v>
      </c>
      <c r="CH151" s="16">
        <v>0</v>
      </c>
      <c r="CI151" s="16">
        <v>0</v>
      </c>
      <c r="CJ151" s="16">
        <v>0</v>
      </c>
      <c r="CK151" s="16">
        <f>SUM(CL151:CP151)</f>
        <v>0</v>
      </c>
      <c r="CL151" s="16">
        <v>0</v>
      </c>
      <c r="CM151" s="16">
        <v>0</v>
      </c>
      <c r="CN151" s="16">
        <v>0</v>
      </c>
      <c r="CO151" s="16">
        <v>0</v>
      </c>
      <c r="CP151" s="16">
        <v>0</v>
      </c>
      <c r="CQ151" s="16">
        <v>0</v>
      </c>
      <c r="CR151" s="16">
        <v>0</v>
      </c>
      <c r="CS151" s="16">
        <v>0</v>
      </c>
      <c r="CT151" s="16">
        <f>SUM(CU151)</f>
        <v>0</v>
      </c>
      <c r="CU151" s="16">
        <f>SUM(CV151:CW151)</f>
        <v>0</v>
      </c>
      <c r="CV151" s="16">
        <v>0</v>
      </c>
      <c r="CW151" s="17">
        <v>0</v>
      </c>
      <c r="CX151" s="40"/>
    </row>
    <row r="152" spans="1:102" s="59" customFormat="1" ht="15.75" x14ac:dyDescent="0.25">
      <c r="A152" s="52" t="s">
        <v>1</v>
      </c>
      <c r="B152" s="53" t="s">
        <v>1</v>
      </c>
      <c r="C152" s="53" t="s">
        <v>31</v>
      </c>
      <c r="D152" s="54" t="s">
        <v>181</v>
      </c>
      <c r="E152" s="55">
        <f t="shared" si="177"/>
        <v>2443406</v>
      </c>
      <c r="F152" s="56">
        <f t="shared" si="178"/>
        <v>2406296</v>
      </c>
      <c r="G152" s="56">
        <f t="shared" si="179"/>
        <v>2406296</v>
      </c>
      <c r="H152" s="56">
        <v>1855501</v>
      </c>
      <c r="I152" s="56">
        <v>429375</v>
      </c>
      <c r="J152" s="56">
        <f t="shared" si="164"/>
        <v>7614</v>
      </c>
      <c r="K152" s="56">
        <v>1401</v>
      </c>
      <c r="L152" s="56">
        <v>0</v>
      </c>
      <c r="M152" s="56">
        <v>0</v>
      </c>
      <c r="N152" s="56">
        <v>0</v>
      </c>
      <c r="O152" s="56">
        <v>0</v>
      </c>
      <c r="P152" s="56">
        <v>6213</v>
      </c>
      <c r="Q152" s="56">
        <f t="shared" si="165"/>
        <v>0</v>
      </c>
      <c r="R152" s="56">
        <v>0</v>
      </c>
      <c r="S152" s="56">
        <v>0</v>
      </c>
      <c r="T152" s="56">
        <v>0</v>
      </c>
      <c r="U152" s="56">
        <v>5765</v>
      </c>
      <c r="V152" s="56">
        <f t="shared" si="180"/>
        <v>0</v>
      </c>
      <c r="W152" s="56">
        <v>0</v>
      </c>
      <c r="X152" s="56">
        <v>0</v>
      </c>
      <c r="Y152" s="56">
        <v>0</v>
      </c>
      <c r="Z152" s="56">
        <v>0</v>
      </c>
      <c r="AA152" s="56">
        <v>0</v>
      </c>
      <c r="AB152" s="56">
        <v>0</v>
      </c>
      <c r="AC152" s="56">
        <v>0</v>
      </c>
      <c r="AD152" s="56">
        <v>0</v>
      </c>
      <c r="AE152" s="56">
        <f t="shared" si="181"/>
        <v>108041</v>
      </c>
      <c r="AF152" s="56">
        <v>0</v>
      </c>
      <c r="AG152" s="56">
        <v>0</v>
      </c>
      <c r="AH152" s="56">
        <v>0</v>
      </c>
      <c r="AI152" s="56">
        <v>0</v>
      </c>
      <c r="AJ152" s="56">
        <v>1591</v>
      </c>
      <c r="AK152" s="56">
        <v>0</v>
      </c>
      <c r="AL152" s="56">
        <v>18555</v>
      </c>
      <c r="AM152" s="56">
        <v>0</v>
      </c>
      <c r="AN152" s="56">
        <v>0</v>
      </c>
      <c r="AO152" s="56">
        <v>0</v>
      </c>
      <c r="AP152" s="56">
        <v>0</v>
      </c>
      <c r="AQ152" s="56">
        <v>0</v>
      </c>
      <c r="AR152" s="56">
        <v>0</v>
      </c>
      <c r="AS152" s="56">
        <v>0</v>
      </c>
      <c r="AT152" s="56">
        <v>0</v>
      </c>
      <c r="AU152" s="56">
        <v>0</v>
      </c>
      <c r="AV152" s="56">
        <v>0</v>
      </c>
      <c r="AW152" s="56">
        <v>0</v>
      </c>
      <c r="AX152" s="56">
        <v>0</v>
      </c>
      <c r="AY152" s="56">
        <v>0</v>
      </c>
      <c r="AZ152" s="56">
        <v>87895</v>
      </c>
      <c r="BA152" s="56">
        <f t="shared" si="182"/>
        <v>0</v>
      </c>
      <c r="BB152" s="56">
        <f t="shared" si="183"/>
        <v>0</v>
      </c>
      <c r="BC152" s="56">
        <v>0</v>
      </c>
      <c r="BD152" s="56">
        <v>0</v>
      </c>
      <c r="BE152" s="56">
        <v>0</v>
      </c>
      <c r="BF152" s="56">
        <f t="shared" si="166"/>
        <v>0</v>
      </c>
      <c r="BG152" s="56">
        <v>0</v>
      </c>
      <c r="BH152" s="56">
        <v>0</v>
      </c>
      <c r="BI152" s="56">
        <v>0</v>
      </c>
      <c r="BJ152" s="56">
        <v>0</v>
      </c>
      <c r="BK152" s="56">
        <f t="shared" si="167"/>
        <v>0</v>
      </c>
      <c r="BL152" s="56">
        <v>0</v>
      </c>
      <c r="BM152" s="56">
        <f t="shared" si="168"/>
        <v>0</v>
      </c>
      <c r="BN152" s="56">
        <v>0</v>
      </c>
      <c r="BO152" s="56">
        <v>0</v>
      </c>
      <c r="BP152" s="56">
        <v>0</v>
      </c>
      <c r="BQ152" s="56">
        <v>0</v>
      </c>
      <c r="BR152" s="56">
        <v>0</v>
      </c>
      <c r="BS152" s="56">
        <v>0</v>
      </c>
      <c r="BT152" s="56">
        <v>0</v>
      </c>
      <c r="BU152" s="56">
        <v>0</v>
      </c>
      <c r="BV152" s="56">
        <v>0</v>
      </c>
      <c r="BW152" s="56">
        <v>0</v>
      </c>
      <c r="BX152" s="56">
        <v>0</v>
      </c>
      <c r="BY152" s="56">
        <f t="shared" si="184"/>
        <v>37110</v>
      </c>
      <c r="BZ152" s="56">
        <f t="shared" si="185"/>
        <v>37110</v>
      </c>
      <c r="CA152" s="56">
        <f t="shared" si="169"/>
        <v>37110</v>
      </c>
      <c r="CB152" s="56">
        <v>0</v>
      </c>
      <c r="CC152" s="56">
        <v>37110</v>
      </c>
      <c r="CD152" s="56">
        <f t="shared" si="170"/>
        <v>0</v>
      </c>
      <c r="CE152" s="56">
        <v>0</v>
      </c>
      <c r="CF152" s="56">
        <v>0</v>
      </c>
      <c r="CG152" s="56">
        <v>0</v>
      </c>
      <c r="CH152" s="56">
        <v>0</v>
      </c>
      <c r="CI152" s="56">
        <v>0</v>
      </c>
      <c r="CJ152" s="56">
        <v>0</v>
      </c>
      <c r="CK152" s="56">
        <f t="shared" si="171"/>
        <v>0</v>
      </c>
      <c r="CL152" s="56">
        <v>0</v>
      </c>
      <c r="CM152" s="56">
        <v>0</v>
      </c>
      <c r="CN152" s="56">
        <v>0</v>
      </c>
      <c r="CO152" s="56">
        <v>0</v>
      </c>
      <c r="CP152" s="56">
        <v>0</v>
      </c>
      <c r="CQ152" s="56">
        <v>0</v>
      </c>
      <c r="CR152" s="56">
        <v>0</v>
      </c>
      <c r="CS152" s="56">
        <v>0</v>
      </c>
      <c r="CT152" s="56">
        <f t="shared" si="172"/>
        <v>0</v>
      </c>
      <c r="CU152" s="56">
        <f t="shared" si="173"/>
        <v>0</v>
      </c>
      <c r="CV152" s="56">
        <v>0</v>
      </c>
      <c r="CW152" s="57">
        <v>0</v>
      </c>
      <c r="CX152" s="58"/>
    </row>
    <row r="153" spans="1:102" ht="15.75" hidden="1" x14ac:dyDescent="0.25">
      <c r="A153" s="13" t="s">
        <v>1</v>
      </c>
      <c r="B153" s="14" t="s">
        <v>1</v>
      </c>
      <c r="C153" s="14" t="s">
        <v>31</v>
      </c>
      <c r="D153" s="30" t="s">
        <v>180</v>
      </c>
      <c r="E153" s="15">
        <f t="shared" si="177"/>
        <v>674255</v>
      </c>
      <c r="F153" s="16">
        <f t="shared" si="178"/>
        <v>663644</v>
      </c>
      <c r="G153" s="16">
        <f t="shared" si="179"/>
        <v>663644</v>
      </c>
      <c r="H153" s="16">
        <v>530556</v>
      </c>
      <c r="I153" s="16">
        <v>120564</v>
      </c>
      <c r="J153" s="16">
        <f>SUM(K153:P153)</f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f>SUM(R153:S153)</f>
        <v>0</v>
      </c>
      <c r="R153" s="16">
        <v>0</v>
      </c>
      <c r="S153" s="16">
        <v>0</v>
      </c>
      <c r="T153" s="16">
        <v>0</v>
      </c>
      <c r="U153" s="16">
        <v>5627</v>
      </c>
      <c r="V153" s="16">
        <f t="shared" si="180"/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f t="shared" si="181"/>
        <v>6897</v>
      </c>
      <c r="AF153" s="16">
        <v>0</v>
      </c>
      <c r="AG153" s="16">
        <v>0</v>
      </c>
      <c r="AH153" s="16">
        <v>0</v>
      </c>
      <c r="AI153" s="16">
        <v>0</v>
      </c>
      <c r="AJ153" s="16">
        <v>1591</v>
      </c>
      <c r="AK153" s="16">
        <v>0</v>
      </c>
      <c r="AL153" s="16">
        <v>5306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0</v>
      </c>
      <c r="AX153" s="16">
        <v>0</v>
      </c>
      <c r="AY153" s="16">
        <v>0</v>
      </c>
      <c r="AZ153" s="16">
        <v>0</v>
      </c>
      <c r="BA153" s="16">
        <f t="shared" si="182"/>
        <v>0</v>
      </c>
      <c r="BB153" s="16">
        <f t="shared" si="183"/>
        <v>0</v>
      </c>
      <c r="BC153" s="16">
        <v>0</v>
      </c>
      <c r="BD153" s="16">
        <v>0</v>
      </c>
      <c r="BE153" s="16">
        <v>0</v>
      </c>
      <c r="BF153" s="16">
        <f>SUM(BG153:BH153)</f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f>SUM(BL153)</f>
        <v>0</v>
      </c>
      <c r="BL153" s="16">
        <v>0</v>
      </c>
      <c r="BM153" s="16">
        <f>SUM(BN153:BX153)</f>
        <v>0</v>
      </c>
      <c r="BN153" s="16">
        <v>0</v>
      </c>
      <c r="BO153" s="16">
        <v>0</v>
      </c>
      <c r="BP153" s="16">
        <v>0</v>
      </c>
      <c r="BQ153" s="16">
        <v>0</v>
      </c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  <c r="BW153" s="16">
        <v>0</v>
      </c>
      <c r="BX153" s="16">
        <v>0</v>
      </c>
      <c r="BY153" s="16">
        <f t="shared" si="184"/>
        <v>10611</v>
      </c>
      <c r="BZ153" s="16">
        <f t="shared" si="185"/>
        <v>10611</v>
      </c>
      <c r="CA153" s="16">
        <f>SUM(CB153:CC153)</f>
        <v>10611</v>
      </c>
      <c r="CB153" s="16">
        <v>0</v>
      </c>
      <c r="CC153" s="16">
        <v>10611</v>
      </c>
      <c r="CD153" s="16">
        <f>SUM(CE153:CI153)</f>
        <v>0</v>
      </c>
      <c r="CE153" s="16">
        <v>0</v>
      </c>
      <c r="CF153" s="16">
        <v>0</v>
      </c>
      <c r="CG153" s="16">
        <v>0</v>
      </c>
      <c r="CH153" s="16">
        <v>0</v>
      </c>
      <c r="CI153" s="16">
        <v>0</v>
      </c>
      <c r="CJ153" s="16">
        <v>0</v>
      </c>
      <c r="CK153" s="16">
        <f>SUM(CL153:CP153)</f>
        <v>0</v>
      </c>
      <c r="CL153" s="16">
        <v>0</v>
      </c>
      <c r="CM153" s="16">
        <v>0</v>
      </c>
      <c r="CN153" s="16">
        <v>0</v>
      </c>
      <c r="CO153" s="16">
        <v>0</v>
      </c>
      <c r="CP153" s="16">
        <v>0</v>
      </c>
      <c r="CQ153" s="16">
        <v>0</v>
      </c>
      <c r="CR153" s="16">
        <v>0</v>
      </c>
      <c r="CS153" s="16">
        <v>0</v>
      </c>
      <c r="CT153" s="16">
        <f>SUM(CU153)</f>
        <v>0</v>
      </c>
      <c r="CU153" s="16">
        <f>SUM(CV153:CW153)</f>
        <v>0</v>
      </c>
      <c r="CV153" s="16">
        <v>0</v>
      </c>
      <c r="CW153" s="17">
        <v>0</v>
      </c>
      <c r="CX153" s="40"/>
    </row>
    <row r="154" spans="1:102" ht="31.5" hidden="1" x14ac:dyDescent="0.25">
      <c r="A154" s="13" t="s">
        <v>1</v>
      </c>
      <c r="B154" s="14" t="s">
        <v>1</v>
      </c>
      <c r="C154" s="14" t="s">
        <v>33</v>
      </c>
      <c r="D154" s="30" t="s">
        <v>564</v>
      </c>
      <c r="E154" s="15">
        <f>SUM(F154+BY154+CT154)</f>
        <v>129044</v>
      </c>
      <c r="F154" s="16">
        <f>SUM(G154+BA154)</f>
        <v>129044</v>
      </c>
      <c r="G154" s="16">
        <f>SUM(H154+I154+J154+Q154+T154+U154+V154+AE154)</f>
        <v>129044</v>
      </c>
      <c r="H154" s="16">
        <f>0+103235</f>
        <v>103235</v>
      </c>
      <c r="I154" s="16">
        <f>0+25809</f>
        <v>25809</v>
      </c>
      <c r="J154" s="16">
        <f>SUM(K154:P154)</f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f>SUM(R154:S154)</f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f>SUM(W154:AD154)</f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f>SUM(AF154:AZ154)</f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  <c r="AZ154" s="16"/>
      <c r="BA154" s="16">
        <f>SUM(BB154+BF154+BI154+BK154+BM154)</f>
        <v>0</v>
      </c>
      <c r="BB154" s="16">
        <f>SUM(BC154:BE154)</f>
        <v>0</v>
      </c>
      <c r="BC154" s="16">
        <v>0</v>
      </c>
      <c r="BD154" s="16">
        <v>0</v>
      </c>
      <c r="BE154" s="16">
        <v>0</v>
      </c>
      <c r="BF154" s="16">
        <f>SUM(BG154:BH154)</f>
        <v>0</v>
      </c>
      <c r="BG154" s="16">
        <v>0</v>
      </c>
      <c r="BH154" s="16">
        <v>0</v>
      </c>
      <c r="BI154" s="16">
        <v>0</v>
      </c>
      <c r="BJ154" s="16">
        <v>0</v>
      </c>
      <c r="BK154" s="16">
        <f>SUM(BL154)</f>
        <v>0</v>
      </c>
      <c r="BL154" s="16">
        <v>0</v>
      </c>
      <c r="BM154" s="16">
        <f>SUM(BN154:BX154)</f>
        <v>0</v>
      </c>
      <c r="BN154" s="16">
        <v>0</v>
      </c>
      <c r="BO154" s="16">
        <v>0</v>
      </c>
      <c r="BP154" s="16">
        <v>0</v>
      </c>
      <c r="BQ154" s="16">
        <v>0</v>
      </c>
      <c r="BR154" s="16">
        <v>0</v>
      </c>
      <c r="BS154" s="16">
        <v>0</v>
      </c>
      <c r="BT154" s="16">
        <v>0</v>
      </c>
      <c r="BU154" s="16">
        <v>0</v>
      </c>
      <c r="BV154" s="16">
        <v>0</v>
      </c>
      <c r="BW154" s="16">
        <v>0</v>
      </c>
      <c r="BX154" s="16">
        <v>0</v>
      </c>
      <c r="BY154" s="16">
        <f>SUM(BZ154+CS154)</f>
        <v>0</v>
      </c>
      <c r="BZ154" s="16">
        <f>SUM(CA154+CD154+CK154)</f>
        <v>0</v>
      </c>
      <c r="CA154" s="16">
        <f>SUM(CB154:CC154)</f>
        <v>0</v>
      </c>
      <c r="CB154" s="16">
        <v>0</v>
      </c>
      <c r="CC154" s="16">
        <v>0</v>
      </c>
      <c r="CD154" s="16">
        <f>SUM(CE154:CI154)</f>
        <v>0</v>
      </c>
      <c r="CE154" s="16">
        <v>0</v>
      </c>
      <c r="CF154" s="16">
        <v>0</v>
      </c>
      <c r="CG154" s="16">
        <v>0</v>
      </c>
      <c r="CH154" s="16">
        <v>0</v>
      </c>
      <c r="CI154" s="16">
        <v>0</v>
      </c>
      <c r="CJ154" s="16">
        <v>0</v>
      </c>
      <c r="CK154" s="16">
        <f>SUM(CL154:CP154)</f>
        <v>0</v>
      </c>
      <c r="CL154" s="16">
        <v>0</v>
      </c>
      <c r="CM154" s="16">
        <v>0</v>
      </c>
      <c r="CN154" s="16">
        <v>0</v>
      </c>
      <c r="CO154" s="16">
        <v>0</v>
      </c>
      <c r="CP154" s="16">
        <v>0</v>
      </c>
      <c r="CQ154" s="16">
        <v>0</v>
      </c>
      <c r="CR154" s="16">
        <v>0</v>
      </c>
      <c r="CS154" s="16">
        <v>0</v>
      </c>
      <c r="CT154" s="16">
        <f>SUM(CU154)</f>
        <v>0</v>
      </c>
      <c r="CU154" s="16">
        <f>SUM(CV154:CW154)</f>
        <v>0</v>
      </c>
      <c r="CV154" s="16">
        <v>0</v>
      </c>
      <c r="CW154" s="17">
        <v>0</v>
      </c>
      <c r="CX154" s="40"/>
    </row>
    <row r="155" spans="1:102" ht="31.5" hidden="1" x14ac:dyDescent="0.25">
      <c r="A155" s="13" t="s">
        <v>1</v>
      </c>
      <c r="B155" s="14" t="s">
        <v>1</v>
      </c>
      <c r="C155" s="14" t="s">
        <v>33</v>
      </c>
      <c r="D155" s="30" t="s">
        <v>183</v>
      </c>
      <c r="E155" s="15">
        <f t="shared" si="177"/>
        <v>2092121</v>
      </c>
      <c r="F155" s="16">
        <f t="shared" si="178"/>
        <v>2092121</v>
      </c>
      <c r="G155" s="16">
        <f t="shared" si="179"/>
        <v>2092121</v>
      </c>
      <c r="H155" s="16">
        <v>0</v>
      </c>
      <c r="I155" s="16">
        <v>0</v>
      </c>
      <c r="J155" s="16">
        <f t="shared" ref="J155" si="186">SUM(K155:P155)</f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f t="shared" ref="Q155" si="187">SUM(R155:S155)</f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f t="shared" si="180"/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f t="shared" si="181"/>
        <v>2092121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16">
        <v>0</v>
      </c>
      <c r="AU155" s="16">
        <v>0</v>
      </c>
      <c r="AV155" s="16">
        <v>0</v>
      </c>
      <c r="AW155" s="16">
        <v>0</v>
      </c>
      <c r="AX155" s="16">
        <v>0</v>
      </c>
      <c r="AY155" s="16">
        <v>0</v>
      </c>
      <c r="AZ155" s="16">
        <v>2092121</v>
      </c>
      <c r="BA155" s="16">
        <f t="shared" si="182"/>
        <v>0</v>
      </c>
      <c r="BB155" s="16">
        <f t="shared" si="183"/>
        <v>0</v>
      </c>
      <c r="BC155" s="16">
        <v>0</v>
      </c>
      <c r="BD155" s="16">
        <v>0</v>
      </c>
      <c r="BE155" s="16">
        <v>0</v>
      </c>
      <c r="BF155" s="16">
        <f t="shared" ref="BF155" si="188">SUM(BG155:BH155)</f>
        <v>0</v>
      </c>
      <c r="BG155" s="16">
        <v>0</v>
      </c>
      <c r="BH155" s="16">
        <v>0</v>
      </c>
      <c r="BI155" s="16">
        <v>0</v>
      </c>
      <c r="BJ155" s="16">
        <v>0</v>
      </c>
      <c r="BK155" s="16">
        <f t="shared" ref="BK155" si="189">SUM(BL155)</f>
        <v>0</v>
      </c>
      <c r="BL155" s="16">
        <v>0</v>
      </c>
      <c r="BM155" s="16">
        <f t="shared" ref="BM155" si="190">SUM(BN155:BX155)</f>
        <v>0</v>
      </c>
      <c r="BN155" s="16">
        <v>0</v>
      </c>
      <c r="BO155" s="16">
        <v>0</v>
      </c>
      <c r="BP155" s="16">
        <v>0</v>
      </c>
      <c r="BQ155" s="16">
        <v>0</v>
      </c>
      <c r="BR155" s="16">
        <v>0</v>
      </c>
      <c r="BS155" s="16">
        <v>0</v>
      </c>
      <c r="BT155" s="16">
        <v>0</v>
      </c>
      <c r="BU155" s="16">
        <v>0</v>
      </c>
      <c r="BV155" s="16">
        <v>0</v>
      </c>
      <c r="BW155" s="16">
        <v>0</v>
      </c>
      <c r="BX155" s="16">
        <v>0</v>
      </c>
      <c r="BY155" s="16">
        <f t="shared" si="184"/>
        <v>0</v>
      </c>
      <c r="BZ155" s="16">
        <f t="shared" si="185"/>
        <v>0</v>
      </c>
      <c r="CA155" s="16">
        <f t="shared" ref="CA155" si="191">SUM(CB155:CC155)</f>
        <v>0</v>
      </c>
      <c r="CB155" s="16">
        <v>0</v>
      </c>
      <c r="CC155" s="16">
        <v>0</v>
      </c>
      <c r="CD155" s="16">
        <f t="shared" ref="CD155" si="192">SUM(CE155:CI155)</f>
        <v>0</v>
      </c>
      <c r="CE155" s="16">
        <v>0</v>
      </c>
      <c r="CF155" s="16">
        <v>0</v>
      </c>
      <c r="CG155" s="16">
        <v>0</v>
      </c>
      <c r="CH155" s="16">
        <v>0</v>
      </c>
      <c r="CI155" s="16">
        <v>0</v>
      </c>
      <c r="CJ155" s="16">
        <v>0</v>
      </c>
      <c r="CK155" s="16">
        <f t="shared" ref="CK155" si="193">SUM(CL155:CP155)</f>
        <v>0</v>
      </c>
      <c r="CL155" s="16">
        <v>0</v>
      </c>
      <c r="CM155" s="16">
        <v>0</v>
      </c>
      <c r="CN155" s="16">
        <v>0</v>
      </c>
      <c r="CO155" s="16">
        <v>0</v>
      </c>
      <c r="CP155" s="16">
        <v>0</v>
      </c>
      <c r="CQ155" s="16">
        <v>0</v>
      </c>
      <c r="CR155" s="16">
        <v>0</v>
      </c>
      <c r="CS155" s="16">
        <v>0</v>
      </c>
      <c r="CT155" s="16">
        <f t="shared" ref="CT155" si="194">SUM(CU155)</f>
        <v>0</v>
      </c>
      <c r="CU155" s="16">
        <f t="shared" ref="CU155" si="195">SUM(CV155:CW155)</f>
        <v>0</v>
      </c>
      <c r="CV155" s="16">
        <v>0</v>
      </c>
      <c r="CW155" s="17">
        <v>0</v>
      </c>
      <c r="CX155" s="40"/>
    </row>
    <row r="156" spans="1:102" ht="15.75" hidden="1" x14ac:dyDescent="0.25">
      <c r="A156" s="18" t="s">
        <v>184</v>
      </c>
      <c r="B156" s="19" t="s">
        <v>1</v>
      </c>
      <c r="C156" s="19" t="s">
        <v>1</v>
      </c>
      <c r="D156" s="31" t="s">
        <v>185</v>
      </c>
      <c r="E156" s="20">
        <f>SUM(E157+E160)</f>
        <v>44380361</v>
      </c>
      <c r="F156" s="21">
        <f t="shared" ref="F156:BS156" si="196">SUM(F157+F160)</f>
        <v>43963042</v>
      </c>
      <c r="G156" s="21">
        <f t="shared" si="196"/>
        <v>43963042</v>
      </c>
      <c r="H156" s="21">
        <f t="shared" si="196"/>
        <v>26681771</v>
      </c>
      <c r="I156" s="21">
        <f t="shared" si="196"/>
        <v>6384604</v>
      </c>
      <c r="J156" s="21">
        <f t="shared" si="196"/>
        <v>428827</v>
      </c>
      <c r="K156" s="21">
        <f t="shared" si="196"/>
        <v>0</v>
      </c>
      <c r="L156" s="21">
        <f t="shared" si="196"/>
        <v>0</v>
      </c>
      <c r="M156" s="21">
        <f t="shared" si="196"/>
        <v>0</v>
      </c>
      <c r="N156" s="21">
        <f t="shared" si="196"/>
        <v>0</v>
      </c>
      <c r="O156" s="21">
        <f t="shared" si="196"/>
        <v>406540</v>
      </c>
      <c r="P156" s="21">
        <f t="shared" si="196"/>
        <v>22287</v>
      </c>
      <c r="Q156" s="21">
        <f t="shared" si="196"/>
        <v>96891</v>
      </c>
      <c r="R156" s="21">
        <f t="shared" si="196"/>
        <v>6292</v>
      </c>
      <c r="S156" s="21">
        <f t="shared" si="196"/>
        <v>90599</v>
      </c>
      <c r="T156" s="21">
        <f t="shared" si="196"/>
        <v>0</v>
      </c>
      <c r="U156" s="21">
        <f t="shared" si="196"/>
        <v>196638</v>
      </c>
      <c r="V156" s="21">
        <f t="shared" si="196"/>
        <v>72385</v>
      </c>
      <c r="W156" s="21">
        <f t="shared" si="196"/>
        <v>0</v>
      </c>
      <c r="X156" s="21">
        <f t="shared" si="196"/>
        <v>0</v>
      </c>
      <c r="Y156" s="21">
        <f t="shared" si="196"/>
        <v>31981</v>
      </c>
      <c r="Z156" s="21">
        <f t="shared" si="196"/>
        <v>0</v>
      </c>
      <c r="AA156" s="21">
        <f t="shared" si="196"/>
        <v>0</v>
      </c>
      <c r="AB156" s="21">
        <f t="shared" si="196"/>
        <v>40404</v>
      </c>
      <c r="AC156" s="21">
        <f t="shared" si="196"/>
        <v>0</v>
      </c>
      <c r="AD156" s="21">
        <f t="shared" si="196"/>
        <v>0</v>
      </c>
      <c r="AE156" s="21">
        <f t="shared" si="196"/>
        <v>10101926</v>
      </c>
      <c r="AF156" s="21">
        <f t="shared" si="196"/>
        <v>0</v>
      </c>
      <c r="AG156" s="21">
        <f t="shared" si="196"/>
        <v>0</v>
      </c>
      <c r="AH156" s="21">
        <f t="shared" si="196"/>
        <v>6630</v>
      </c>
      <c r="AI156" s="21">
        <f t="shared" si="196"/>
        <v>0</v>
      </c>
      <c r="AJ156" s="21">
        <f t="shared" si="196"/>
        <v>0</v>
      </c>
      <c r="AK156" s="21">
        <f t="shared" si="196"/>
        <v>0</v>
      </c>
      <c r="AL156" s="21">
        <f t="shared" si="196"/>
        <v>235535</v>
      </c>
      <c r="AM156" s="21">
        <f t="shared" si="196"/>
        <v>1739000</v>
      </c>
      <c r="AN156" s="21">
        <f t="shared" si="196"/>
        <v>0</v>
      </c>
      <c r="AO156" s="21">
        <f t="shared" si="196"/>
        <v>0</v>
      </c>
      <c r="AP156" s="21">
        <f>SUM(AP157+AP160)</f>
        <v>0</v>
      </c>
      <c r="AQ156" s="21">
        <f t="shared" si="196"/>
        <v>0</v>
      </c>
      <c r="AR156" s="21">
        <f t="shared" si="196"/>
        <v>30733</v>
      </c>
      <c r="AS156" s="21">
        <f t="shared" si="196"/>
        <v>0</v>
      </c>
      <c r="AT156" s="21">
        <f t="shared" si="196"/>
        <v>0</v>
      </c>
      <c r="AU156" s="21">
        <f t="shared" si="196"/>
        <v>0</v>
      </c>
      <c r="AV156" s="21">
        <f t="shared" si="196"/>
        <v>0</v>
      </c>
      <c r="AW156" s="21">
        <f t="shared" si="196"/>
        <v>0</v>
      </c>
      <c r="AX156" s="21">
        <f t="shared" si="196"/>
        <v>0</v>
      </c>
      <c r="AY156" s="21">
        <f t="shared" si="196"/>
        <v>0</v>
      </c>
      <c r="AZ156" s="21">
        <f t="shared" si="196"/>
        <v>8090028</v>
      </c>
      <c r="BA156" s="21">
        <f t="shared" si="196"/>
        <v>0</v>
      </c>
      <c r="BB156" s="21">
        <f t="shared" si="196"/>
        <v>0</v>
      </c>
      <c r="BC156" s="21">
        <f t="shared" si="196"/>
        <v>0</v>
      </c>
      <c r="BD156" s="21">
        <f t="shared" si="196"/>
        <v>0</v>
      </c>
      <c r="BE156" s="21">
        <f t="shared" si="196"/>
        <v>0</v>
      </c>
      <c r="BF156" s="21">
        <f t="shared" si="196"/>
        <v>0</v>
      </c>
      <c r="BG156" s="21">
        <f t="shared" si="196"/>
        <v>0</v>
      </c>
      <c r="BH156" s="21">
        <f t="shared" si="196"/>
        <v>0</v>
      </c>
      <c r="BI156" s="21">
        <f t="shared" si="196"/>
        <v>0</v>
      </c>
      <c r="BJ156" s="21">
        <f t="shared" si="196"/>
        <v>0</v>
      </c>
      <c r="BK156" s="21">
        <f t="shared" si="196"/>
        <v>0</v>
      </c>
      <c r="BL156" s="21">
        <f t="shared" si="196"/>
        <v>0</v>
      </c>
      <c r="BM156" s="21">
        <f t="shared" si="196"/>
        <v>0</v>
      </c>
      <c r="BN156" s="21">
        <f t="shared" si="196"/>
        <v>0</v>
      </c>
      <c r="BO156" s="21">
        <f t="shared" si="196"/>
        <v>0</v>
      </c>
      <c r="BP156" s="21">
        <f t="shared" si="196"/>
        <v>0</v>
      </c>
      <c r="BQ156" s="21">
        <f t="shared" si="196"/>
        <v>0</v>
      </c>
      <c r="BR156" s="21">
        <f t="shared" si="196"/>
        <v>0</v>
      </c>
      <c r="BS156" s="21">
        <f t="shared" si="196"/>
        <v>0</v>
      </c>
      <c r="BT156" s="21">
        <f t="shared" ref="BT156:CW156" si="197">SUM(BT157+BT160)</f>
        <v>0</v>
      </c>
      <c r="BU156" s="21">
        <f t="shared" si="197"/>
        <v>0</v>
      </c>
      <c r="BV156" s="21">
        <f t="shared" si="197"/>
        <v>0</v>
      </c>
      <c r="BW156" s="21">
        <f t="shared" si="197"/>
        <v>0</v>
      </c>
      <c r="BX156" s="21">
        <f t="shared" si="197"/>
        <v>0</v>
      </c>
      <c r="BY156" s="21">
        <f t="shared" si="197"/>
        <v>417319</v>
      </c>
      <c r="BZ156" s="21">
        <f t="shared" si="197"/>
        <v>417319</v>
      </c>
      <c r="CA156" s="21">
        <f t="shared" si="197"/>
        <v>417319</v>
      </c>
      <c r="CB156" s="21">
        <f t="shared" si="197"/>
        <v>0</v>
      </c>
      <c r="CC156" s="21">
        <f t="shared" si="197"/>
        <v>417319</v>
      </c>
      <c r="CD156" s="21">
        <f t="shared" si="197"/>
        <v>0</v>
      </c>
      <c r="CE156" s="21">
        <f t="shared" si="197"/>
        <v>0</v>
      </c>
      <c r="CF156" s="21">
        <f>SUM(CF157+CF160)</f>
        <v>0</v>
      </c>
      <c r="CG156" s="21">
        <f t="shared" si="197"/>
        <v>0</v>
      </c>
      <c r="CH156" s="21">
        <f t="shared" si="197"/>
        <v>0</v>
      </c>
      <c r="CI156" s="21">
        <f t="shared" si="197"/>
        <v>0</v>
      </c>
      <c r="CJ156" s="21">
        <f t="shared" si="197"/>
        <v>0</v>
      </c>
      <c r="CK156" s="21">
        <f t="shared" si="197"/>
        <v>0</v>
      </c>
      <c r="CL156" s="21">
        <f t="shared" si="197"/>
        <v>0</v>
      </c>
      <c r="CM156" s="21">
        <f>SUM(CM157+CM160)</f>
        <v>0</v>
      </c>
      <c r="CN156" s="21">
        <f t="shared" si="197"/>
        <v>0</v>
      </c>
      <c r="CO156" s="21">
        <f t="shared" si="197"/>
        <v>0</v>
      </c>
      <c r="CP156" s="21">
        <f t="shared" si="197"/>
        <v>0</v>
      </c>
      <c r="CQ156" s="21">
        <f t="shared" si="197"/>
        <v>0</v>
      </c>
      <c r="CR156" s="21">
        <f t="shared" si="197"/>
        <v>0</v>
      </c>
      <c r="CS156" s="21">
        <f t="shared" si="197"/>
        <v>0</v>
      </c>
      <c r="CT156" s="21">
        <f t="shared" si="197"/>
        <v>0</v>
      </c>
      <c r="CU156" s="21">
        <f t="shared" si="197"/>
        <v>0</v>
      </c>
      <c r="CV156" s="21">
        <f t="shared" si="197"/>
        <v>0</v>
      </c>
      <c r="CW156" s="22">
        <f t="shared" si="197"/>
        <v>0</v>
      </c>
      <c r="CX156" s="40"/>
    </row>
    <row r="157" spans="1:102" ht="15.75" hidden="1" x14ac:dyDescent="0.25">
      <c r="A157" s="13" t="s">
        <v>186</v>
      </c>
      <c r="B157" s="14" t="s">
        <v>3</v>
      </c>
      <c r="C157" s="14" t="s">
        <v>1</v>
      </c>
      <c r="D157" s="30" t="s">
        <v>187</v>
      </c>
      <c r="E157" s="15">
        <f>SUM(E158:E159)</f>
        <v>35332148</v>
      </c>
      <c r="F157" s="16">
        <f t="shared" ref="F157:BS157" si="198">SUM(F158:F159)</f>
        <v>34955753</v>
      </c>
      <c r="G157" s="16">
        <f t="shared" si="198"/>
        <v>34955753</v>
      </c>
      <c r="H157" s="16">
        <f t="shared" si="198"/>
        <v>20930566</v>
      </c>
      <c r="I157" s="16">
        <f t="shared" si="198"/>
        <v>5025610</v>
      </c>
      <c r="J157" s="16">
        <f t="shared" si="198"/>
        <v>371147</v>
      </c>
      <c r="K157" s="16">
        <f t="shared" si="198"/>
        <v>0</v>
      </c>
      <c r="L157" s="16">
        <f t="shared" si="198"/>
        <v>0</v>
      </c>
      <c r="M157" s="16">
        <f t="shared" si="198"/>
        <v>0</v>
      </c>
      <c r="N157" s="16">
        <f t="shared" si="198"/>
        <v>0</v>
      </c>
      <c r="O157" s="16">
        <f t="shared" si="198"/>
        <v>356078</v>
      </c>
      <c r="P157" s="16">
        <f t="shared" si="198"/>
        <v>15069</v>
      </c>
      <c r="Q157" s="16">
        <f t="shared" si="198"/>
        <v>90599</v>
      </c>
      <c r="R157" s="16">
        <f t="shared" si="198"/>
        <v>0</v>
      </c>
      <c r="S157" s="16">
        <f t="shared" si="198"/>
        <v>90599</v>
      </c>
      <c r="T157" s="16">
        <f t="shared" si="198"/>
        <v>0</v>
      </c>
      <c r="U157" s="16">
        <f t="shared" si="198"/>
        <v>149857</v>
      </c>
      <c r="V157" s="16">
        <f t="shared" si="198"/>
        <v>72385</v>
      </c>
      <c r="W157" s="16">
        <f t="shared" si="198"/>
        <v>0</v>
      </c>
      <c r="X157" s="16">
        <f t="shared" si="198"/>
        <v>0</v>
      </c>
      <c r="Y157" s="16">
        <f t="shared" si="198"/>
        <v>31981</v>
      </c>
      <c r="Z157" s="16">
        <f t="shared" si="198"/>
        <v>0</v>
      </c>
      <c r="AA157" s="16">
        <f t="shared" si="198"/>
        <v>0</v>
      </c>
      <c r="AB157" s="16">
        <f t="shared" si="198"/>
        <v>40404</v>
      </c>
      <c r="AC157" s="16">
        <f t="shared" si="198"/>
        <v>0</v>
      </c>
      <c r="AD157" s="16">
        <f t="shared" si="198"/>
        <v>0</v>
      </c>
      <c r="AE157" s="16">
        <f t="shared" si="198"/>
        <v>8315589</v>
      </c>
      <c r="AF157" s="16">
        <f t="shared" si="198"/>
        <v>0</v>
      </c>
      <c r="AG157" s="16">
        <f t="shared" si="198"/>
        <v>0</v>
      </c>
      <c r="AH157" s="16">
        <f t="shared" si="198"/>
        <v>6630</v>
      </c>
      <c r="AI157" s="16">
        <f t="shared" si="198"/>
        <v>0</v>
      </c>
      <c r="AJ157" s="16">
        <f t="shared" si="198"/>
        <v>0</v>
      </c>
      <c r="AK157" s="16">
        <f t="shared" si="198"/>
        <v>0</v>
      </c>
      <c r="AL157" s="16">
        <f t="shared" si="198"/>
        <v>188198</v>
      </c>
      <c r="AM157" s="16">
        <f t="shared" si="198"/>
        <v>0</v>
      </c>
      <c r="AN157" s="16">
        <f t="shared" si="198"/>
        <v>0</v>
      </c>
      <c r="AO157" s="16">
        <f t="shared" si="198"/>
        <v>0</v>
      </c>
      <c r="AP157" s="16">
        <f>SUM(AP158:AP159)</f>
        <v>0</v>
      </c>
      <c r="AQ157" s="16">
        <f t="shared" si="198"/>
        <v>0</v>
      </c>
      <c r="AR157" s="16">
        <f t="shared" si="198"/>
        <v>30733</v>
      </c>
      <c r="AS157" s="16">
        <f t="shared" si="198"/>
        <v>0</v>
      </c>
      <c r="AT157" s="16">
        <f t="shared" si="198"/>
        <v>0</v>
      </c>
      <c r="AU157" s="16">
        <f t="shared" si="198"/>
        <v>0</v>
      </c>
      <c r="AV157" s="16">
        <f t="shared" si="198"/>
        <v>0</v>
      </c>
      <c r="AW157" s="16">
        <f t="shared" si="198"/>
        <v>0</v>
      </c>
      <c r="AX157" s="16">
        <f t="shared" si="198"/>
        <v>0</v>
      </c>
      <c r="AY157" s="16">
        <f t="shared" si="198"/>
        <v>0</v>
      </c>
      <c r="AZ157" s="16">
        <f t="shared" si="198"/>
        <v>8090028</v>
      </c>
      <c r="BA157" s="16">
        <f t="shared" si="198"/>
        <v>0</v>
      </c>
      <c r="BB157" s="16">
        <f t="shared" si="198"/>
        <v>0</v>
      </c>
      <c r="BC157" s="16">
        <f t="shared" si="198"/>
        <v>0</v>
      </c>
      <c r="BD157" s="16">
        <f t="shared" si="198"/>
        <v>0</v>
      </c>
      <c r="BE157" s="16">
        <f t="shared" si="198"/>
        <v>0</v>
      </c>
      <c r="BF157" s="16">
        <f t="shared" si="198"/>
        <v>0</v>
      </c>
      <c r="BG157" s="16">
        <f t="shared" si="198"/>
        <v>0</v>
      </c>
      <c r="BH157" s="16">
        <f t="shared" si="198"/>
        <v>0</v>
      </c>
      <c r="BI157" s="16">
        <f t="shared" si="198"/>
        <v>0</v>
      </c>
      <c r="BJ157" s="16">
        <f t="shared" si="198"/>
        <v>0</v>
      </c>
      <c r="BK157" s="16">
        <f t="shared" si="198"/>
        <v>0</v>
      </c>
      <c r="BL157" s="16">
        <f t="shared" si="198"/>
        <v>0</v>
      </c>
      <c r="BM157" s="16">
        <f t="shared" si="198"/>
        <v>0</v>
      </c>
      <c r="BN157" s="16">
        <f t="shared" si="198"/>
        <v>0</v>
      </c>
      <c r="BO157" s="16">
        <f t="shared" si="198"/>
        <v>0</v>
      </c>
      <c r="BP157" s="16">
        <f t="shared" si="198"/>
        <v>0</v>
      </c>
      <c r="BQ157" s="16">
        <f t="shared" si="198"/>
        <v>0</v>
      </c>
      <c r="BR157" s="16">
        <f t="shared" si="198"/>
        <v>0</v>
      </c>
      <c r="BS157" s="16">
        <f t="shared" si="198"/>
        <v>0</v>
      </c>
      <c r="BT157" s="16">
        <f t="shared" ref="BT157:CW157" si="199">SUM(BT158:BT159)</f>
        <v>0</v>
      </c>
      <c r="BU157" s="16">
        <f t="shared" si="199"/>
        <v>0</v>
      </c>
      <c r="BV157" s="16">
        <f t="shared" si="199"/>
        <v>0</v>
      </c>
      <c r="BW157" s="16">
        <f t="shared" si="199"/>
        <v>0</v>
      </c>
      <c r="BX157" s="16">
        <f t="shared" si="199"/>
        <v>0</v>
      </c>
      <c r="BY157" s="16">
        <f t="shared" si="199"/>
        <v>376395</v>
      </c>
      <c r="BZ157" s="16">
        <f t="shared" si="199"/>
        <v>376395</v>
      </c>
      <c r="CA157" s="16">
        <f t="shared" si="199"/>
        <v>376395</v>
      </c>
      <c r="CB157" s="16">
        <f t="shared" si="199"/>
        <v>0</v>
      </c>
      <c r="CC157" s="16">
        <f t="shared" si="199"/>
        <v>376395</v>
      </c>
      <c r="CD157" s="16">
        <f t="shared" si="199"/>
        <v>0</v>
      </c>
      <c r="CE157" s="16">
        <f t="shared" si="199"/>
        <v>0</v>
      </c>
      <c r="CF157" s="16">
        <f>SUM(CF158:CF159)</f>
        <v>0</v>
      </c>
      <c r="CG157" s="16">
        <f t="shared" si="199"/>
        <v>0</v>
      </c>
      <c r="CH157" s="16">
        <f t="shared" si="199"/>
        <v>0</v>
      </c>
      <c r="CI157" s="16">
        <f t="shared" si="199"/>
        <v>0</v>
      </c>
      <c r="CJ157" s="16">
        <f t="shared" si="199"/>
        <v>0</v>
      </c>
      <c r="CK157" s="16">
        <f t="shared" si="199"/>
        <v>0</v>
      </c>
      <c r="CL157" s="16">
        <f t="shared" si="199"/>
        <v>0</v>
      </c>
      <c r="CM157" s="16">
        <f>SUM(CM158:CM159)</f>
        <v>0</v>
      </c>
      <c r="CN157" s="16">
        <f t="shared" si="199"/>
        <v>0</v>
      </c>
      <c r="CO157" s="16">
        <f t="shared" si="199"/>
        <v>0</v>
      </c>
      <c r="CP157" s="16">
        <f t="shared" si="199"/>
        <v>0</v>
      </c>
      <c r="CQ157" s="16">
        <f t="shared" si="199"/>
        <v>0</v>
      </c>
      <c r="CR157" s="16">
        <f t="shared" si="199"/>
        <v>0</v>
      </c>
      <c r="CS157" s="16">
        <f t="shared" si="199"/>
        <v>0</v>
      </c>
      <c r="CT157" s="16">
        <f t="shared" si="199"/>
        <v>0</v>
      </c>
      <c r="CU157" s="16">
        <f t="shared" si="199"/>
        <v>0</v>
      </c>
      <c r="CV157" s="16">
        <f t="shared" si="199"/>
        <v>0</v>
      </c>
      <c r="CW157" s="17">
        <f t="shared" si="199"/>
        <v>0</v>
      </c>
      <c r="CX157" s="40"/>
    </row>
    <row r="158" spans="1:102" ht="15.75" hidden="1" x14ac:dyDescent="0.25">
      <c r="A158" s="13" t="s">
        <v>1</v>
      </c>
      <c r="B158" s="14" t="s">
        <v>1</v>
      </c>
      <c r="C158" s="14" t="s">
        <v>34</v>
      </c>
      <c r="D158" s="30" t="s">
        <v>188</v>
      </c>
      <c r="E158" s="15">
        <f>SUM(F158+BY158+CT158)</f>
        <v>27249649</v>
      </c>
      <c r="F158" s="16">
        <f>SUM(G158+BA158)</f>
        <v>26873254</v>
      </c>
      <c r="G158" s="16">
        <f>SUM(H158+I158+J158+Q158+T158+U158+V158+AE158)</f>
        <v>26873254</v>
      </c>
      <c r="H158" s="16">
        <v>20930566</v>
      </c>
      <c r="I158" s="16">
        <v>5025610</v>
      </c>
      <c r="J158" s="16">
        <f t="shared" si="164"/>
        <v>371147</v>
      </c>
      <c r="K158" s="16">
        <v>0</v>
      </c>
      <c r="L158" s="16">
        <v>0</v>
      </c>
      <c r="M158" s="16">
        <v>0</v>
      </c>
      <c r="N158" s="16">
        <v>0</v>
      </c>
      <c r="O158" s="16">
        <v>356078</v>
      </c>
      <c r="P158" s="16">
        <v>15069</v>
      </c>
      <c r="Q158" s="16">
        <f t="shared" si="165"/>
        <v>90599</v>
      </c>
      <c r="R158" s="16">
        <v>0</v>
      </c>
      <c r="S158" s="16">
        <v>90599</v>
      </c>
      <c r="T158" s="16">
        <v>0</v>
      </c>
      <c r="U158" s="16">
        <v>149857</v>
      </c>
      <c r="V158" s="16">
        <f>SUM(W158:AD158)</f>
        <v>72385</v>
      </c>
      <c r="W158" s="16">
        <v>0</v>
      </c>
      <c r="X158" s="16">
        <v>0</v>
      </c>
      <c r="Y158" s="16">
        <v>31981</v>
      </c>
      <c r="Z158" s="16">
        <v>0</v>
      </c>
      <c r="AA158" s="16">
        <v>0</v>
      </c>
      <c r="AB158" s="16">
        <v>40404</v>
      </c>
      <c r="AC158" s="16">
        <v>0</v>
      </c>
      <c r="AD158" s="16">
        <v>0</v>
      </c>
      <c r="AE158" s="16">
        <f>SUM(AF158:AZ158)</f>
        <v>233090</v>
      </c>
      <c r="AF158" s="16">
        <v>0</v>
      </c>
      <c r="AG158" s="16">
        <v>0</v>
      </c>
      <c r="AH158" s="16">
        <v>6630</v>
      </c>
      <c r="AI158" s="16">
        <v>0</v>
      </c>
      <c r="AJ158" s="16">
        <v>0</v>
      </c>
      <c r="AK158" s="16">
        <v>0</v>
      </c>
      <c r="AL158" s="16">
        <v>188198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30733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7529</v>
      </c>
      <c r="BA158" s="16">
        <f>SUM(BB158+BF158+BI158+BK158+BM158)</f>
        <v>0</v>
      </c>
      <c r="BB158" s="16">
        <f>SUM(BC158:BE158)</f>
        <v>0</v>
      </c>
      <c r="BC158" s="16">
        <v>0</v>
      </c>
      <c r="BD158" s="16">
        <v>0</v>
      </c>
      <c r="BE158" s="16">
        <v>0</v>
      </c>
      <c r="BF158" s="16">
        <f t="shared" si="166"/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f t="shared" si="167"/>
        <v>0</v>
      </c>
      <c r="BL158" s="16">
        <v>0</v>
      </c>
      <c r="BM158" s="16">
        <f t="shared" si="168"/>
        <v>0</v>
      </c>
      <c r="BN158" s="16">
        <v>0</v>
      </c>
      <c r="BO158" s="16">
        <v>0</v>
      </c>
      <c r="BP158" s="16">
        <v>0</v>
      </c>
      <c r="BQ158" s="16">
        <v>0</v>
      </c>
      <c r="BR158" s="16">
        <v>0</v>
      </c>
      <c r="BS158" s="16">
        <v>0</v>
      </c>
      <c r="BT158" s="16">
        <v>0</v>
      </c>
      <c r="BU158" s="16">
        <v>0</v>
      </c>
      <c r="BV158" s="16">
        <v>0</v>
      </c>
      <c r="BW158" s="16">
        <v>0</v>
      </c>
      <c r="BX158" s="16">
        <v>0</v>
      </c>
      <c r="BY158" s="16">
        <f>SUM(BZ158+CS158)</f>
        <v>376395</v>
      </c>
      <c r="BZ158" s="16">
        <f>SUM(CA158+CD158+CK158)</f>
        <v>376395</v>
      </c>
      <c r="CA158" s="16">
        <f t="shared" si="169"/>
        <v>376395</v>
      </c>
      <c r="CB158" s="16">
        <v>0</v>
      </c>
      <c r="CC158" s="16">
        <v>376395</v>
      </c>
      <c r="CD158" s="16">
        <f t="shared" si="170"/>
        <v>0</v>
      </c>
      <c r="CE158" s="16">
        <v>0</v>
      </c>
      <c r="CF158" s="16">
        <v>0</v>
      </c>
      <c r="CG158" s="16">
        <v>0</v>
      </c>
      <c r="CH158" s="16">
        <v>0</v>
      </c>
      <c r="CI158" s="16">
        <v>0</v>
      </c>
      <c r="CJ158" s="16">
        <v>0</v>
      </c>
      <c r="CK158" s="16">
        <f t="shared" si="171"/>
        <v>0</v>
      </c>
      <c r="CL158" s="16">
        <v>0</v>
      </c>
      <c r="CM158" s="16">
        <v>0</v>
      </c>
      <c r="CN158" s="16">
        <v>0</v>
      </c>
      <c r="CO158" s="16">
        <v>0</v>
      </c>
      <c r="CP158" s="16">
        <v>0</v>
      </c>
      <c r="CQ158" s="16">
        <v>0</v>
      </c>
      <c r="CR158" s="16">
        <v>0</v>
      </c>
      <c r="CS158" s="16">
        <v>0</v>
      </c>
      <c r="CT158" s="16">
        <f t="shared" si="172"/>
        <v>0</v>
      </c>
      <c r="CU158" s="16">
        <f t="shared" si="173"/>
        <v>0</v>
      </c>
      <c r="CV158" s="16">
        <v>0</v>
      </c>
      <c r="CW158" s="17">
        <v>0</v>
      </c>
      <c r="CX158" s="40"/>
    </row>
    <row r="159" spans="1:102" ht="15.75" hidden="1" x14ac:dyDescent="0.25">
      <c r="A159" s="13" t="s">
        <v>1</v>
      </c>
      <c r="B159" s="14" t="s">
        <v>1</v>
      </c>
      <c r="C159" s="14" t="s">
        <v>36</v>
      </c>
      <c r="D159" s="30" t="s">
        <v>189</v>
      </c>
      <c r="E159" s="15">
        <f>SUM(F159+BY159+CT159)</f>
        <v>8082499</v>
      </c>
      <c r="F159" s="16">
        <f>SUM(G159+BA159)</f>
        <v>8082499</v>
      </c>
      <c r="G159" s="16">
        <f>SUM(H159+I159+J159+Q159+T159+U159+V159+AE159)</f>
        <v>8082499</v>
      </c>
      <c r="H159" s="16">
        <v>0</v>
      </c>
      <c r="I159" s="16">
        <v>0</v>
      </c>
      <c r="J159" s="16">
        <f t="shared" si="164"/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f t="shared" si="165"/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f>SUM(W159:AD159)</f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f>SUM(AF159:AZ159)</f>
        <v>8082499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  <c r="AT159" s="16">
        <v>0</v>
      </c>
      <c r="AU159" s="16">
        <v>0</v>
      </c>
      <c r="AV159" s="16">
        <v>0</v>
      </c>
      <c r="AW159" s="16">
        <v>0</v>
      </c>
      <c r="AX159" s="16">
        <v>0</v>
      </c>
      <c r="AY159" s="16">
        <v>0</v>
      </c>
      <c r="AZ159" s="16">
        <f>8000000+82499</f>
        <v>8082499</v>
      </c>
      <c r="BA159" s="16">
        <f>SUM(BB159+BF159+BI159+BK159+BM159)</f>
        <v>0</v>
      </c>
      <c r="BB159" s="16">
        <f>SUM(BC159:BE159)</f>
        <v>0</v>
      </c>
      <c r="BC159" s="16">
        <v>0</v>
      </c>
      <c r="BD159" s="16">
        <v>0</v>
      </c>
      <c r="BE159" s="16">
        <v>0</v>
      </c>
      <c r="BF159" s="16">
        <f t="shared" si="166"/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f t="shared" si="167"/>
        <v>0</v>
      </c>
      <c r="BL159" s="16">
        <v>0</v>
      </c>
      <c r="BM159" s="16">
        <f t="shared" si="168"/>
        <v>0</v>
      </c>
      <c r="BN159" s="16">
        <v>0</v>
      </c>
      <c r="BO159" s="16">
        <v>0</v>
      </c>
      <c r="BP159" s="16">
        <v>0</v>
      </c>
      <c r="BQ159" s="16">
        <v>0</v>
      </c>
      <c r="BR159" s="16">
        <v>0</v>
      </c>
      <c r="BS159" s="16">
        <v>0</v>
      </c>
      <c r="BT159" s="16">
        <v>0</v>
      </c>
      <c r="BU159" s="16">
        <v>0</v>
      </c>
      <c r="BV159" s="16">
        <v>0</v>
      </c>
      <c r="BW159" s="16">
        <v>0</v>
      </c>
      <c r="BX159" s="16">
        <v>0</v>
      </c>
      <c r="BY159" s="16">
        <f>SUM(BZ159+CS159)</f>
        <v>0</v>
      </c>
      <c r="BZ159" s="16">
        <f>SUM(CA159+CD159+CK159)</f>
        <v>0</v>
      </c>
      <c r="CA159" s="16">
        <f t="shared" si="169"/>
        <v>0</v>
      </c>
      <c r="CB159" s="16">
        <v>0</v>
      </c>
      <c r="CC159" s="16">
        <v>0</v>
      </c>
      <c r="CD159" s="16">
        <f t="shared" si="170"/>
        <v>0</v>
      </c>
      <c r="CE159" s="16">
        <v>0</v>
      </c>
      <c r="CF159" s="16">
        <v>0</v>
      </c>
      <c r="CG159" s="16">
        <v>0</v>
      </c>
      <c r="CH159" s="16">
        <v>0</v>
      </c>
      <c r="CI159" s="16">
        <v>0</v>
      </c>
      <c r="CJ159" s="16">
        <v>0</v>
      </c>
      <c r="CK159" s="16">
        <f t="shared" si="171"/>
        <v>0</v>
      </c>
      <c r="CL159" s="16">
        <v>0</v>
      </c>
      <c r="CM159" s="16">
        <v>0</v>
      </c>
      <c r="CN159" s="16">
        <v>0</v>
      </c>
      <c r="CO159" s="16">
        <v>0</v>
      </c>
      <c r="CP159" s="16">
        <v>0</v>
      </c>
      <c r="CQ159" s="16">
        <v>0</v>
      </c>
      <c r="CR159" s="16">
        <v>0</v>
      </c>
      <c r="CS159" s="16">
        <v>0</v>
      </c>
      <c r="CT159" s="16">
        <f t="shared" si="172"/>
        <v>0</v>
      </c>
      <c r="CU159" s="16">
        <f t="shared" si="173"/>
        <v>0</v>
      </c>
      <c r="CV159" s="16">
        <v>0</v>
      </c>
      <c r="CW159" s="17">
        <v>0</v>
      </c>
      <c r="CX159" s="40"/>
    </row>
    <row r="160" spans="1:102" ht="15.75" hidden="1" x14ac:dyDescent="0.25">
      <c r="A160" s="13" t="s">
        <v>186</v>
      </c>
      <c r="B160" s="14" t="s">
        <v>7</v>
      </c>
      <c r="C160" s="14" t="s">
        <v>1</v>
      </c>
      <c r="D160" s="30" t="s">
        <v>190</v>
      </c>
      <c r="E160" s="15">
        <f t="shared" ref="E160:AJ160" si="200">SUM(E161:E162)</f>
        <v>9048213</v>
      </c>
      <c r="F160" s="16">
        <f t="shared" si="200"/>
        <v>9007289</v>
      </c>
      <c r="G160" s="16">
        <f t="shared" si="200"/>
        <v>9007289</v>
      </c>
      <c r="H160" s="16">
        <f t="shared" si="200"/>
        <v>5751205</v>
      </c>
      <c r="I160" s="16">
        <f t="shared" si="200"/>
        <v>1358994</v>
      </c>
      <c r="J160" s="16">
        <f t="shared" si="200"/>
        <v>57680</v>
      </c>
      <c r="K160" s="16">
        <f t="shared" si="200"/>
        <v>0</v>
      </c>
      <c r="L160" s="16">
        <f t="shared" si="200"/>
        <v>0</v>
      </c>
      <c r="M160" s="16">
        <f t="shared" si="200"/>
        <v>0</v>
      </c>
      <c r="N160" s="16">
        <f t="shared" si="200"/>
        <v>0</v>
      </c>
      <c r="O160" s="16">
        <f t="shared" si="200"/>
        <v>50462</v>
      </c>
      <c r="P160" s="16">
        <f t="shared" si="200"/>
        <v>7218</v>
      </c>
      <c r="Q160" s="16">
        <f t="shared" si="200"/>
        <v>6292</v>
      </c>
      <c r="R160" s="16">
        <f t="shared" si="200"/>
        <v>6292</v>
      </c>
      <c r="S160" s="16">
        <f t="shared" si="200"/>
        <v>0</v>
      </c>
      <c r="T160" s="16">
        <f t="shared" si="200"/>
        <v>0</v>
      </c>
      <c r="U160" s="16">
        <f t="shared" si="200"/>
        <v>46781</v>
      </c>
      <c r="V160" s="16">
        <f t="shared" si="200"/>
        <v>0</v>
      </c>
      <c r="W160" s="16">
        <f t="shared" si="200"/>
        <v>0</v>
      </c>
      <c r="X160" s="16">
        <f t="shared" si="200"/>
        <v>0</v>
      </c>
      <c r="Y160" s="16">
        <f t="shared" si="200"/>
        <v>0</v>
      </c>
      <c r="Z160" s="16">
        <f t="shared" si="200"/>
        <v>0</v>
      </c>
      <c r="AA160" s="16">
        <f t="shared" si="200"/>
        <v>0</v>
      </c>
      <c r="AB160" s="16">
        <f t="shared" si="200"/>
        <v>0</v>
      </c>
      <c r="AC160" s="16">
        <f t="shared" si="200"/>
        <v>0</v>
      </c>
      <c r="AD160" s="16">
        <f t="shared" ref="AD160" si="201">SUM(AD161:AD162)</f>
        <v>0</v>
      </c>
      <c r="AE160" s="16">
        <f t="shared" si="200"/>
        <v>1786337</v>
      </c>
      <c r="AF160" s="16">
        <f t="shared" si="200"/>
        <v>0</v>
      </c>
      <c r="AG160" s="16">
        <f t="shared" si="200"/>
        <v>0</v>
      </c>
      <c r="AH160" s="16">
        <f t="shared" si="200"/>
        <v>0</v>
      </c>
      <c r="AI160" s="16">
        <f t="shared" si="200"/>
        <v>0</v>
      </c>
      <c r="AJ160" s="16">
        <f t="shared" si="200"/>
        <v>0</v>
      </c>
      <c r="AK160" s="16">
        <f t="shared" ref="AK160:CV160" si="202">SUM(AK161:AK162)</f>
        <v>0</v>
      </c>
      <c r="AL160" s="16">
        <f t="shared" si="202"/>
        <v>47337</v>
      </c>
      <c r="AM160" s="16">
        <f t="shared" si="202"/>
        <v>1739000</v>
      </c>
      <c r="AN160" s="16">
        <f t="shared" si="202"/>
        <v>0</v>
      </c>
      <c r="AO160" s="16">
        <f t="shared" si="202"/>
        <v>0</v>
      </c>
      <c r="AP160" s="16">
        <f>SUM(AP161:AP162)</f>
        <v>0</v>
      </c>
      <c r="AQ160" s="16">
        <f t="shared" si="202"/>
        <v>0</v>
      </c>
      <c r="AR160" s="16">
        <f t="shared" si="202"/>
        <v>0</v>
      </c>
      <c r="AS160" s="16">
        <f t="shared" si="202"/>
        <v>0</v>
      </c>
      <c r="AT160" s="16">
        <f t="shared" si="202"/>
        <v>0</v>
      </c>
      <c r="AU160" s="16">
        <f t="shared" si="202"/>
        <v>0</v>
      </c>
      <c r="AV160" s="16">
        <f t="shared" si="202"/>
        <v>0</v>
      </c>
      <c r="AW160" s="16">
        <f t="shared" si="202"/>
        <v>0</v>
      </c>
      <c r="AX160" s="16">
        <f t="shared" si="202"/>
        <v>0</v>
      </c>
      <c r="AY160" s="16">
        <f t="shared" si="202"/>
        <v>0</v>
      </c>
      <c r="AZ160" s="16">
        <f t="shared" si="202"/>
        <v>0</v>
      </c>
      <c r="BA160" s="16">
        <f t="shared" si="202"/>
        <v>0</v>
      </c>
      <c r="BB160" s="16">
        <f t="shared" si="202"/>
        <v>0</v>
      </c>
      <c r="BC160" s="16">
        <f t="shared" si="202"/>
        <v>0</v>
      </c>
      <c r="BD160" s="16">
        <f t="shared" si="202"/>
        <v>0</v>
      </c>
      <c r="BE160" s="16">
        <f t="shared" si="202"/>
        <v>0</v>
      </c>
      <c r="BF160" s="16">
        <f t="shared" si="202"/>
        <v>0</v>
      </c>
      <c r="BG160" s="16">
        <f t="shared" si="202"/>
        <v>0</v>
      </c>
      <c r="BH160" s="16">
        <f t="shared" si="202"/>
        <v>0</v>
      </c>
      <c r="BI160" s="16">
        <f t="shared" si="202"/>
        <v>0</v>
      </c>
      <c r="BJ160" s="16">
        <f t="shared" si="202"/>
        <v>0</v>
      </c>
      <c r="BK160" s="16">
        <f t="shared" si="202"/>
        <v>0</v>
      </c>
      <c r="BL160" s="16">
        <f t="shared" si="202"/>
        <v>0</v>
      </c>
      <c r="BM160" s="16">
        <f t="shared" si="202"/>
        <v>0</v>
      </c>
      <c r="BN160" s="16">
        <f t="shared" si="202"/>
        <v>0</v>
      </c>
      <c r="BO160" s="16">
        <f t="shared" si="202"/>
        <v>0</v>
      </c>
      <c r="BP160" s="16">
        <f t="shared" si="202"/>
        <v>0</v>
      </c>
      <c r="BQ160" s="16">
        <f t="shared" si="202"/>
        <v>0</v>
      </c>
      <c r="BR160" s="16">
        <f t="shared" si="202"/>
        <v>0</v>
      </c>
      <c r="BS160" s="16">
        <f t="shared" si="202"/>
        <v>0</v>
      </c>
      <c r="BT160" s="16">
        <f t="shared" si="202"/>
        <v>0</v>
      </c>
      <c r="BU160" s="16">
        <f t="shared" si="202"/>
        <v>0</v>
      </c>
      <c r="BV160" s="16">
        <f t="shared" si="202"/>
        <v>0</v>
      </c>
      <c r="BW160" s="16">
        <f t="shared" si="202"/>
        <v>0</v>
      </c>
      <c r="BX160" s="16">
        <f t="shared" si="202"/>
        <v>0</v>
      </c>
      <c r="BY160" s="16">
        <f t="shared" si="202"/>
        <v>40924</v>
      </c>
      <c r="BZ160" s="16">
        <f t="shared" si="202"/>
        <v>40924</v>
      </c>
      <c r="CA160" s="16">
        <f t="shared" si="202"/>
        <v>40924</v>
      </c>
      <c r="CB160" s="16">
        <f t="shared" si="202"/>
        <v>0</v>
      </c>
      <c r="CC160" s="16">
        <f t="shared" si="202"/>
        <v>40924</v>
      </c>
      <c r="CD160" s="16">
        <f t="shared" si="202"/>
        <v>0</v>
      </c>
      <c r="CE160" s="16">
        <f t="shared" si="202"/>
        <v>0</v>
      </c>
      <c r="CF160" s="16">
        <f t="shared" si="202"/>
        <v>0</v>
      </c>
      <c r="CG160" s="16">
        <f t="shared" si="202"/>
        <v>0</v>
      </c>
      <c r="CH160" s="16">
        <f t="shared" si="202"/>
        <v>0</v>
      </c>
      <c r="CI160" s="16">
        <f t="shared" si="202"/>
        <v>0</v>
      </c>
      <c r="CJ160" s="16">
        <f t="shared" si="202"/>
        <v>0</v>
      </c>
      <c r="CK160" s="16">
        <f t="shared" si="202"/>
        <v>0</v>
      </c>
      <c r="CL160" s="16">
        <f t="shared" si="202"/>
        <v>0</v>
      </c>
      <c r="CM160" s="16">
        <f t="shared" si="202"/>
        <v>0</v>
      </c>
      <c r="CN160" s="16">
        <f t="shared" si="202"/>
        <v>0</v>
      </c>
      <c r="CO160" s="16">
        <f t="shared" si="202"/>
        <v>0</v>
      </c>
      <c r="CP160" s="16">
        <f t="shared" si="202"/>
        <v>0</v>
      </c>
      <c r="CQ160" s="16">
        <f t="shared" si="202"/>
        <v>0</v>
      </c>
      <c r="CR160" s="16">
        <f t="shared" si="202"/>
        <v>0</v>
      </c>
      <c r="CS160" s="16">
        <f t="shared" si="202"/>
        <v>0</v>
      </c>
      <c r="CT160" s="16">
        <f t="shared" si="202"/>
        <v>0</v>
      </c>
      <c r="CU160" s="16">
        <f t="shared" si="202"/>
        <v>0</v>
      </c>
      <c r="CV160" s="16">
        <f t="shared" si="202"/>
        <v>0</v>
      </c>
      <c r="CW160" s="17">
        <f t="shared" ref="CW160" si="203">SUM(CW161:CW162)</f>
        <v>0</v>
      </c>
      <c r="CX160" s="40"/>
    </row>
    <row r="161" spans="1:102" ht="15.75" hidden="1" x14ac:dyDescent="0.25">
      <c r="A161" s="13" t="s">
        <v>1</v>
      </c>
      <c r="B161" s="14" t="s">
        <v>1</v>
      </c>
      <c r="C161" s="14" t="s">
        <v>17</v>
      </c>
      <c r="D161" s="30" t="s">
        <v>191</v>
      </c>
      <c r="E161" s="15">
        <f>SUM(F161+BY161+CT161)</f>
        <v>234692</v>
      </c>
      <c r="F161" s="16">
        <f>SUM(G161+BA161)</f>
        <v>234692</v>
      </c>
      <c r="G161" s="16">
        <f>SUM(H161+I161+J161+Q161+T161+U161+V161+AE161)</f>
        <v>234692</v>
      </c>
      <c r="H161" s="16">
        <f>149367+40230</f>
        <v>189597</v>
      </c>
      <c r="I161" s="16">
        <f>35037+10058</f>
        <v>45095</v>
      </c>
      <c r="J161" s="16">
        <f t="shared" si="164"/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f t="shared" si="165"/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f>SUM(W161:AD161)</f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f>SUM(AF161:AZ161)</f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6">
        <v>0</v>
      </c>
      <c r="AW161" s="16">
        <v>0</v>
      </c>
      <c r="AX161" s="16">
        <v>0</v>
      </c>
      <c r="AY161" s="16">
        <v>0</v>
      </c>
      <c r="AZ161" s="16">
        <v>0</v>
      </c>
      <c r="BA161" s="16">
        <f>SUM(BB161+BF161+BI161+BK161+BM161)</f>
        <v>0</v>
      </c>
      <c r="BB161" s="16">
        <f>SUM(BC161:BE161)</f>
        <v>0</v>
      </c>
      <c r="BC161" s="16">
        <v>0</v>
      </c>
      <c r="BD161" s="16">
        <v>0</v>
      </c>
      <c r="BE161" s="16">
        <v>0</v>
      </c>
      <c r="BF161" s="16">
        <f t="shared" si="166"/>
        <v>0</v>
      </c>
      <c r="BG161" s="16">
        <v>0</v>
      </c>
      <c r="BH161" s="16">
        <v>0</v>
      </c>
      <c r="BI161" s="16">
        <v>0</v>
      </c>
      <c r="BJ161" s="16">
        <v>0</v>
      </c>
      <c r="BK161" s="16">
        <f t="shared" si="167"/>
        <v>0</v>
      </c>
      <c r="BL161" s="16">
        <v>0</v>
      </c>
      <c r="BM161" s="16">
        <f t="shared" si="168"/>
        <v>0</v>
      </c>
      <c r="BN161" s="16">
        <v>0</v>
      </c>
      <c r="BO161" s="16">
        <v>0</v>
      </c>
      <c r="BP161" s="16">
        <v>0</v>
      </c>
      <c r="BQ161" s="16">
        <v>0</v>
      </c>
      <c r="BR161" s="16">
        <v>0</v>
      </c>
      <c r="BS161" s="16">
        <v>0</v>
      </c>
      <c r="BT161" s="16">
        <v>0</v>
      </c>
      <c r="BU161" s="16">
        <v>0</v>
      </c>
      <c r="BV161" s="16">
        <v>0</v>
      </c>
      <c r="BW161" s="16">
        <v>0</v>
      </c>
      <c r="BX161" s="16">
        <v>0</v>
      </c>
      <c r="BY161" s="16">
        <f>SUM(BZ161+CS161)</f>
        <v>0</v>
      </c>
      <c r="BZ161" s="16">
        <f>SUM(CA161+CD161+CK161)</f>
        <v>0</v>
      </c>
      <c r="CA161" s="16">
        <f t="shared" si="169"/>
        <v>0</v>
      </c>
      <c r="CB161" s="16">
        <v>0</v>
      </c>
      <c r="CC161" s="16">
        <v>0</v>
      </c>
      <c r="CD161" s="16">
        <f t="shared" si="170"/>
        <v>0</v>
      </c>
      <c r="CE161" s="16">
        <v>0</v>
      </c>
      <c r="CF161" s="16">
        <v>0</v>
      </c>
      <c r="CG161" s="16">
        <v>0</v>
      </c>
      <c r="CH161" s="16">
        <v>0</v>
      </c>
      <c r="CI161" s="16">
        <v>0</v>
      </c>
      <c r="CJ161" s="16">
        <v>0</v>
      </c>
      <c r="CK161" s="16">
        <f t="shared" si="171"/>
        <v>0</v>
      </c>
      <c r="CL161" s="16">
        <v>0</v>
      </c>
      <c r="CM161" s="16">
        <v>0</v>
      </c>
      <c r="CN161" s="16">
        <v>0</v>
      </c>
      <c r="CO161" s="16">
        <v>0</v>
      </c>
      <c r="CP161" s="16">
        <v>0</v>
      </c>
      <c r="CQ161" s="16">
        <v>0</v>
      </c>
      <c r="CR161" s="16">
        <v>0</v>
      </c>
      <c r="CS161" s="16">
        <v>0</v>
      </c>
      <c r="CT161" s="16">
        <f t="shared" si="172"/>
        <v>0</v>
      </c>
      <c r="CU161" s="16">
        <f t="shared" si="173"/>
        <v>0</v>
      </c>
      <c r="CV161" s="16">
        <v>0</v>
      </c>
      <c r="CW161" s="17">
        <v>0</v>
      </c>
      <c r="CX161" s="40"/>
    </row>
    <row r="162" spans="1:102" ht="15.75" hidden="1" x14ac:dyDescent="0.25">
      <c r="A162" s="13" t="s">
        <v>1</v>
      </c>
      <c r="B162" s="14" t="s">
        <v>1</v>
      </c>
      <c r="C162" s="14" t="s">
        <v>34</v>
      </c>
      <c r="D162" s="30" t="s">
        <v>192</v>
      </c>
      <c r="E162" s="15">
        <f>SUM(F162+BY162+CT162)</f>
        <v>8813521</v>
      </c>
      <c r="F162" s="16">
        <f>SUM(G162+BA162)</f>
        <v>8772597</v>
      </c>
      <c r="G162" s="16">
        <f>SUM(H162+I162+J162+Q162+T162+U162+V162+AE162)</f>
        <v>8772597</v>
      </c>
      <c r="H162" s="16">
        <v>5561608</v>
      </c>
      <c r="I162" s="16">
        <v>1313899</v>
      </c>
      <c r="J162" s="16">
        <f t="shared" si="164"/>
        <v>57680</v>
      </c>
      <c r="K162" s="16">
        <v>0</v>
      </c>
      <c r="L162" s="16">
        <v>0</v>
      </c>
      <c r="M162" s="16">
        <v>0</v>
      </c>
      <c r="N162" s="16">
        <v>0</v>
      </c>
      <c r="O162" s="16">
        <v>50462</v>
      </c>
      <c r="P162" s="16">
        <v>7218</v>
      </c>
      <c r="Q162" s="16">
        <f t="shared" si="165"/>
        <v>6292</v>
      </c>
      <c r="R162" s="16">
        <v>6292</v>
      </c>
      <c r="S162" s="16">
        <v>0</v>
      </c>
      <c r="T162" s="16">
        <v>0</v>
      </c>
      <c r="U162" s="16">
        <v>46781</v>
      </c>
      <c r="V162" s="16">
        <f>SUM(W162:AD162)</f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f>SUM(AF162:AZ162)</f>
        <v>1786337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47337</v>
      </c>
      <c r="AM162" s="16">
        <v>1739000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6">
        <v>0</v>
      </c>
      <c r="AW162" s="16">
        <v>0</v>
      </c>
      <c r="AX162" s="16">
        <v>0</v>
      </c>
      <c r="AY162" s="16">
        <v>0</v>
      </c>
      <c r="AZ162" s="16">
        <v>0</v>
      </c>
      <c r="BA162" s="16">
        <f>SUM(BB162+BF162+BI162+BK162+BM162)</f>
        <v>0</v>
      </c>
      <c r="BB162" s="16">
        <f>SUM(BC162:BE162)</f>
        <v>0</v>
      </c>
      <c r="BC162" s="16">
        <v>0</v>
      </c>
      <c r="BD162" s="16">
        <v>0</v>
      </c>
      <c r="BE162" s="16">
        <v>0</v>
      </c>
      <c r="BF162" s="16">
        <f t="shared" si="166"/>
        <v>0</v>
      </c>
      <c r="BG162" s="16">
        <v>0</v>
      </c>
      <c r="BH162" s="16">
        <v>0</v>
      </c>
      <c r="BI162" s="16">
        <v>0</v>
      </c>
      <c r="BJ162" s="16">
        <v>0</v>
      </c>
      <c r="BK162" s="16">
        <f t="shared" si="167"/>
        <v>0</v>
      </c>
      <c r="BL162" s="16">
        <v>0</v>
      </c>
      <c r="BM162" s="16">
        <f t="shared" si="168"/>
        <v>0</v>
      </c>
      <c r="BN162" s="16">
        <v>0</v>
      </c>
      <c r="BO162" s="16">
        <v>0</v>
      </c>
      <c r="BP162" s="16">
        <v>0</v>
      </c>
      <c r="BQ162" s="16">
        <v>0</v>
      </c>
      <c r="BR162" s="16">
        <v>0</v>
      </c>
      <c r="BS162" s="16">
        <v>0</v>
      </c>
      <c r="BT162" s="16">
        <v>0</v>
      </c>
      <c r="BU162" s="16">
        <v>0</v>
      </c>
      <c r="BV162" s="16">
        <v>0</v>
      </c>
      <c r="BW162" s="16">
        <v>0</v>
      </c>
      <c r="BX162" s="16">
        <v>0</v>
      </c>
      <c r="BY162" s="16">
        <f>SUM(BZ162+CS162)</f>
        <v>40924</v>
      </c>
      <c r="BZ162" s="16">
        <f>SUM(CA162+CD162+CK162)</f>
        <v>40924</v>
      </c>
      <c r="CA162" s="16">
        <f t="shared" si="169"/>
        <v>40924</v>
      </c>
      <c r="CB162" s="16">
        <v>0</v>
      </c>
      <c r="CC162" s="16">
        <v>40924</v>
      </c>
      <c r="CD162" s="16">
        <f t="shared" si="170"/>
        <v>0</v>
      </c>
      <c r="CE162" s="16">
        <v>0</v>
      </c>
      <c r="CF162" s="16">
        <v>0</v>
      </c>
      <c r="CG162" s="16">
        <v>0</v>
      </c>
      <c r="CH162" s="16">
        <v>0</v>
      </c>
      <c r="CI162" s="16">
        <v>0</v>
      </c>
      <c r="CJ162" s="16">
        <v>0</v>
      </c>
      <c r="CK162" s="16">
        <f t="shared" si="171"/>
        <v>0</v>
      </c>
      <c r="CL162" s="16">
        <v>0</v>
      </c>
      <c r="CM162" s="16">
        <v>0</v>
      </c>
      <c r="CN162" s="16">
        <v>0</v>
      </c>
      <c r="CO162" s="16">
        <v>0</v>
      </c>
      <c r="CP162" s="16">
        <v>0</v>
      </c>
      <c r="CQ162" s="16">
        <v>0</v>
      </c>
      <c r="CR162" s="16">
        <v>0</v>
      </c>
      <c r="CS162" s="16">
        <v>0</v>
      </c>
      <c r="CT162" s="16">
        <f t="shared" si="172"/>
        <v>0</v>
      </c>
      <c r="CU162" s="16">
        <f t="shared" si="173"/>
        <v>0</v>
      </c>
      <c r="CV162" s="16">
        <v>0</v>
      </c>
      <c r="CW162" s="17">
        <v>0</v>
      </c>
      <c r="CX162" s="40"/>
    </row>
    <row r="163" spans="1:102" ht="15.75" hidden="1" x14ac:dyDescent="0.25">
      <c r="A163" s="18" t="s">
        <v>193</v>
      </c>
      <c r="B163" s="19" t="s">
        <v>1</v>
      </c>
      <c r="C163" s="19" t="s">
        <v>1</v>
      </c>
      <c r="D163" s="31" t="s">
        <v>194</v>
      </c>
      <c r="E163" s="20">
        <f>SUM(E164+E166+E169+E172+E174)</f>
        <v>743948192</v>
      </c>
      <c r="F163" s="21">
        <f t="shared" ref="F163:BS163" si="204">SUM(F164+F166+F169+F172+F174)</f>
        <v>739977072</v>
      </c>
      <c r="G163" s="21">
        <f t="shared" si="204"/>
        <v>739668398</v>
      </c>
      <c r="H163" s="21">
        <f t="shared" si="204"/>
        <v>439567646</v>
      </c>
      <c r="I163" s="21">
        <f t="shared" si="204"/>
        <v>100972492</v>
      </c>
      <c r="J163" s="21">
        <f t="shared" si="204"/>
        <v>144210172</v>
      </c>
      <c r="K163" s="21">
        <f t="shared" si="204"/>
        <v>117453725</v>
      </c>
      <c r="L163" s="21">
        <f t="shared" si="204"/>
        <v>1576161</v>
      </c>
      <c r="M163" s="21">
        <f t="shared" si="204"/>
        <v>23040891</v>
      </c>
      <c r="N163" s="21">
        <f t="shared" si="204"/>
        <v>206301</v>
      </c>
      <c r="O163" s="21">
        <f t="shared" si="204"/>
        <v>1164340</v>
      </c>
      <c r="P163" s="21">
        <f t="shared" si="204"/>
        <v>768754</v>
      </c>
      <c r="Q163" s="21">
        <f t="shared" si="204"/>
        <v>5925</v>
      </c>
      <c r="R163" s="21">
        <f t="shared" si="204"/>
        <v>0</v>
      </c>
      <c r="S163" s="21">
        <f t="shared" si="204"/>
        <v>5925</v>
      </c>
      <c r="T163" s="21">
        <f t="shared" si="204"/>
        <v>0</v>
      </c>
      <c r="U163" s="21">
        <f t="shared" si="204"/>
        <v>2188296</v>
      </c>
      <c r="V163" s="21">
        <f t="shared" si="204"/>
        <v>15516839</v>
      </c>
      <c r="W163" s="21">
        <f t="shared" si="204"/>
        <v>5789612</v>
      </c>
      <c r="X163" s="21">
        <f t="shared" si="204"/>
        <v>4616634</v>
      </c>
      <c r="Y163" s="21">
        <f t="shared" si="204"/>
        <v>2521819</v>
      </c>
      <c r="Z163" s="21">
        <f t="shared" si="204"/>
        <v>1814235</v>
      </c>
      <c r="AA163" s="21">
        <f t="shared" si="204"/>
        <v>681163</v>
      </c>
      <c r="AB163" s="21">
        <f t="shared" si="204"/>
        <v>971</v>
      </c>
      <c r="AC163" s="21">
        <f t="shared" si="204"/>
        <v>0</v>
      </c>
      <c r="AD163" s="21">
        <f t="shared" si="204"/>
        <v>92405</v>
      </c>
      <c r="AE163" s="21">
        <f t="shared" si="204"/>
        <v>37207028</v>
      </c>
      <c r="AF163" s="21">
        <f t="shared" si="204"/>
        <v>0</v>
      </c>
      <c r="AG163" s="21">
        <f t="shared" si="204"/>
        <v>14970</v>
      </c>
      <c r="AH163" s="21">
        <f t="shared" si="204"/>
        <v>4209983</v>
      </c>
      <c r="AI163" s="21">
        <f t="shared" si="204"/>
        <v>0</v>
      </c>
      <c r="AJ163" s="21">
        <f t="shared" si="204"/>
        <v>216391</v>
      </c>
      <c r="AK163" s="21">
        <f t="shared" si="204"/>
        <v>0</v>
      </c>
      <c r="AL163" s="21">
        <f t="shared" si="204"/>
        <v>1034254</v>
      </c>
      <c r="AM163" s="21">
        <f t="shared" si="204"/>
        <v>337538</v>
      </c>
      <c r="AN163" s="21">
        <f t="shared" si="204"/>
        <v>0</v>
      </c>
      <c r="AO163" s="21">
        <f t="shared" si="204"/>
        <v>3751</v>
      </c>
      <c r="AP163" s="21">
        <f>SUM(AP164+AP166+AP169+AP172+AP174)</f>
        <v>0</v>
      </c>
      <c r="AQ163" s="21">
        <f t="shared" si="204"/>
        <v>0</v>
      </c>
      <c r="AR163" s="21">
        <f t="shared" si="204"/>
        <v>480254</v>
      </c>
      <c r="AS163" s="21">
        <f t="shared" si="204"/>
        <v>54400</v>
      </c>
      <c r="AT163" s="21">
        <f t="shared" si="204"/>
        <v>0</v>
      </c>
      <c r="AU163" s="21">
        <f t="shared" si="204"/>
        <v>2764383</v>
      </c>
      <c r="AV163" s="21">
        <f t="shared" si="204"/>
        <v>4387320</v>
      </c>
      <c r="AW163" s="21">
        <f t="shared" si="204"/>
        <v>0</v>
      </c>
      <c r="AX163" s="21">
        <f t="shared" si="204"/>
        <v>0</v>
      </c>
      <c r="AY163" s="21">
        <f t="shared" si="204"/>
        <v>0</v>
      </c>
      <c r="AZ163" s="21">
        <f t="shared" si="204"/>
        <v>23703784</v>
      </c>
      <c r="BA163" s="21">
        <f t="shared" si="204"/>
        <v>308674</v>
      </c>
      <c r="BB163" s="21">
        <f t="shared" si="204"/>
        <v>0</v>
      </c>
      <c r="BC163" s="21">
        <f t="shared" si="204"/>
        <v>0</v>
      </c>
      <c r="BD163" s="21">
        <f t="shared" si="204"/>
        <v>0</v>
      </c>
      <c r="BE163" s="21">
        <f t="shared" si="204"/>
        <v>0</v>
      </c>
      <c r="BF163" s="21">
        <f t="shared" si="204"/>
        <v>0</v>
      </c>
      <c r="BG163" s="21">
        <f t="shared" si="204"/>
        <v>0</v>
      </c>
      <c r="BH163" s="21">
        <f t="shared" si="204"/>
        <v>0</v>
      </c>
      <c r="BI163" s="21">
        <f t="shared" si="204"/>
        <v>0</v>
      </c>
      <c r="BJ163" s="21">
        <f t="shared" si="204"/>
        <v>0</v>
      </c>
      <c r="BK163" s="21">
        <f t="shared" si="204"/>
        <v>0</v>
      </c>
      <c r="BL163" s="21">
        <f t="shared" si="204"/>
        <v>0</v>
      </c>
      <c r="BM163" s="21">
        <f t="shared" si="204"/>
        <v>308674</v>
      </c>
      <c r="BN163" s="21">
        <f t="shared" si="204"/>
        <v>0</v>
      </c>
      <c r="BO163" s="21">
        <f t="shared" si="204"/>
        <v>0</v>
      </c>
      <c r="BP163" s="21">
        <f t="shared" si="204"/>
        <v>0</v>
      </c>
      <c r="BQ163" s="21">
        <f t="shared" si="204"/>
        <v>0</v>
      </c>
      <c r="BR163" s="21">
        <f t="shared" si="204"/>
        <v>0</v>
      </c>
      <c r="BS163" s="21">
        <f t="shared" si="204"/>
        <v>0</v>
      </c>
      <c r="BT163" s="21">
        <f t="shared" ref="BT163:CW163" si="205">SUM(BT164+BT166+BT169+BT172+BT174)</f>
        <v>0</v>
      </c>
      <c r="BU163" s="21">
        <f t="shared" si="205"/>
        <v>0</v>
      </c>
      <c r="BV163" s="21">
        <f t="shared" si="205"/>
        <v>0</v>
      </c>
      <c r="BW163" s="21">
        <f t="shared" si="205"/>
        <v>0</v>
      </c>
      <c r="BX163" s="21">
        <f t="shared" si="205"/>
        <v>308674</v>
      </c>
      <c r="BY163" s="21">
        <f t="shared" si="205"/>
        <v>3971120</v>
      </c>
      <c r="BZ163" s="21">
        <f t="shared" si="205"/>
        <v>3971120</v>
      </c>
      <c r="CA163" s="21">
        <f t="shared" si="205"/>
        <v>3971120</v>
      </c>
      <c r="CB163" s="21">
        <f t="shared" si="205"/>
        <v>0</v>
      </c>
      <c r="CC163" s="21">
        <f t="shared" si="205"/>
        <v>3971120</v>
      </c>
      <c r="CD163" s="21">
        <f t="shared" si="205"/>
        <v>0</v>
      </c>
      <c r="CE163" s="21">
        <f t="shared" si="205"/>
        <v>0</v>
      </c>
      <c r="CF163" s="21">
        <f>SUM(CF164+CF166+CF169+CF172+CF174)</f>
        <v>0</v>
      </c>
      <c r="CG163" s="21">
        <f t="shared" si="205"/>
        <v>0</v>
      </c>
      <c r="CH163" s="21">
        <f t="shared" si="205"/>
        <v>0</v>
      </c>
      <c r="CI163" s="21">
        <f t="shared" si="205"/>
        <v>0</v>
      </c>
      <c r="CJ163" s="21">
        <f t="shared" si="205"/>
        <v>0</v>
      </c>
      <c r="CK163" s="21">
        <f t="shared" si="205"/>
        <v>0</v>
      </c>
      <c r="CL163" s="21">
        <f t="shared" si="205"/>
        <v>0</v>
      </c>
      <c r="CM163" s="21">
        <f>SUM(CM164+CM166+CM169+CM172+CM174)</f>
        <v>0</v>
      </c>
      <c r="CN163" s="21">
        <f t="shared" si="205"/>
        <v>0</v>
      </c>
      <c r="CO163" s="21">
        <f t="shared" si="205"/>
        <v>0</v>
      </c>
      <c r="CP163" s="21">
        <f t="shared" si="205"/>
        <v>0</v>
      </c>
      <c r="CQ163" s="21">
        <f t="shared" si="205"/>
        <v>0</v>
      </c>
      <c r="CR163" s="21">
        <f t="shared" si="205"/>
        <v>0</v>
      </c>
      <c r="CS163" s="21">
        <f t="shared" si="205"/>
        <v>0</v>
      </c>
      <c r="CT163" s="21">
        <f t="shared" si="205"/>
        <v>0</v>
      </c>
      <c r="CU163" s="21">
        <f t="shared" si="205"/>
        <v>0</v>
      </c>
      <c r="CV163" s="21">
        <f t="shared" si="205"/>
        <v>0</v>
      </c>
      <c r="CW163" s="22">
        <f t="shared" si="205"/>
        <v>0</v>
      </c>
      <c r="CX163" s="40"/>
    </row>
    <row r="164" spans="1:102" ht="15.75" hidden="1" x14ac:dyDescent="0.25">
      <c r="A164" s="13" t="s">
        <v>195</v>
      </c>
      <c r="B164" s="14" t="s">
        <v>3</v>
      </c>
      <c r="C164" s="14" t="s">
        <v>1</v>
      </c>
      <c r="D164" s="30" t="s">
        <v>196</v>
      </c>
      <c r="E164" s="15">
        <f>SUM(E165)</f>
        <v>526980033</v>
      </c>
      <c r="F164" s="16">
        <f t="shared" ref="F164:BS164" si="206">SUM(F165)</f>
        <v>524667218</v>
      </c>
      <c r="G164" s="16">
        <f t="shared" si="206"/>
        <v>524563707</v>
      </c>
      <c r="H164" s="16">
        <f t="shared" si="206"/>
        <v>321378715</v>
      </c>
      <c r="I164" s="16">
        <f t="shared" si="206"/>
        <v>73207414</v>
      </c>
      <c r="J164" s="16">
        <f t="shared" si="206"/>
        <v>93058405</v>
      </c>
      <c r="K164" s="16">
        <f t="shared" si="206"/>
        <v>68115002</v>
      </c>
      <c r="L164" s="16">
        <f t="shared" si="206"/>
        <v>1228893</v>
      </c>
      <c r="M164" s="16">
        <f t="shared" si="206"/>
        <v>22493701</v>
      </c>
      <c r="N164" s="16">
        <f t="shared" si="206"/>
        <v>206301</v>
      </c>
      <c r="O164" s="16">
        <f t="shared" si="206"/>
        <v>426013</v>
      </c>
      <c r="P164" s="16">
        <f t="shared" si="206"/>
        <v>588495</v>
      </c>
      <c r="Q164" s="16">
        <f t="shared" si="206"/>
        <v>4632</v>
      </c>
      <c r="R164" s="16">
        <f t="shared" si="206"/>
        <v>0</v>
      </c>
      <c r="S164" s="16">
        <f t="shared" si="206"/>
        <v>4632</v>
      </c>
      <c r="T164" s="16">
        <f t="shared" si="206"/>
        <v>0</v>
      </c>
      <c r="U164" s="16">
        <f t="shared" si="206"/>
        <v>1446468</v>
      </c>
      <c r="V164" s="16">
        <f t="shared" si="206"/>
        <v>10748031</v>
      </c>
      <c r="W164" s="16">
        <f t="shared" si="206"/>
        <v>2407880</v>
      </c>
      <c r="X164" s="16">
        <f t="shared" si="206"/>
        <v>3821060</v>
      </c>
      <c r="Y164" s="16">
        <f t="shared" si="206"/>
        <v>2271418</v>
      </c>
      <c r="Z164" s="16">
        <f t="shared" si="206"/>
        <v>1646895</v>
      </c>
      <c r="AA164" s="16">
        <f t="shared" si="206"/>
        <v>544486</v>
      </c>
      <c r="AB164" s="16">
        <f t="shared" si="206"/>
        <v>0</v>
      </c>
      <c r="AC164" s="16">
        <f t="shared" si="206"/>
        <v>0</v>
      </c>
      <c r="AD164" s="16">
        <f t="shared" si="206"/>
        <v>56292</v>
      </c>
      <c r="AE164" s="16">
        <f t="shared" si="206"/>
        <v>24720042</v>
      </c>
      <c r="AF164" s="16">
        <f t="shared" si="206"/>
        <v>0</v>
      </c>
      <c r="AG164" s="16">
        <f t="shared" si="206"/>
        <v>13513</v>
      </c>
      <c r="AH164" s="16">
        <f t="shared" si="206"/>
        <v>3579491</v>
      </c>
      <c r="AI164" s="16">
        <f t="shared" si="206"/>
        <v>0</v>
      </c>
      <c r="AJ164" s="16">
        <f t="shared" si="206"/>
        <v>151155</v>
      </c>
      <c r="AK164" s="16">
        <f t="shared" si="206"/>
        <v>0</v>
      </c>
      <c r="AL164" s="16">
        <f t="shared" si="206"/>
        <v>739522</v>
      </c>
      <c r="AM164" s="16">
        <f t="shared" si="206"/>
        <v>270000</v>
      </c>
      <c r="AN164" s="16">
        <f t="shared" si="206"/>
        <v>0</v>
      </c>
      <c r="AO164" s="16">
        <f t="shared" si="206"/>
        <v>3535</v>
      </c>
      <c r="AP164" s="16">
        <f t="shared" si="206"/>
        <v>0</v>
      </c>
      <c r="AQ164" s="16">
        <f t="shared" si="206"/>
        <v>0</v>
      </c>
      <c r="AR164" s="16">
        <f t="shared" si="206"/>
        <v>426662</v>
      </c>
      <c r="AS164" s="16">
        <f t="shared" si="206"/>
        <v>0</v>
      </c>
      <c r="AT164" s="16">
        <f t="shared" si="206"/>
        <v>0</v>
      </c>
      <c r="AU164" s="16">
        <f t="shared" si="206"/>
        <v>1512218</v>
      </c>
      <c r="AV164" s="16">
        <f t="shared" si="206"/>
        <v>0</v>
      </c>
      <c r="AW164" s="16">
        <f t="shared" si="206"/>
        <v>0</v>
      </c>
      <c r="AX164" s="16">
        <f t="shared" si="206"/>
        <v>0</v>
      </c>
      <c r="AY164" s="16">
        <f t="shared" si="206"/>
        <v>0</v>
      </c>
      <c r="AZ164" s="16">
        <f t="shared" si="206"/>
        <v>18023946</v>
      </c>
      <c r="BA164" s="16">
        <f t="shared" si="206"/>
        <v>103511</v>
      </c>
      <c r="BB164" s="16">
        <f t="shared" si="206"/>
        <v>0</v>
      </c>
      <c r="BC164" s="16">
        <f t="shared" si="206"/>
        <v>0</v>
      </c>
      <c r="BD164" s="16">
        <f t="shared" si="206"/>
        <v>0</v>
      </c>
      <c r="BE164" s="16">
        <f t="shared" si="206"/>
        <v>0</v>
      </c>
      <c r="BF164" s="16">
        <f t="shared" si="206"/>
        <v>0</v>
      </c>
      <c r="BG164" s="16">
        <f t="shared" si="206"/>
        <v>0</v>
      </c>
      <c r="BH164" s="16">
        <f t="shared" si="206"/>
        <v>0</v>
      </c>
      <c r="BI164" s="16">
        <f t="shared" si="206"/>
        <v>0</v>
      </c>
      <c r="BJ164" s="16">
        <f t="shared" si="206"/>
        <v>0</v>
      </c>
      <c r="BK164" s="16">
        <f t="shared" si="206"/>
        <v>0</v>
      </c>
      <c r="BL164" s="16">
        <f t="shared" si="206"/>
        <v>0</v>
      </c>
      <c r="BM164" s="16">
        <f t="shared" si="206"/>
        <v>103511</v>
      </c>
      <c r="BN164" s="16">
        <f t="shared" si="206"/>
        <v>0</v>
      </c>
      <c r="BO164" s="16">
        <f t="shared" si="206"/>
        <v>0</v>
      </c>
      <c r="BP164" s="16">
        <f t="shared" si="206"/>
        <v>0</v>
      </c>
      <c r="BQ164" s="16">
        <f t="shared" si="206"/>
        <v>0</v>
      </c>
      <c r="BR164" s="16">
        <f t="shared" si="206"/>
        <v>0</v>
      </c>
      <c r="BS164" s="16">
        <f t="shared" si="206"/>
        <v>0</v>
      </c>
      <c r="BT164" s="16">
        <f t="shared" ref="BT164:CW164" si="207">SUM(BT165)</f>
        <v>0</v>
      </c>
      <c r="BU164" s="16">
        <f t="shared" si="207"/>
        <v>0</v>
      </c>
      <c r="BV164" s="16">
        <f t="shared" si="207"/>
        <v>0</v>
      </c>
      <c r="BW164" s="16">
        <f t="shared" si="207"/>
        <v>0</v>
      </c>
      <c r="BX164" s="16">
        <f t="shared" si="207"/>
        <v>103511</v>
      </c>
      <c r="BY164" s="16">
        <f t="shared" si="207"/>
        <v>2312815</v>
      </c>
      <c r="BZ164" s="16">
        <f t="shared" si="207"/>
        <v>2312815</v>
      </c>
      <c r="CA164" s="16">
        <f t="shared" si="207"/>
        <v>2312815</v>
      </c>
      <c r="CB164" s="16">
        <f t="shared" si="207"/>
        <v>0</v>
      </c>
      <c r="CC164" s="16">
        <f t="shared" si="207"/>
        <v>2312815</v>
      </c>
      <c r="CD164" s="16">
        <f t="shared" si="207"/>
        <v>0</v>
      </c>
      <c r="CE164" s="16">
        <f t="shared" si="207"/>
        <v>0</v>
      </c>
      <c r="CF164" s="16">
        <f t="shared" si="207"/>
        <v>0</v>
      </c>
      <c r="CG164" s="16">
        <f t="shared" si="207"/>
        <v>0</v>
      </c>
      <c r="CH164" s="16">
        <f t="shared" si="207"/>
        <v>0</v>
      </c>
      <c r="CI164" s="16">
        <f t="shared" si="207"/>
        <v>0</v>
      </c>
      <c r="CJ164" s="16">
        <f t="shared" si="207"/>
        <v>0</v>
      </c>
      <c r="CK164" s="16">
        <f t="shared" si="207"/>
        <v>0</v>
      </c>
      <c r="CL164" s="16">
        <f t="shared" si="207"/>
        <v>0</v>
      </c>
      <c r="CM164" s="16">
        <f t="shared" si="207"/>
        <v>0</v>
      </c>
      <c r="CN164" s="16">
        <f t="shared" si="207"/>
        <v>0</v>
      </c>
      <c r="CO164" s="16">
        <f t="shared" si="207"/>
        <v>0</v>
      </c>
      <c r="CP164" s="16">
        <f t="shared" si="207"/>
        <v>0</v>
      </c>
      <c r="CQ164" s="16">
        <f t="shared" si="207"/>
        <v>0</v>
      </c>
      <c r="CR164" s="16">
        <f t="shared" si="207"/>
        <v>0</v>
      </c>
      <c r="CS164" s="16">
        <f t="shared" si="207"/>
        <v>0</v>
      </c>
      <c r="CT164" s="16">
        <f t="shared" si="207"/>
        <v>0</v>
      </c>
      <c r="CU164" s="16">
        <f t="shared" si="207"/>
        <v>0</v>
      </c>
      <c r="CV164" s="16">
        <f t="shared" si="207"/>
        <v>0</v>
      </c>
      <c r="CW164" s="17">
        <f t="shared" si="207"/>
        <v>0</v>
      </c>
      <c r="CX164" s="40"/>
    </row>
    <row r="165" spans="1:102" ht="15.75" hidden="1" x14ac:dyDescent="0.25">
      <c r="A165" s="13" t="s">
        <v>1</v>
      </c>
      <c r="B165" s="14" t="s">
        <v>1</v>
      </c>
      <c r="C165" s="14" t="s">
        <v>21</v>
      </c>
      <c r="D165" s="30" t="s">
        <v>196</v>
      </c>
      <c r="E165" s="15">
        <f>SUM(F165+BY165+CT165)</f>
        <v>526980033</v>
      </c>
      <c r="F165" s="16">
        <f>SUM(G165+BA165)</f>
        <v>524667218</v>
      </c>
      <c r="G165" s="16">
        <f>SUM(H165+I165+J165+Q165+T165+U165+V165+AE165)</f>
        <v>524563707</v>
      </c>
      <c r="H165" s="16">
        <f>273424676+30736971+17217068</f>
        <v>321378715</v>
      </c>
      <c r="I165" s="16">
        <f>63371979+5701698+4133737</f>
        <v>73207414</v>
      </c>
      <c r="J165" s="16">
        <f t="shared" si="164"/>
        <v>93058405</v>
      </c>
      <c r="K165" s="16">
        <f>64183720+3931282</f>
        <v>68115002</v>
      </c>
      <c r="L165" s="16">
        <v>1228893</v>
      </c>
      <c r="M165" s="16">
        <f>16854983+5638718</f>
        <v>22493701</v>
      </c>
      <c r="N165" s="16">
        <v>206301</v>
      </c>
      <c r="O165" s="16">
        <v>426013</v>
      </c>
      <c r="P165" s="16">
        <v>588495</v>
      </c>
      <c r="Q165" s="16">
        <f t="shared" si="165"/>
        <v>4632</v>
      </c>
      <c r="R165" s="16">
        <v>0</v>
      </c>
      <c r="S165" s="16">
        <v>4632</v>
      </c>
      <c r="T165" s="16">
        <v>0</v>
      </c>
      <c r="U165" s="16">
        <v>1446468</v>
      </c>
      <c r="V165" s="16">
        <f>SUM(W165:AD165)</f>
        <v>10748031</v>
      </c>
      <c r="W165" s="16">
        <v>2407880</v>
      </c>
      <c r="X165" s="16">
        <v>3821060</v>
      </c>
      <c r="Y165" s="16">
        <v>2271418</v>
      </c>
      <c r="Z165" s="16">
        <v>1646895</v>
      </c>
      <c r="AA165" s="16">
        <v>544486</v>
      </c>
      <c r="AB165" s="16">
        <v>0</v>
      </c>
      <c r="AC165" s="16">
        <v>0</v>
      </c>
      <c r="AD165" s="16">
        <v>56292</v>
      </c>
      <c r="AE165" s="16">
        <f>SUM(AF165:AZ165)</f>
        <v>24720042</v>
      </c>
      <c r="AF165" s="16">
        <v>0</v>
      </c>
      <c r="AG165" s="16">
        <v>13513</v>
      </c>
      <c r="AH165" s="16">
        <v>3579491</v>
      </c>
      <c r="AI165" s="16">
        <v>0</v>
      </c>
      <c r="AJ165" s="16">
        <v>151155</v>
      </c>
      <c r="AK165" s="16">
        <v>0</v>
      </c>
      <c r="AL165" s="16">
        <v>739522</v>
      </c>
      <c r="AM165" s="16">
        <v>270000</v>
      </c>
      <c r="AN165" s="16">
        <v>0</v>
      </c>
      <c r="AO165" s="16">
        <v>3535</v>
      </c>
      <c r="AP165" s="16"/>
      <c r="AQ165" s="16">
        <v>0</v>
      </c>
      <c r="AR165" s="16">
        <v>426662</v>
      </c>
      <c r="AS165" s="16">
        <v>0</v>
      </c>
      <c r="AT165" s="16">
        <v>0</v>
      </c>
      <c r="AU165" s="16">
        <f>3307338-1795120</f>
        <v>1512218</v>
      </c>
      <c r="AV165" s="16">
        <v>0</v>
      </c>
      <c r="AW165" s="16">
        <v>0</v>
      </c>
      <c r="AX165" s="16">
        <v>0</v>
      </c>
      <c r="AY165" s="16"/>
      <c r="AZ165" s="16">
        <f>12228826+5795120</f>
        <v>18023946</v>
      </c>
      <c r="BA165" s="16">
        <f>SUM(BB165+BF165+BI165+BK165+BM165)</f>
        <v>103511</v>
      </c>
      <c r="BB165" s="16">
        <f>SUM(BC165:BE165)</f>
        <v>0</v>
      </c>
      <c r="BC165" s="16">
        <v>0</v>
      </c>
      <c r="BD165" s="16">
        <v>0</v>
      </c>
      <c r="BE165" s="16">
        <v>0</v>
      </c>
      <c r="BF165" s="16">
        <f t="shared" si="166"/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f t="shared" si="167"/>
        <v>0</v>
      </c>
      <c r="BL165" s="16">
        <v>0</v>
      </c>
      <c r="BM165" s="16">
        <f t="shared" si="168"/>
        <v>103511</v>
      </c>
      <c r="BN165" s="16">
        <v>0</v>
      </c>
      <c r="BO165" s="16">
        <v>0</v>
      </c>
      <c r="BP165" s="16">
        <v>0</v>
      </c>
      <c r="BQ165" s="16">
        <v>0</v>
      </c>
      <c r="BR165" s="16">
        <v>0</v>
      </c>
      <c r="BS165" s="16">
        <v>0</v>
      </c>
      <c r="BT165" s="16">
        <v>0</v>
      </c>
      <c r="BU165" s="16">
        <v>0</v>
      </c>
      <c r="BV165" s="16">
        <v>0</v>
      </c>
      <c r="BW165" s="16">
        <v>0</v>
      </c>
      <c r="BX165" s="16">
        <v>103511</v>
      </c>
      <c r="BY165" s="16">
        <f>SUM(BZ165+CS165)</f>
        <v>2312815</v>
      </c>
      <c r="BZ165" s="16">
        <f>SUM(CA165+CD165+CK165)</f>
        <v>2312815</v>
      </c>
      <c r="CA165" s="16">
        <f t="shared" si="169"/>
        <v>2312815</v>
      </c>
      <c r="CB165" s="16">
        <v>0</v>
      </c>
      <c r="CC165" s="16">
        <f>1249542+1063273</f>
        <v>2312815</v>
      </c>
      <c r="CD165" s="16">
        <f t="shared" si="170"/>
        <v>0</v>
      </c>
      <c r="CE165" s="16">
        <v>0</v>
      </c>
      <c r="CF165" s="16">
        <v>0</v>
      </c>
      <c r="CG165" s="16">
        <v>0</v>
      </c>
      <c r="CH165" s="16">
        <v>0</v>
      </c>
      <c r="CI165" s="16">
        <v>0</v>
      </c>
      <c r="CJ165" s="16">
        <v>0</v>
      </c>
      <c r="CK165" s="16">
        <f t="shared" si="171"/>
        <v>0</v>
      </c>
      <c r="CL165" s="16">
        <v>0</v>
      </c>
      <c r="CM165" s="16">
        <v>0</v>
      </c>
      <c r="CN165" s="16">
        <v>0</v>
      </c>
      <c r="CO165" s="16">
        <v>0</v>
      </c>
      <c r="CP165" s="16">
        <v>0</v>
      </c>
      <c r="CQ165" s="16"/>
      <c r="CR165" s="16"/>
      <c r="CS165" s="16">
        <v>0</v>
      </c>
      <c r="CT165" s="16">
        <f t="shared" si="172"/>
        <v>0</v>
      </c>
      <c r="CU165" s="16">
        <f t="shared" si="173"/>
        <v>0</v>
      </c>
      <c r="CV165" s="16">
        <v>0</v>
      </c>
      <c r="CW165" s="17">
        <v>0</v>
      </c>
      <c r="CX165" s="40"/>
    </row>
    <row r="166" spans="1:102" ht="31.5" hidden="1" x14ac:dyDescent="0.25">
      <c r="A166" s="13" t="s">
        <v>195</v>
      </c>
      <c r="B166" s="14" t="s">
        <v>7</v>
      </c>
      <c r="C166" s="14" t="s">
        <v>1</v>
      </c>
      <c r="D166" s="30" t="s">
        <v>197</v>
      </c>
      <c r="E166" s="15">
        <f>SUM(E167:E168)</f>
        <v>141194954</v>
      </c>
      <c r="F166" s="16">
        <f t="shared" ref="F166:BS166" si="208">SUM(F167:F168)</f>
        <v>139625173</v>
      </c>
      <c r="G166" s="16">
        <f t="shared" si="208"/>
        <v>139621673</v>
      </c>
      <c r="H166" s="16">
        <f t="shared" si="208"/>
        <v>96156071</v>
      </c>
      <c r="I166" s="16">
        <f t="shared" si="208"/>
        <v>22658709</v>
      </c>
      <c r="J166" s="16">
        <f t="shared" si="208"/>
        <v>8195513</v>
      </c>
      <c r="K166" s="16">
        <f t="shared" si="208"/>
        <v>7629151</v>
      </c>
      <c r="L166" s="16">
        <f t="shared" si="208"/>
        <v>132942</v>
      </c>
      <c r="M166" s="16">
        <f t="shared" si="208"/>
        <v>0</v>
      </c>
      <c r="N166" s="16">
        <f t="shared" si="208"/>
        <v>0</v>
      </c>
      <c r="O166" s="16">
        <f t="shared" si="208"/>
        <v>340287</v>
      </c>
      <c r="P166" s="16">
        <f t="shared" si="208"/>
        <v>93133</v>
      </c>
      <c r="Q166" s="16">
        <f t="shared" si="208"/>
        <v>271</v>
      </c>
      <c r="R166" s="16">
        <f t="shared" si="208"/>
        <v>0</v>
      </c>
      <c r="S166" s="16">
        <f t="shared" si="208"/>
        <v>271</v>
      </c>
      <c r="T166" s="16">
        <f t="shared" si="208"/>
        <v>0</v>
      </c>
      <c r="U166" s="16">
        <f t="shared" si="208"/>
        <v>512591</v>
      </c>
      <c r="V166" s="16">
        <f t="shared" si="208"/>
        <v>4416032</v>
      </c>
      <c r="W166" s="16">
        <f t="shared" si="208"/>
        <v>3362112</v>
      </c>
      <c r="X166" s="16">
        <f t="shared" si="208"/>
        <v>594029</v>
      </c>
      <c r="Y166" s="16">
        <f t="shared" si="208"/>
        <v>200455</v>
      </c>
      <c r="Z166" s="16">
        <f t="shared" si="208"/>
        <v>128128</v>
      </c>
      <c r="AA166" s="16">
        <f t="shared" si="208"/>
        <v>108889</v>
      </c>
      <c r="AB166" s="16">
        <f t="shared" si="208"/>
        <v>971</v>
      </c>
      <c r="AC166" s="16">
        <f t="shared" si="208"/>
        <v>0</v>
      </c>
      <c r="AD166" s="16">
        <f t="shared" si="208"/>
        <v>21448</v>
      </c>
      <c r="AE166" s="16">
        <f t="shared" si="208"/>
        <v>7682486</v>
      </c>
      <c r="AF166" s="16">
        <f t="shared" si="208"/>
        <v>0</v>
      </c>
      <c r="AG166" s="16">
        <f t="shared" si="208"/>
        <v>832</v>
      </c>
      <c r="AH166" s="16">
        <f t="shared" si="208"/>
        <v>506287</v>
      </c>
      <c r="AI166" s="16">
        <f t="shared" si="208"/>
        <v>0</v>
      </c>
      <c r="AJ166" s="16">
        <f t="shared" si="208"/>
        <v>44551</v>
      </c>
      <c r="AK166" s="16">
        <f t="shared" si="208"/>
        <v>0</v>
      </c>
      <c r="AL166" s="16">
        <f t="shared" si="208"/>
        <v>212776</v>
      </c>
      <c r="AM166" s="16">
        <f t="shared" si="208"/>
        <v>28538</v>
      </c>
      <c r="AN166" s="16">
        <f t="shared" si="208"/>
        <v>0</v>
      </c>
      <c r="AO166" s="16">
        <f t="shared" si="208"/>
        <v>216</v>
      </c>
      <c r="AP166" s="16">
        <f>SUM(AP167:AP168)</f>
        <v>0</v>
      </c>
      <c r="AQ166" s="16">
        <f t="shared" si="208"/>
        <v>0</v>
      </c>
      <c r="AR166" s="16">
        <f t="shared" si="208"/>
        <v>53592</v>
      </c>
      <c r="AS166" s="16">
        <f t="shared" si="208"/>
        <v>40000</v>
      </c>
      <c r="AT166" s="16">
        <f t="shared" si="208"/>
        <v>0</v>
      </c>
      <c r="AU166" s="16">
        <f t="shared" si="208"/>
        <v>1148381</v>
      </c>
      <c r="AV166" s="16">
        <f t="shared" si="208"/>
        <v>0</v>
      </c>
      <c r="AW166" s="16">
        <f t="shared" si="208"/>
        <v>0</v>
      </c>
      <c r="AX166" s="16">
        <f t="shared" si="208"/>
        <v>0</v>
      </c>
      <c r="AY166" s="16">
        <f t="shared" si="208"/>
        <v>0</v>
      </c>
      <c r="AZ166" s="16">
        <f t="shared" si="208"/>
        <v>5647313</v>
      </c>
      <c r="BA166" s="16">
        <f t="shared" si="208"/>
        <v>3500</v>
      </c>
      <c r="BB166" s="16">
        <f t="shared" si="208"/>
        <v>0</v>
      </c>
      <c r="BC166" s="16">
        <f t="shared" si="208"/>
        <v>0</v>
      </c>
      <c r="BD166" s="16">
        <f t="shared" si="208"/>
        <v>0</v>
      </c>
      <c r="BE166" s="16">
        <f t="shared" si="208"/>
        <v>0</v>
      </c>
      <c r="BF166" s="16">
        <f t="shared" si="208"/>
        <v>0</v>
      </c>
      <c r="BG166" s="16">
        <f t="shared" si="208"/>
        <v>0</v>
      </c>
      <c r="BH166" s="16">
        <f t="shared" si="208"/>
        <v>0</v>
      </c>
      <c r="BI166" s="16">
        <f t="shared" si="208"/>
        <v>0</v>
      </c>
      <c r="BJ166" s="16">
        <f t="shared" si="208"/>
        <v>0</v>
      </c>
      <c r="BK166" s="16">
        <f t="shared" si="208"/>
        <v>0</v>
      </c>
      <c r="BL166" s="16">
        <f t="shared" si="208"/>
        <v>0</v>
      </c>
      <c r="BM166" s="16">
        <f t="shared" si="208"/>
        <v>3500</v>
      </c>
      <c r="BN166" s="16">
        <f t="shared" si="208"/>
        <v>0</v>
      </c>
      <c r="BO166" s="16">
        <f t="shared" si="208"/>
        <v>0</v>
      </c>
      <c r="BP166" s="16">
        <f t="shared" si="208"/>
        <v>0</v>
      </c>
      <c r="BQ166" s="16">
        <f t="shared" si="208"/>
        <v>0</v>
      </c>
      <c r="BR166" s="16">
        <f t="shared" si="208"/>
        <v>0</v>
      </c>
      <c r="BS166" s="16">
        <f t="shared" si="208"/>
        <v>0</v>
      </c>
      <c r="BT166" s="16">
        <f t="shared" ref="BT166:CW166" si="209">SUM(BT167:BT168)</f>
        <v>0</v>
      </c>
      <c r="BU166" s="16">
        <f t="shared" si="209"/>
        <v>0</v>
      </c>
      <c r="BV166" s="16">
        <f t="shared" si="209"/>
        <v>0</v>
      </c>
      <c r="BW166" s="16">
        <f t="shared" si="209"/>
        <v>0</v>
      </c>
      <c r="BX166" s="16">
        <f t="shared" si="209"/>
        <v>3500</v>
      </c>
      <c r="BY166" s="16">
        <f t="shared" si="209"/>
        <v>1569781</v>
      </c>
      <c r="BZ166" s="16">
        <f t="shared" si="209"/>
        <v>1569781</v>
      </c>
      <c r="CA166" s="16">
        <f t="shared" si="209"/>
        <v>1569781</v>
      </c>
      <c r="CB166" s="16">
        <f t="shared" si="209"/>
        <v>0</v>
      </c>
      <c r="CC166" s="16">
        <f t="shared" si="209"/>
        <v>1569781</v>
      </c>
      <c r="CD166" s="16">
        <f t="shared" si="209"/>
        <v>0</v>
      </c>
      <c r="CE166" s="16">
        <f t="shared" si="209"/>
        <v>0</v>
      </c>
      <c r="CF166" s="16">
        <f>SUM(CF167:CF168)</f>
        <v>0</v>
      </c>
      <c r="CG166" s="16">
        <f t="shared" si="209"/>
        <v>0</v>
      </c>
      <c r="CH166" s="16">
        <f t="shared" si="209"/>
        <v>0</v>
      </c>
      <c r="CI166" s="16">
        <f t="shared" si="209"/>
        <v>0</v>
      </c>
      <c r="CJ166" s="16">
        <f t="shared" si="209"/>
        <v>0</v>
      </c>
      <c r="CK166" s="16">
        <f t="shared" si="209"/>
        <v>0</v>
      </c>
      <c r="CL166" s="16">
        <f t="shared" si="209"/>
        <v>0</v>
      </c>
      <c r="CM166" s="16">
        <f>SUM(CM167:CM168)</f>
        <v>0</v>
      </c>
      <c r="CN166" s="16">
        <f t="shared" si="209"/>
        <v>0</v>
      </c>
      <c r="CO166" s="16">
        <f t="shared" si="209"/>
        <v>0</v>
      </c>
      <c r="CP166" s="16">
        <f t="shared" si="209"/>
        <v>0</v>
      </c>
      <c r="CQ166" s="16">
        <f t="shared" si="209"/>
        <v>0</v>
      </c>
      <c r="CR166" s="16">
        <f t="shared" si="209"/>
        <v>0</v>
      </c>
      <c r="CS166" s="16">
        <f t="shared" si="209"/>
        <v>0</v>
      </c>
      <c r="CT166" s="16">
        <f t="shared" si="209"/>
        <v>0</v>
      </c>
      <c r="CU166" s="16">
        <f t="shared" si="209"/>
        <v>0</v>
      </c>
      <c r="CV166" s="16">
        <f t="shared" si="209"/>
        <v>0</v>
      </c>
      <c r="CW166" s="17">
        <f t="shared" si="209"/>
        <v>0</v>
      </c>
      <c r="CX166" s="40"/>
    </row>
    <row r="167" spans="1:102" ht="15.75" hidden="1" x14ac:dyDescent="0.25">
      <c r="A167" s="13" t="s">
        <v>1</v>
      </c>
      <c r="B167" s="14" t="s">
        <v>1</v>
      </c>
      <c r="C167" s="14" t="s">
        <v>21</v>
      </c>
      <c r="D167" s="30" t="s">
        <v>198</v>
      </c>
      <c r="E167" s="15">
        <f>SUM(F167+BY167+CT167)</f>
        <v>105821051</v>
      </c>
      <c r="F167" s="16">
        <f>SUM(G167+BA167)</f>
        <v>105089964</v>
      </c>
      <c r="G167" s="16">
        <f>SUM(H167+I167+J167+Q167+T167+U167+V167+AE167)</f>
        <v>105089964</v>
      </c>
      <c r="H167" s="16">
        <f>66915844+2068835+541812</f>
        <v>69526491</v>
      </c>
      <c r="I167" s="16">
        <f>16351069+175500+137810</f>
        <v>16664379</v>
      </c>
      <c r="J167" s="16">
        <f t="shared" si="164"/>
        <v>6685152</v>
      </c>
      <c r="K167" s="16">
        <f>4417724+1740564</f>
        <v>6158288</v>
      </c>
      <c r="L167" s="16">
        <v>117377</v>
      </c>
      <c r="M167" s="16">
        <v>0</v>
      </c>
      <c r="N167" s="16">
        <v>0</v>
      </c>
      <c r="O167" s="16">
        <v>340287</v>
      </c>
      <c r="P167" s="16">
        <v>69200</v>
      </c>
      <c r="Q167" s="16">
        <f t="shared" si="165"/>
        <v>271</v>
      </c>
      <c r="R167" s="16">
        <v>0</v>
      </c>
      <c r="S167" s="16">
        <v>271</v>
      </c>
      <c r="T167" s="16">
        <v>0</v>
      </c>
      <c r="U167" s="16">
        <v>450444</v>
      </c>
      <c r="V167" s="16">
        <f>SUM(W167:AD167)</f>
        <v>4304872</v>
      </c>
      <c r="W167" s="16">
        <v>3362112</v>
      </c>
      <c r="X167" s="16">
        <v>542725</v>
      </c>
      <c r="Y167" s="16">
        <v>160540</v>
      </c>
      <c r="Z167" s="16">
        <v>117695</v>
      </c>
      <c r="AA167" s="16">
        <v>99381</v>
      </c>
      <c r="AB167" s="16">
        <v>971</v>
      </c>
      <c r="AC167" s="16">
        <v>0</v>
      </c>
      <c r="AD167" s="16">
        <v>21448</v>
      </c>
      <c r="AE167" s="16">
        <f>SUM(AF167:AZ167)</f>
        <v>7458355</v>
      </c>
      <c r="AF167" s="16">
        <v>0</v>
      </c>
      <c r="AG167" s="16">
        <v>0</v>
      </c>
      <c r="AH167" s="16">
        <v>487070</v>
      </c>
      <c r="AI167" s="16">
        <v>0</v>
      </c>
      <c r="AJ167" s="16">
        <v>41369</v>
      </c>
      <c r="AK167" s="16">
        <v>0</v>
      </c>
      <c r="AL167" s="16">
        <v>158278</v>
      </c>
      <c r="AM167" s="16">
        <v>0</v>
      </c>
      <c r="AN167" s="16">
        <v>0</v>
      </c>
      <c r="AO167" s="16">
        <v>216</v>
      </c>
      <c r="AP167" s="16"/>
      <c r="AQ167" s="16">
        <v>0</v>
      </c>
      <c r="AR167" s="16">
        <v>34728</v>
      </c>
      <c r="AS167" s="16">
        <v>0</v>
      </c>
      <c r="AT167" s="16">
        <v>0</v>
      </c>
      <c r="AU167" s="16">
        <v>1148381</v>
      </c>
      <c r="AV167" s="16">
        <v>0</v>
      </c>
      <c r="AW167" s="16">
        <v>0</v>
      </c>
      <c r="AX167" s="16">
        <v>0</v>
      </c>
      <c r="AY167" s="16"/>
      <c r="AZ167" s="16">
        <f>5375975+212338</f>
        <v>5588313</v>
      </c>
      <c r="BA167" s="16">
        <f>SUM(BB167+BF167+BI167+BK167+BM167)</f>
        <v>0</v>
      </c>
      <c r="BB167" s="16">
        <f>SUM(BC167:BE167)</f>
        <v>0</v>
      </c>
      <c r="BC167" s="16">
        <v>0</v>
      </c>
      <c r="BD167" s="16">
        <v>0</v>
      </c>
      <c r="BE167" s="16">
        <v>0</v>
      </c>
      <c r="BF167" s="16">
        <f t="shared" si="166"/>
        <v>0</v>
      </c>
      <c r="BG167" s="16">
        <v>0</v>
      </c>
      <c r="BH167" s="16">
        <v>0</v>
      </c>
      <c r="BI167" s="16">
        <v>0</v>
      </c>
      <c r="BJ167" s="16">
        <v>0</v>
      </c>
      <c r="BK167" s="16">
        <f t="shared" si="167"/>
        <v>0</v>
      </c>
      <c r="BL167" s="16">
        <v>0</v>
      </c>
      <c r="BM167" s="16">
        <f t="shared" si="168"/>
        <v>0</v>
      </c>
      <c r="BN167" s="16">
        <v>0</v>
      </c>
      <c r="BO167" s="16">
        <v>0</v>
      </c>
      <c r="BP167" s="16">
        <v>0</v>
      </c>
      <c r="BQ167" s="16">
        <v>0</v>
      </c>
      <c r="BR167" s="16">
        <v>0</v>
      </c>
      <c r="BS167" s="16">
        <v>0</v>
      </c>
      <c r="BT167" s="16">
        <v>0</v>
      </c>
      <c r="BU167" s="16">
        <v>0</v>
      </c>
      <c r="BV167" s="16">
        <v>0</v>
      </c>
      <c r="BW167" s="16">
        <v>0</v>
      </c>
      <c r="BX167" s="16">
        <v>0</v>
      </c>
      <c r="BY167" s="16">
        <f>SUM(BZ167+CS167)</f>
        <v>731087</v>
      </c>
      <c r="BZ167" s="16">
        <f>SUM(CA167+CD167+CK167)</f>
        <v>731087</v>
      </c>
      <c r="CA167" s="16">
        <f t="shared" si="169"/>
        <v>731087</v>
      </c>
      <c r="CB167" s="16">
        <v>0</v>
      </c>
      <c r="CC167" s="16">
        <f>26478+18796+685813</f>
        <v>731087</v>
      </c>
      <c r="CD167" s="16">
        <f t="shared" si="170"/>
        <v>0</v>
      </c>
      <c r="CE167" s="16">
        <v>0</v>
      </c>
      <c r="CF167" s="16">
        <v>0</v>
      </c>
      <c r="CG167" s="16">
        <v>0</v>
      </c>
      <c r="CH167" s="16">
        <v>0</v>
      </c>
      <c r="CI167" s="16">
        <v>0</v>
      </c>
      <c r="CJ167" s="16">
        <v>0</v>
      </c>
      <c r="CK167" s="16">
        <f t="shared" si="171"/>
        <v>0</v>
      </c>
      <c r="CL167" s="16">
        <v>0</v>
      </c>
      <c r="CM167" s="16">
        <v>0</v>
      </c>
      <c r="CN167" s="16">
        <v>0</v>
      </c>
      <c r="CO167" s="16">
        <v>0</v>
      </c>
      <c r="CP167" s="16">
        <v>0</v>
      </c>
      <c r="CQ167" s="16"/>
      <c r="CR167" s="16"/>
      <c r="CS167" s="16">
        <v>0</v>
      </c>
      <c r="CT167" s="16">
        <f t="shared" si="172"/>
        <v>0</v>
      </c>
      <c r="CU167" s="16">
        <f t="shared" si="173"/>
        <v>0</v>
      </c>
      <c r="CV167" s="16">
        <v>0</v>
      </c>
      <c r="CW167" s="17">
        <v>0</v>
      </c>
      <c r="CX167" s="40"/>
    </row>
    <row r="168" spans="1:102" ht="15.75" hidden="1" x14ac:dyDescent="0.25">
      <c r="A168" s="13" t="s">
        <v>1</v>
      </c>
      <c r="B168" s="14" t="s">
        <v>1</v>
      </c>
      <c r="C168" s="14" t="s">
        <v>21</v>
      </c>
      <c r="D168" s="30" t="s">
        <v>199</v>
      </c>
      <c r="E168" s="15">
        <f>SUM(F168+BY168+CT168)</f>
        <v>35373903</v>
      </c>
      <c r="F168" s="16">
        <f>SUM(G168+BA168)</f>
        <v>34535209</v>
      </c>
      <c r="G168" s="16">
        <f>SUM(H168+I168+J168+Q168+T168+U168+V168+AE168)</f>
        <v>34531709</v>
      </c>
      <c r="H168" s="16">
        <f>20671741+1415800+4542039</f>
        <v>26629580</v>
      </c>
      <c r="I168" s="16">
        <f>4867013+1127317</f>
        <v>5994330</v>
      </c>
      <c r="J168" s="16">
        <f t="shared" si="164"/>
        <v>1510361</v>
      </c>
      <c r="K168" s="16">
        <v>1470863</v>
      </c>
      <c r="L168" s="16">
        <v>15565</v>
      </c>
      <c r="M168" s="16">
        <v>0</v>
      </c>
      <c r="N168" s="16">
        <v>0</v>
      </c>
      <c r="O168" s="16">
        <v>0</v>
      </c>
      <c r="P168" s="16">
        <v>23933</v>
      </c>
      <c r="Q168" s="16">
        <f t="shared" si="165"/>
        <v>0</v>
      </c>
      <c r="R168" s="16">
        <v>0</v>
      </c>
      <c r="S168" s="16">
        <v>0</v>
      </c>
      <c r="T168" s="16">
        <v>0</v>
      </c>
      <c r="U168" s="16">
        <v>62147</v>
      </c>
      <c r="V168" s="16">
        <f>SUM(W168:AD168)</f>
        <v>111160</v>
      </c>
      <c r="W168" s="16">
        <v>0</v>
      </c>
      <c r="X168" s="16">
        <v>51304</v>
      </c>
      <c r="Y168" s="16">
        <v>39915</v>
      </c>
      <c r="Z168" s="16">
        <v>10433</v>
      </c>
      <c r="AA168" s="16">
        <f>10009-501</f>
        <v>9508</v>
      </c>
      <c r="AB168" s="16">
        <v>0</v>
      </c>
      <c r="AC168" s="16">
        <v>0</v>
      </c>
      <c r="AD168" s="16">
        <v>0</v>
      </c>
      <c r="AE168" s="16">
        <f>SUM(AF168:AZ168)</f>
        <v>224131</v>
      </c>
      <c r="AF168" s="16">
        <v>0</v>
      </c>
      <c r="AG168" s="16">
        <v>832</v>
      </c>
      <c r="AH168" s="16">
        <v>19217</v>
      </c>
      <c r="AI168" s="16">
        <v>0</v>
      </c>
      <c r="AJ168" s="16">
        <v>3182</v>
      </c>
      <c r="AK168" s="16">
        <v>0</v>
      </c>
      <c r="AL168" s="16">
        <v>54498</v>
      </c>
      <c r="AM168" s="16">
        <v>28538</v>
      </c>
      <c r="AN168" s="16">
        <v>0</v>
      </c>
      <c r="AO168" s="16">
        <v>0</v>
      </c>
      <c r="AP168" s="16">
        <v>0</v>
      </c>
      <c r="AQ168" s="16">
        <v>0</v>
      </c>
      <c r="AR168" s="16">
        <v>18864</v>
      </c>
      <c r="AS168" s="16">
        <v>40000</v>
      </c>
      <c r="AT168" s="16">
        <v>0</v>
      </c>
      <c r="AU168" s="16">
        <v>0</v>
      </c>
      <c r="AV168" s="16">
        <v>0</v>
      </c>
      <c r="AW168" s="16">
        <v>0</v>
      </c>
      <c r="AX168" s="16">
        <v>0</v>
      </c>
      <c r="AY168" s="16">
        <v>0</v>
      </c>
      <c r="AZ168" s="16">
        <v>59000</v>
      </c>
      <c r="BA168" s="16">
        <f>SUM(BB168+BF168+BI168+BK168+BM168)</f>
        <v>3500</v>
      </c>
      <c r="BB168" s="16">
        <f>SUM(BC168:BE168)</f>
        <v>0</v>
      </c>
      <c r="BC168" s="16">
        <v>0</v>
      </c>
      <c r="BD168" s="16">
        <v>0</v>
      </c>
      <c r="BE168" s="16">
        <v>0</v>
      </c>
      <c r="BF168" s="16">
        <f t="shared" si="166"/>
        <v>0</v>
      </c>
      <c r="BG168" s="16">
        <v>0</v>
      </c>
      <c r="BH168" s="16">
        <v>0</v>
      </c>
      <c r="BI168" s="16">
        <v>0</v>
      </c>
      <c r="BJ168" s="16">
        <v>0</v>
      </c>
      <c r="BK168" s="16">
        <f t="shared" si="167"/>
        <v>0</v>
      </c>
      <c r="BL168" s="16">
        <v>0</v>
      </c>
      <c r="BM168" s="16">
        <f t="shared" si="168"/>
        <v>3500</v>
      </c>
      <c r="BN168" s="16">
        <v>0</v>
      </c>
      <c r="BO168" s="16">
        <v>0</v>
      </c>
      <c r="BP168" s="16">
        <v>0</v>
      </c>
      <c r="BQ168" s="16">
        <v>0</v>
      </c>
      <c r="BR168" s="16">
        <v>0</v>
      </c>
      <c r="BS168" s="16">
        <v>0</v>
      </c>
      <c r="BT168" s="16">
        <v>0</v>
      </c>
      <c r="BU168" s="16">
        <v>0</v>
      </c>
      <c r="BV168" s="16">
        <v>0</v>
      </c>
      <c r="BW168" s="16">
        <v>0</v>
      </c>
      <c r="BX168" s="16">
        <v>3500</v>
      </c>
      <c r="BY168" s="16">
        <f>SUM(BZ168+CS168)</f>
        <v>838694</v>
      </c>
      <c r="BZ168" s="16">
        <f>SUM(CA168+CD168+CK168)</f>
        <v>838694</v>
      </c>
      <c r="CA168" s="16">
        <f t="shared" si="169"/>
        <v>838694</v>
      </c>
      <c r="CB168" s="16">
        <v>0</v>
      </c>
      <c r="CC168" s="16">
        <v>838694</v>
      </c>
      <c r="CD168" s="16">
        <f t="shared" si="170"/>
        <v>0</v>
      </c>
      <c r="CE168" s="16">
        <v>0</v>
      </c>
      <c r="CF168" s="16">
        <v>0</v>
      </c>
      <c r="CG168" s="16">
        <v>0</v>
      </c>
      <c r="CH168" s="16">
        <v>0</v>
      </c>
      <c r="CI168" s="16">
        <v>0</v>
      </c>
      <c r="CJ168" s="16">
        <v>0</v>
      </c>
      <c r="CK168" s="16">
        <f t="shared" si="171"/>
        <v>0</v>
      </c>
      <c r="CL168" s="16">
        <v>0</v>
      </c>
      <c r="CM168" s="16">
        <v>0</v>
      </c>
      <c r="CN168" s="16">
        <v>0</v>
      </c>
      <c r="CO168" s="16">
        <v>0</v>
      </c>
      <c r="CP168" s="16">
        <v>0</v>
      </c>
      <c r="CQ168" s="16">
        <v>0</v>
      </c>
      <c r="CR168" s="16">
        <v>0</v>
      </c>
      <c r="CS168" s="16">
        <v>0</v>
      </c>
      <c r="CT168" s="16">
        <f t="shared" si="172"/>
        <v>0</v>
      </c>
      <c r="CU168" s="16">
        <f t="shared" si="173"/>
        <v>0</v>
      </c>
      <c r="CV168" s="16">
        <v>0</v>
      </c>
      <c r="CW168" s="17">
        <v>0</v>
      </c>
      <c r="CX168" s="40"/>
    </row>
    <row r="169" spans="1:102" ht="31.5" hidden="1" x14ac:dyDescent="0.25">
      <c r="A169" s="13" t="s">
        <v>195</v>
      </c>
      <c r="B169" s="14" t="s">
        <v>15</v>
      </c>
      <c r="C169" s="14" t="s">
        <v>1</v>
      </c>
      <c r="D169" s="30" t="s">
        <v>200</v>
      </c>
      <c r="E169" s="15">
        <f t="shared" ref="E169:AJ169" si="210">SUM(E170:E171)</f>
        <v>31065394</v>
      </c>
      <c r="F169" s="16">
        <f t="shared" si="210"/>
        <v>31000922</v>
      </c>
      <c r="G169" s="16">
        <f t="shared" si="210"/>
        <v>30799259</v>
      </c>
      <c r="H169" s="16">
        <f t="shared" si="210"/>
        <v>20263063</v>
      </c>
      <c r="I169" s="16">
        <f t="shared" si="210"/>
        <v>4703044</v>
      </c>
      <c r="J169" s="16">
        <f t="shared" si="210"/>
        <v>4937298</v>
      </c>
      <c r="K169" s="16">
        <f t="shared" si="210"/>
        <v>3692635</v>
      </c>
      <c r="L169" s="16">
        <f t="shared" si="210"/>
        <v>212545</v>
      </c>
      <c r="M169" s="16">
        <f t="shared" si="210"/>
        <v>547190</v>
      </c>
      <c r="N169" s="16">
        <f t="shared" si="210"/>
        <v>0</v>
      </c>
      <c r="O169" s="16">
        <f t="shared" si="210"/>
        <v>398040</v>
      </c>
      <c r="P169" s="16">
        <f t="shared" si="210"/>
        <v>86888</v>
      </c>
      <c r="Q169" s="16">
        <f t="shared" si="210"/>
        <v>1022</v>
      </c>
      <c r="R169" s="16">
        <f t="shared" si="210"/>
        <v>0</v>
      </c>
      <c r="S169" s="16">
        <f t="shared" si="210"/>
        <v>1022</v>
      </c>
      <c r="T169" s="16">
        <f t="shared" si="210"/>
        <v>0</v>
      </c>
      <c r="U169" s="16">
        <f t="shared" si="210"/>
        <v>180102</v>
      </c>
      <c r="V169" s="16">
        <f t="shared" si="210"/>
        <v>352776</v>
      </c>
      <c r="W169" s="16">
        <f t="shared" si="210"/>
        <v>19620</v>
      </c>
      <c r="X169" s="16">
        <f t="shared" si="210"/>
        <v>201545</v>
      </c>
      <c r="Y169" s="16">
        <f t="shared" si="210"/>
        <v>49946</v>
      </c>
      <c r="Z169" s="16">
        <f t="shared" si="210"/>
        <v>39212</v>
      </c>
      <c r="AA169" s="16">
        <f t="shared" si="210"/>
        <v>27788</v>
      </c>
      <c r="AB169" s="16">
        <f t="shared" si="210"/>
        <v>0</v>
      </c>
      <c r="AC169" s="16">
        <f t="shared" si="210"/>
        <v>0</v>
      </c>
      <c r="AD169" s="16">
        <f t="shared" ref="AD169" si="211">SUM(AD170:AD171)</f>
        <v>14665</v>
      </c>
      <c r="AE169" s="16">
        <f t="shared" si="210"/>
        <v>361954</v>
      </c>
      <c r="AF169" s="16">
        <f t="shared" si="210"/>
        <v>0</v>
      </c>
      <c r="AG169" s="16">
        <f t="shared" si="210"/>
        <v>625</v>
      </c>
      <c r="AH169" s="16">
        <f t="shared" si="210"/>
        <v>120328</v>
      </c>
      <c r="AI169" s="16">
        <f t="shared" si="210"/>
        <v>0</v>
      </c>
      <c r="AJ169" s="16">
        <f t="shared" si="210"/>
        <v>12729</v>
      </c>
      <c r="AK169" s="16">
        <f t="shared" ref="AK169:CV169" si="212">SUM(AK170:AK171)</f>
        <v>0</v>
      </c>
      <c r="AL169" s="16">
        <f t="shared" si="212"/>
        <v>77563</v>
      </c>
      <c r="AM169" s="16">
        <f t="shared" si="212"/>
        <v>0</v>
      </c>
      <c r="AN169" s="16">
        <f t="shared" si="212"/>
        <v>0</v>
      </c>
      <c r="AO169" s="16">
        <f t="shared" si="212"/>
        <v>0</v>
      </c>
      <c r="AP169" s="16">
        <f>SUM(AP170:AP171)</f>
        <v>0</v>
      </c>
      <c r="AQ169" s="16">
        <f t="shared" si="212"/>
        <v>0</v>
      </c>
      <c r="AR169" s="16">
        <f t="shared" si="212"/>
        <v>0</v>
      </c>
      <c r="AS169" s="16">
        <f t="shared" si="212"/>
        <v>14400</v>
      </c>
      <c r="AT169" s="16">
        <f t="shared" si="212"/>
        <v>0</v>
      </c>
      <c r="AU169" s="16">
        <f t="shared" si="212"/>
        <v>103784</v>
      </c>
      <c r="AV169" s="16">
        <f t="shared" si="212"/>
        <v>0</v>
      </c>
      <c r="AW169" s="16">
        <f t="shared" si="212"/>
        <v>0</v>
      </c>
      <c r="AX169" s="16">
        <f t="shared" si="212"/>
        <v>0</v>
      </c>
      <c r="AY169" s="16">
        <f t="shared" si="212"/>
        <v>0</v>
      </c>
      <c r="AZ169" s="16">
        <f t="shared" si="212"/>
        <v>32525</v>
      </c>
      <c r="BA169" s="16">
        <f t="shared" si="212"/>
        <v>201663</v>
      </c>
      <c r="BB169" s="16">
        <f t="shared" si="212"/>
        <v>0</v>
      </c>
      <c r="BC169" s="16">
        <f t="shared" si="212"/>
        <v>0</v>
      </c>
      <c r="BD169" s="16">
        <f t="shared" si="212"/>
        <v>0</v>
      </c>
      <c r="BE169" s="16">
        <f t="shared" si="212"/>
        <v>0</v>
      </c>
      <c r="BF169" s="16">
        <f t="shared" si="212"/>
        <v>0</v>
      </c>
      <c r="BG169" s="16">
        <f t="shared" si="212"/>
        <v>0</v>
      </c>
      <c r="BH169" s="16">
        <f t="shared" si="212"/>
        <v>0</v>
      </c>
      <c r="BI169" s="16">
        <f t="shared" si="212"/>
        <v>0</v>
      </c>
      <c r="BJ169" s="16">
        <f t="shared" si="212"/>
        <v>0</v>
      </c>
      <c r="BK169" s="16">
        <f t="shared" si="212"/>
        <v>0</v>
      </c>
      <c r="BL169" s="16">
        <f t="shared" si="212"/>
        <v>0</v>
      </c>
      <c r="BM169" s="16">
        <f t="shared" si="212"/>
        <v>201663</v>
      </c>
      <c r="BN169" s="16">
        <f t="shared" si="212"/>
        <v>0</v>
      </c>
      <c r="BO169" s="16">
        <f t="shared" si="212"/>
        <v>0</v>
      </c>
      <c r="BP169" s="16">
        <f t="shared" si="212"/>
        <v>0</v>
      </c>
      <c r="BQ169" s="16">
        <f t="shared" si="212"/>
        <v>0</v>
      </c>
      <c r="BR169" s="16">
        <f t="shared" si="212"/>
        <v>0</v>
      </c>
      <c r="BS169" s="16">
        <f t="shared" si="212"/>
        <v>0</v>
      </c>
      <c r="BT169" s="16">
        <f t="shared" si="212"/>
        <v>0</v>
      </c>
      <c r="BU169" s="16">
        <f t="shared" si="212"/>
        <v>0</v>
      </c>
      <c r="BV169" s="16">
        <f t="shared" si="212"/>
        <v>0</v>
      </c>
      <c r="BW169" s="16">
        <f t="shared" si="212"/>
        <v>0</v>
      </c>
      <c r="BX169" s="16">
        <f t="shared" si="212"/>
        <v>201663</v>
      </c>
      <c r="BY169" s="16">
        <f t="shared" si="212"/>
        <v>64472</v>
      </c>
      <c r="BZ169" s="16">
        <f t="shared" si="212"/>
        <v>64472</v>
      </c>
      <c r="CA169" s="16">
        <f t="shared" si="212"/>
        <v>64472</v>
      </c>
      <c r="CB169" s="16">
        <f t="shared" si="212"/>
        <v>0</v>
      </c>
      <c r="CC169" s="16">
        <f t="shared" si="212"/>
        <v>64472</v>
      </c>
      <c r="CD169" s="16">
        <f t="shared" si="212"/>
        <v>0</v>
      </c>
      <c r="CE169" s="16">
        <f t="shared" si="212"/>
        <v>0</v>
      </c>
      <c r="CF169" s="16">
        <f t="shared" si="212"/>
        <v>0</v>
      </c>
      <c r="CG169" s="16">
        <f t="shared" si="212"/>
        <v>0</v>
      </c>
      <c r="CH169" s="16">
        <f t="shared" si="212"/>
        <v>0</v>
      </c>
      <c r="CI169" s="16">
        <f t="shared" si="212"/>
        <v>0</v>
      </c>
      <c r="CJ169" s="16">
        <f t="shared" si="212"/>
        <v>0</v>
      </c>
      <c r="CK169" s="16">
        <f t="shared" si="212"/>
        <v>0</v>
      </c>
      <c r="CL169" s="16">
        <f t="shared" si="212"/>
        <v>0</v>
      </c>
      <c r="CM169" s="16">
        <f t="shared" si="212"/>
        <v>0</v>
      </c>
      <c r="CN169" s="16">
        <f t="shared" si="212"/>
        <v>0</v>
      </c>
      <c r="CO169" s="16">
        <f t="shared" si="212"/>
        <v>0</v>
      </c>
      <c r="CP169" s="16">
        <f t="shared" si="212"/>
        <v>0</v>
      </c>
      <c r="CQ169" s="16">
        <f t="shared" si="212"/>
        <v>0</v>
      </c>
      <c r="CR169" s="16">
        <f t="shared" si="212"/>
        <v>0</v>
      </c>
      <c r="CS169" s="16">
        <f t="shared" si="212"/>
        <v>0</v>
      </c>
      <c r="CT169" s="16">
        <f t="shared" si="212"/>
        <v>0</v>
      </c>
      <c r="CU169" s="16">
        <f t="shared" si="212"/>
        <v>0</v>
      </c>
      <c r="CV169" s="16">
        <f t="shared" si="212"/>
        <v>0</v>
      </c>
      <c r="CW169" s="17">
        <f t="shared" ref="CW169" si="213">SUM(CW170:CW171)</f>
        <v>0</v>
      </c>
      <c r="CX169" s="40"/>
    </row>
    <row r="170" spans="1:102" ht="15.75" hidden="1" x14ac:dyDescent="0.25">
      <c r="A170" s="13" t="s">
        <v>1</v>
      </c>
      <c r="B170" s="14" t="s">
        <v>1</v>
      </c>
      <c r="C170" s="14" t="s">
        <v>19</v>
      </c>
      <c r="D170" s="30" t="s">
        <v>201</v>
      </c>
      <c r="E170" s="15">
        <f>SUM(F170+BY170+CT170)</f>
        <v>5827895</v>
      </c>
      <c r="F170" s="16">
        <f>SUM(G170+BA170)</f>
        <v>5769922</v>
      </c>
      <c r="G170" s="16">
        <f>SUM(H170+I170+J170+Q170+T170+U170+V170+AE170)</f>
        <v>5568259</v>
      </c>
      <c r="H170" s="16">
        <v>3425414</v>
      </c>
      <c r="I170" s="16">
        <v>794609</v>
      </c>
      <c r="J170" s="16">
        <f t="shared" si="164"/>
        <v>1036281</v>
      </c>
      <c r="K170" s="16">
        <v>137700</v>
      </c>
      <c r="L170" s="16">
        <v>193450</v>
      </c>
      <c r="M170" s="16">
        <v>547190</v>
      </c>
      <c r="N170" s="16">
        <v>0</v>
      </c>
      <c r="O170" s="16">
        <v>95109</v>
      </c>
      <c r="P170" s="16">
        <v>62832</v>
      </c>
      <c r="Q170" s="16">
        <f t="shared" si="165"/>
        <v>1022</v>
      </c>
      <c r="R170" s="16">
        <v>0</v>
      </c>
      <c r="S170" s="16">
        <v>1022</v>
      </c>
      <c r="T170" s="16">
        <v>0</v>
      </c>
      <c r="U170" s="16">
        <v>13292</v>
      </c>
      <c r="V170" s="16">
        <f>SUM(W170:AD170)</f>
        <v>94258</v>
      </c>
      <c r="W170" s="16">
        <v>19620</v>
      </c>
      <c r="X170" s="16">
        <v>0</v>
      </c>
      <c r="Y170" s="16">
        <v>28948</v>
      </c>
      <c r="Z170" s="16">
        <v>25906</v>
      </c>
      <c r="AA170" s="16">
        <v>6522</v>
      </c>
      <c r="AB170" s="16">
        <v>0</v>
      </c>
      <c r="AC170" s="16">
        <v>0</v>
      </c>
      <c r="AD170" s="16">
        <v>13262</v>
      </c>
      <c r="AE170" s="16">
        <f>SUM(AF170:AZ170)</f>
        <v>203383</v>
      </c>
      <c r="AF170" s="16">
        <v>0</v>
      </c>
      <c r="AG170" s="16">
        <v>625</v>
      </c>
      <c r="AH170" s="16">
        <v>16204</v>
      </c>
      <c r="AI170" s="16">
        <v>0</v>
      </c>
      <c r="AJ170" s="16">
        <v>1591</v>
      </c>
      <c r="AK170" s="16">
        <v>0</v>
      </c>
      <c r="AL170" s="16">
        <v>34254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0</v>
      </c>
      <c r="AS170" s="16">
        <v>14400</v>
      </c>
      <c r="AT170" s="16">
        <v>0</v>
      </c>
      <c r="AU170" s="16">
        <v>103784</v>
      </c>
      <c r="AV170" s="16">
        <v>0</v>
      </c>
      <c r="AW170" s="16">
        <v>0</v>
      </c>
      <c r="AX170" s="16">
        <v>0</v>
      </c>
      <c r="AY170" s="16">
        <v>0</v>
      </c>
      <c r="AZ170" s="16">
        <v>32525</v>
      </c>
      <c r="BA170" s="16">
        <f>SUM(BB170+BF170+BI170+BK170+BM170)</f>
        <v>201663</v>
      </c>
      <c r="BB170" s="16">
        <f>SUM(BC170:BE170)</f>
        <v>0</v>
      </c>
      <c r="BC170" s="16">
        <v>0</v>
      </c>
      <c r="BD170" s="16">
        <v>0</v>
      </c>
      <c r="BE170" s="16">
        <v>0</v>
      </c>
      <c r="BF170" s="16">
        <f t="shared" si="166"/>
        <v>0</v>
      </c>
      <c r="BG170" s="16">
        <v>0</v>
      </c>
      <c r="BH170" s="16">
        <v>0</v>
      </c>
      <c r="BI170" s="16">
        <v>0</v>
      </c>
      <c r="BJ170" s="16">
        <v>0</v>
      </c>
      <c r="BK170" s="16">
        <f t="shared" si="167"/>
        <v>0</v>
      </c>
      <c r="BL170" s="16">
        <v>0</v>
      </c>
      <c r="BM170" s="16">
        <f t="shared" si="168"/>
        <v>201663</v>
      </c>
      <c r="BN170" s="16">
        <v>0</v>
      </c>
      <c r="BO170" s="16">
        <v>0</v>
      </c>
      <c r="BP170" s="16">
        <v>0</v>
      </c>
      <c r="BQ170" s="16">
        <v>0</v>
      </c>
      <c r="BR170" s="16">
        <v>0</v>
      </c>
      <c r="BS170" s="16">
        <v>0</v>
      </c>
      <c r="BT170" s="16">
        <v>0</v>
      </c>
      <c r="BU170" s="16">
        <v>0</v>
      </c>
      <c r="BV170" s="16">
        <v>0</v>
      </c>
      <c r="BW170" s="16">
        <v>0</v>
      </c>
      <c r="BX170" s="16">
        <v>201663</v>
      </c>
      <c r="BY170" s="16">
        <f>SUM(BZ170+CS170)</f>
        <v>57973</v>
      </c>
      <c r="BZ170" s="16">
        <f>SUM(CA170+CD170+CK170)</f>
        <v>57973</v>
      </c>
      <c r="CA170" s="16">
        <f t="shared" si="169"/>
        <v>57973</v>
      </c>
      <c r="CB170" s="16">
        <v>0</v>
      </c>
      <c r="CC170" s="16">
        <v>57973</v>
      </c>
      <c r="CD170" s="16">
        <f t="shared" si="170"/>
        <v>0</v>
      </c>
      <c r="CE170" s="16">
        <v>0</v>
      </c>
      <c r="CF170" s="16">
        <v>0</v>
      </c>
      <c r="CG170" s="16">
        <v>0</v>
      </c>
      <c r="CH170" s="16">
        <v>0</v>
      </c>
      <c r="CI170" s="16">
        <v>0</v>
      </c>
      <c r="CJ170" s="16">
        <v>0</v>
      </c>
      <c r="CK170" s="16">
        <f t="shared" si="171"/>
        <v>0</v>
      </c>
      <c r="CL170" s="16">
        <v>0</v>
      </c>
      <c r="CM170" s="16">
        <v>0</v>
      </c>
      <c r="CN170" s="16">
        <v>0</v>
      </c>
      <c r="CO170" s="16">
        <v>0</v>
      </c>
      <c r="CP170" s="16">
        <v>0</v>
      </c>
      <c r="CQ170" s="16">
        <v>0</v>
      </c>
      <c r="CR170" s="16">
        <v>0</v>
      </c>
      <c r="CS170" s="16">
        <v>0</v>
      </c>
      <c r="CT170" s="16">
        <f t="shared" si="172"/>
        <v>0</v>
      </c>
      <c r="CU170" s="16">
        <f t="shared" si="173"/>
        <v>0</v>
      </c>
      <c r="CV170" s="16">
        <v>0</v>
      </c>
      <c r="CW170" s="17">
        <v>0</v>
      </c>
      <c r="CX170" s="40"/>
    </row>
    <row r="171" spans="1:102" ht="15.75" hidden="1" x14ac:dyDescent="0.25">
      <c r="A171" s="13" t="s">
        <v>1</v>
      </c>
      <c r="B171" s="14" t="s">
        <v>1</v>
      </c>
      <c r="C171" s="14" t="s">
        <v>21</v>
      </c>
      <c r="D171" s="30" t="s">
        <v>202</v>
      </c>
      <c r="E171" s="15">
        <f>SUM(F171+BY171+CT171)</f>
        <v>25237499</v>
      </c>
      <c r="F171" s="16">
        <f>SUM(G171+BA171)</f>
        <v>25231000</v>
      </c>
      <c r="G171" s="16">
        <f>SUM(H171+I171+J171+Q171+T171+U171+V171+AE171)</f>
        <v>25231000</v>
      </c>
      <c r="H171" s="16">
        <f>15812380+347150+678119</f>
        <v>16837649</v>
      </c>
      <c r="I171" s="16">
        <f>3739655+168780</f>
        <v>3908435</v>
      </c>
      <c r="J171" s="16">
        <f t="shared" si="164"/>
        <v>3901017</v>
      </c>
      <c r="K171" s="16">
        <v>3554935</v>
      </c>
      <c r="L171" s="16">
        <v>19095</v>
      </c>
      <c r="M171" s="16">
        <v>0</v>
      </c>
      <c r="N171" s="16">
        <v>0</v>
      </c>
      <c r="O171" s="16">
        <v>302931</v>
      </c>
      <c r="P171" s="16">
        <v>24056</v>
      </c>
      <c r="Q171" s="16">
        <f t="shared" si="165"/>
        <v>0</v>
      </c>
      <c r="R171" s="16">
        <v>0</v>
      </c>
      <c r="S171" s="16">
        <v>0</v>
      </c>
      <c r="T171" s="16">
        <v>0</v>
      </c>
      <c r="U171" s="16">
        <v>166810</v>
      </c>
      <c r="V171" s="16">
        <f>SUM(W171:AD171)</f>
        <v>258518</v>
      </c>
      <c r="W171" s="16">
        <v>0</v>
      </c>
      <c r="X171" s="16">
        <v>201545</v>
      </c>
      <c r="Y171" s="16">
        <v>20998</v>
      </c>
      <c r="Z171" s="16">
        <v>13306</v>
      </c>
      <c r="AA171" s="16">
        <v>21266</v>
      </c>
      <c r="AB171" s="16">
        <v>0</v>
      </c>
      <c r="AC171" s="16">
        <v>0</v>
      </c>
      <c r="AD171" s="16">
        <v>1403</v>
      </c>
      <c r="AE171" s="16">
        <f>SUM(AF171:AZ171)</f>
        <v>158571</v>
      </c>
      <c r="AF171" s="16">
        <v>0</v>
      </c>
      <c r="AG171" s="16">
        <v>0</v>
      </c>
      <c r="AH171" s="16">
        <v>104124</v>
      </c>
      <c r="AI171" s="16">
        <v>0</v>
      </c>
      <c r="AJ171" s="16">
        <v>11138</v>
      </c>
      <c r="AK171" s="16">
        <v>0</v>
      </c>
      <c r="AL171" s="16">
        <v>43309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6">
        <v>0</v>
      </c>
      <c r="AU171" s="16">
        <v>0</v>
      </c>
      <c r="AV171" s="16">
        <v>0</v>
      </c>
      <c r="AW171" s="16">
        <v>0</v>
      </c>
      <c r="AX171" s="16">
        <v>0</v>
      </c>
      <c r="AY171" s="16">
        <v>0</v>
      </c>
      <c r="AZ171" s="16">
        <v>0</v>
      </c>
      <c r="BA171" s="16">
        <f>SUM(BB171+BF171+BI171+BK171+BM171)</f>
        <v>0</v>
      </c>
      <c r="BB171" s="16">
        <f>SUM(BC171:BE171)</f>
        <v>0</v>
      </c>
      <c r="BC171" s="16">
        <v>0</v>
      </c>
      <c r="BD171" s="16">
        <v>0</v>
      </c>
      <c r="BE171" s="16">
        <v>0</v>
      </c>
      <c r="BF171" s="16">
        <f t="shared" si="166"/>
        <v>0</v>
      </c>
      <c r="BG171" s="16">
        <v>0</v>
      </c>
      <c r="BH171" s="16">
        <v>0</v>
      </c>
      <c r="BI171" s="16">
        <v>0</v>
      </c>
      <c r="BJ171" s="16">
        <v>0</v>
      </c>
      <c r="BK171" s="16">
        <f t="shared" si="167"/>
        <v>0</v>
      </c>
      <c r="BL171" s="16">
        <v>0</v>
      </c>
      <c r="BM171" s="16">
        <f t="shared" si="168"/>
        <v>0</v>
      </c>
      <c r="BN171" s="16">
        <v>0</v>
      </c>
      <c r="BO171" s="16">
        <v>0</v>
      </c>
      <c r="BP171" s="16">
        <v>0</v>
      </c>
      <c r="BQ171" s="16">
        <v>0</v>
      </c>
      <c r="BR171" s="16">
        <v>0</v>
      </c>
      <c r="BS171" s="16">
        <v>0</v>
      </c>
      <c r="BT171" s="16">
        <v>0</v>
      </c>
      <c r="BU171" s="16">
        <v>0</v>
      </c>
      <c r="BV171" s="16">
        <v>0</v>
      </c>
      <c r="BW171" s="16">
        <v>0</v>
      </c>
      <c r="BX171" s="16">
        <v>0</v>
      </c>
      <c r="BY171" s="16">
        <f>SUM(BZ171+CS171)</f>
        <v>6499</v>
      </c>
      <c r="BZ171" s="16">
        <f>SUM(CA171+CD171+CK171)</f>
        <v>6499</v>
      </c>
      <c r="CA171" s="16">
        <f t="shared" si="169"/>
        <v>6499</v>
      </c>
      <c r="CB171" s="16">
        <v>0</v>
      </c>
      <c r="CC171" s="16">
        <v>6499</v>
      </c>
      <c r="CD171" s="16">
        <f t="shared" si="170"/>
        <v>0</v>
      </c>
      <c r="CE171" s="16">
        <v>0</v>
      </c>
      <c r="CF171" s="16">
        <v>0</v>
      </c>
      <c r="CG171" s="16">
        <v>0</v>
      </c>
      <c r="CH171" s="16">
        <v>0</v>
      </c>
      <c r="CI171" s="16">
        <v>0</v>
      </c>
      <c r="CJ171" s="16">
        <v>0</v>
      </c>
      <c r="CK171" s="16">
        <f t="shared" si="171"/>
        <v>0</v>
      </c>
      <c r="CL171" s="16">
        <v>0</v>
      </c>
      <c r="CM171" s="16">
        <v>0</v>
      </c>
      <c r="CN171" s="16">
        <v>0</v>
      </c>
      <c r="CO171" s="16">
        <v>0</v>
      </c>
      <c r="CP171" s="16">
        <v>0</v>
      </c>
      <c r="CQ171" s="16">
        <v>0</v>
      </c>
      <c r="CR171" s="16">
        <v>0</v>
      </c>
      <c r="CS171" s="16">
        <v>0</v>
      </c>
      <c r="CT171" s="16">
        <f t="shared" si="172"/>
        <v>0</v>
      </c>
      <c r="CU171" s="16">
        <f t="shared" si="173"/>
        <v>0</v>
      </c>
      <c r="CV171" s="16">
        <v>0</v>
      </c>
      <c r="CW171" s="17">
        <v>0</v>
      </c>
      <c r="CX171" s="40"/>
    </row>
    <row r="172" spans="1:102" ht="31.5" hidden="1" x14ac:dyDescent="0.25">
      <c r="A172" s="13" t="s">
        <v>195</v>
      </c>
      <c r="B172" s="14" t="s">
        <v>47</v>
      </c>
      <c r="C172" s="14" t="s">
        <v>1</v>
      </c>
      <c r="D172" s="30" t="s">
        <v>203</v>
      </c>
      <c r="E172" s="15">
        <f>SUM(E173)</f>
        <v>42404257</v>
      </c>
      <c r="F172" s="16">
        <f t="shared" ref="F172:BS172" si="214">SUM(F173)</f>
        <v>42404257</v>
      </c>
      <c r="G172" s="16">
        <f t="shared" si="214"/>
        <v>42404257</v>
      </c>
      <c r="H172" s="16">
        <f t="shared" si="214"/>
        <v>0</v>
      </c>
      <c r="I172" s="16">
        <f t="shared" si="214"/>
        <v>0</v>
      </c>
      <c r="J172" s="16">
        <f t="shared" si="214"/>
        <v>38016937</v>
      </c>
      <c r="K172" s="16">
        <f t="shared" si="214"/>
        <v>38016937</v>
      </c>
      <c r="L172" s="16">
        <f t="shared" si="214"/>
        <v>0</v>
      </c>
      <c r="M172" s="16">
        <f t="shared" si="214"/>
        <v>0</v>
      </c>
      <c r="N172" s="16">
        <f t="shared" si="214"/>
        <v>0</v>
      </c>
      <c r="O172" s="16">
        <f t="shared" si="214"/>
        <v>0</v>
      </c>
      <c r="P172" s="16">
        <f t="shared" si="214"/>
        <v>0</v>
      </c>
      <c r="Q172" s="16">
        <f t="shared" si="214"/>
        <v>0</v>
      </c>
      <c r="R172" s="16">
        <f t="shared" si="214"/>
        <v>0</v>
      </c>
      <c r="S172" s="16">
        <f t="shared" si="214"/>
        <v>0</v>
      </c>
      <c r="T172" s="16">
        <f t="shared" si="214"/>
        <v>0</v>
      </c>
      <c r="U172" s="16">
        <f t="shared" si="214"/>
        <v>0</v>
      </c>
      <c r="V172" s="16">
        <f t="shared" si="214"/>
        <v>0</v>
      </c>
      <c r="W172" s="16">
        <f t="shared" si="214"/>
        <v>0</v>
      </c>
      <c r="X172" s="16">
        <f t="shared" si="214"/>
        <v>0</v>
      </c>
      <c r="Y172" s="16">
        <f t="shared" si="214"/>
        <v>0</v>
      </c>
      <c r="Z172" s="16">
        <f t="shared" si="214"/>
        <v>0</v>
      </c>
      <c r="AA172" s="16">
        <f t="shared" si="214"/>
        <v>0</v>
      </c>
      <c r="AB172" s="16">
        <f t="shared" si="214"/>
        <v>0</v>
      </c>
      <c r="AC172" s="16">
        <f t="shared" si="214"/>
        <v>0</v>
      </c>
      <c r="AD172" s="16">
        <f t="shared" si="214"/>
        <v>0</v>
      </c>
      <c r="AE172" s="16">
        <f t="shared" si="214"/>
        <v>4387320</v>
      </c>
      <c r="AF172" s="16">
        <f t="shared" si="214"/>
        <v>0</v>
      </c>
      <c r="AG172" s="16">
        <f t="shared" si="214"/>
        <v>0</v>
      </c>
      <c r="AH172" s="16">
        <f t="shared" si="214"/>
        <v>0</v>
      </c>
      <c r="AI172" s="16">
        <f t="shared" si="214"/>
        <v>0</v>
      </c>
      <c r="AJ172" s="16">
        <f t="shared" si="214"/>
        <v>0</v>
      </c>
      <c r="AK172" s="16">
        <f t="shared" si="214"/>
        <v>0</v>
      </c>
      <c r="AL172" s="16">
        <f t="shared" si="214"/>
        <v>0</v>
      </c>
      <c r="AM172" s="16">
        <f t="shared" si="214"/>
        <v>0</v>
      </c>
      <c r="AN172" s="16">
        <f t="shared" si="214"/>
        <v>0</v>
      </c>
      <c r="AO172" s="16">
        <f t="shared" si="214"/>
        <v>0</v>
      </c>
      <c r="AP172" s="16">
        <f t="shared" si="214"/>
        <v>0</v>
      </c>
      <c r="AQ172" s="16">
        <f t="shared" si="214"/>
        <v>0</v>
      </c>
      <c r="AR172" s="16">
        <f t="shared" si="214"/>
        <v>0</v>
      </c>
      <c r="AS172" s="16">
        <f t="shared" si="214"/>
        <v>0</v>
      </c>
      <c r="AT172" s="16">
        <f t="shared" si="214"/>
        <v>0</v>
      </c>
      <c r="AU172" s="16">
        <f t="shared" si="214"/>
        <v>0</v>
      </c>
      <c r="AV172" s="16">
        <f t="shared" si="214"/>
        <v>4387320</v>
      </c>
      <c r="AW172" s="16">
        <f t="shared" si="214"/>
        <v>0</v>
      </c>
      <c r="AX172" s="16">
        <f t="shared" si="214"/>
        <v>0</v>
      </c>
      <c r="AY172" s="16">
        <f t="shared" si="214"/>
        <v>0</v>
      </c>
      <c r="AZ172" s="16">
        <f t="shared" si="214"/>
        <v>0</v>
      </c>
      <c r="BA172" s="16">
        <f t="shared" si="214"/>
        <v>0</v>
      </c>
      <c r="BB172" s="16">
        <f t="shared" si="214"/>
        <v>0</v>
      </c>
      <c r="BC172" s="16">
        <f t="shared" si="214"/>
        <v>0</v>
      </c>
      <c r="BD172" s="16">
        <f t="shared" si="214"/>
        <v>0</v>
      </c>
      <c r="BE172" s="16">
        <f t="shared" si="214"/>
        <v>0</v>
      </c>
      <c r="BF172" s="16">
        <f t="shared" si="214"/>
        <v>0</v>
      </c>
      <c r="BG172" s="16">
        <f t="shared" si="214"/>
        <v>0</v>
      </c>
      <c r="BH172" s="16">
        <f t="shared" si="214"/>
        <v>0</v>
      </c>
      <c r="BI172" s="16">
        <f t="shared" si="214"/>
        <v>0</v>
      </c>
      <c r="BJ172" s="16">
        <f t="shared" si="214"/>
        <v>0</v>
      </c>
      <c r="BK172" s="16">
        <f t="shared" si="214"/>
        <v>0</v>
      </c>
      <c r="BL172" s="16">
        <f t="shared" si="214"/>
        <v>0</v>
      </c>
      <c r="BM172" s="16">
        <f t="shared" si="214"/>
        <v>0</v>
      </c>
      <c r="BN172" s="16">
        <f t="shared" si="214"/>
        <v>0</v>
      </c>
      <c r="BO172" s="16">
        <f t="shared" si="214"/>
        <v>0</v>
      </c>
      <c r="BP172" s="16">
        <f t="shared" si="214"/>
        <v>0</v>
      </c>
      <c r="BQ172" s="16">
        <f t="shared" si="214"/>
        <v>0</v>
      </c>
      <c r="BR172" s="16">
        <f t="shared" si="214"/>
        <v>0</v>
      </c>
      <c r="BS172" s="16">
        <f t="shared" si="214"/>
        <v>0</v>
      </c>
      <c r="BT172" s="16">
        <f t="shared" ref="BT172:CW172" si="215">SUM(BT173)</f>
        <v>0</v>
      </c>
      <c r="BU172" s="16">
        <f t="shared" si="215"/>
        <v>0</v>
      </c>
      <c r="BV172" s="16">
        <f t="shared" si="215"/>
        <v>0</v>
      </c>
      <c r="BW172" s="16">
        <f t="shared" si="215"/>
        <v>0</v>
      </c>
      <c r="BX172" s="16">
        <f t="shared" si="215"/>
        <v>0</v>
      </c>
      <c r="BY172" s="16">
        <f t="shared" si="215"/>
        <v>0</v>
      </c>
      <c r="BZ172" s="16">
        <f t="shared" si="215"/>
        <v>0</v>
      </c>
      <c r="CA172" s="16">
        <f t="shared" si="215"/>
        <v>0</v>
      </c>
      <c r="CB172" s="16">
        <f t="shared" si="215"/>
        <v>0</v>
      </c>
      <c r="CC172" s="16">
        <f t="shared" si="215"/>
        <v>0</v>
      </c>
      <c r="CD172" s="16">
        <f t="shared" si="215"/>
        <v>0</v>
      </c>
      <c r="CE172" s="16">
        <f t="shared" si="215"/>
        <v>0</v>
      </c>
      <c r="CF172" s="16">
        <f t="shared" si="215"/>
        <v>0</v>
      </c>
      <c r="CG172" s="16">
        <f t="shared" si="215"/>
        <v>0</v>
      </c>
      <c r="CH172" s="16">
        <f t="shared" si="215"/>
        <v>0</v>
      </c>
      <c r="CI172" s="16">
        <f t="shared" si="215"/>
        <v>0</v>
      </c>
      <c r="CJ172" s="16">
        <f t="shared" si="215"/>
        <v>0</v>
      </c>
      <c r="CK172" s="16">
        <f t="shared" si="215"/>
        <v>0</v>
      </c>
      <c r="CL172" s="16">
        <f t="shared" si="215"/>
        <v>0</v>
      </c>
      <c r="CM172" s="16">
        <f t="shared" si="215"/>
        <v>0</v>
      </c>
      <c r="CN172" s="16">
        <f t="shared" si="215"/>
        <v>0</v>
      </c>
      <c r="CO172" s="16">
        <f t="shared" si="215"/>
        <v>0</v>
      </c>
      <c r="CP172" s="16">
        <f t="shared" si="215"/>
        <v>0</v>
      </c>
      <c r="CQ172" s="16">
        <f t="shared" si="215"/>
        <v>0</v>
      </c>
      <c r="CR172" s="16">
        <f t="shared" si="215"/>
        <v>0</v>
      </c>
      <c r="CS172" s="16">
        <f t="shared" si="215"/>
        <v>0</v>
      </c>
      <c r="CT172" s="16">
        <f t="shared" si="215"/>
        <v>0</v>
      </c>
      <c r="CU172" s="16">
        <f t="shared" si="215"/>
        <v>0</v>
      </c>
      <c r="CV172" s="16">
        <f t="shared" si="215"/>
        <v>0</v>
      </c>
      <c r="CW172" s="17">
        <f t="shared" si="215"/>
        <v>0</v>
      </c>
      <c r="CX172" s="40"/>
    </row>
    <row r="173" spans="1:102" ht="31.5" hidden="1" x14ac:dyDescent="0.25">
      <c r="A173" s="13" t="s">
        <v>1</v>
      </c>
      <c r="B173" s="14" t="s">
        <v>1</v>
      </c>
      <c r="C173" s="14" t="s">
        <v>21</v>
      </c>
      <c r="D173" s="30" t="s">
        <v>204</v>
      </c>
      <c r="E173" s="15">
        <f>SUM(F173+BY173+CT173)</f>
        <v>42404257</v>
      </c>
      <c r="F173" s="16">
        <f>SUM(G173+BA173)</f>
        <v>42404257</v>
      </c>
      <c r="G173" s="16">
        <f>SUM(H173+I173+J173+Q173+T173+U173+V173+AE173)</f>
        <v>42404257</v>
      </c>
      <c r="H173" s="16">
        <v>0</v>
      </c>
      <c r="I173" s="16">
        <v>0</v>
      </c>
      <c r="J173" s="16">
        <f t="shared" si="164"/>
        <v>38016937</v>
      </c>
      <c r="K173" s="16">
        <v>38016937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f t="shared" si="165"/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f>SUM(W173:AD173)</f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f>SUM(AF173:AZ173)</f>
        <v>4387320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0</v>
      </c>
      <c r="AT173" s="16">
        <v>0</v>
      </c>
      <c r="AU173" s="16">
        <v>0</v>
      </c>
      <c r="AV173" s="16">
        <v>4387320</v>
      </c>
      <c r="AW173" s="16">
        <v>0</v>
      </c>
      <c r="AX173" s="16">
        <v>0</v>
      </c>
      <c r="AY173" s="16">
        <v>0</v>
      </c>
      <c r="AZ173" s="16">
        <v>0</v>
      </c>
      <c r="BA173" s="16">
        <f>SUM(BB173+BF173+BI173+BK173+BM173)</f>
        <v>0</v>
      </c>
      <c r="BB173" s="16">
        <f>SUM(BC173:BE173)</f>
        <v>0</v>
      </c>
      <c r="BC173" s="16">
        <v>0</v>
      </c>
      <c r="BD173" s="16">
        <v>0</v>
      </c>
      <c r="BE173" s="16">
        <v>0</v>
      </c>
      <c r="BF173" s="16">
        <f t="shared" si="166"/>
        <v>0</v>
      </c>
      <c r="BG173" s="16">
        <v>0</v>
      </c>
      <c r="BH173" s="16">
        <v>0</v>
      </c>
      <c r="BI173" s="16">
        <v>0</v>
      </c>
      <c r="BJ173" s="16">
        <v>0</v>
      </c>
      <c r="BK173" s="16">
        <f t="shared" si="167"/>
        <v>0</v>
      </c>
      <c r="BL173" s="16">
        <v>0</v>
      </c>
      <c r="BM173" s="16">
        <f t="shared" si="168"/>
        <v>0</v>
      </c>
      <c r="BN173" s="16">
        <v>0</v>
      </c>
      <c r="BO173" s="16">
        <v>0</v>
      </c>
      <c r="BP173" s="16">
        <v>0</v>
      </c>
      <c r="BQ173" s="16">
        <v>0</v>
      </c>
      <c r="BR173" s="16">
        <v>0</v>
      </c>
      <c r="BS173" s="16">
        <v>0</v>
      </c>
      <c r="BT173" s="16">
        <v>0</v>
      </c>
      <c r="BU173" s="16">
        <v>0</v>
      </c>
      <c r="BV173" s="16">
        <v>0</v>
      </c>
      <c r="BW173" s="16">
        <v>0</v>
      </c>
      <c r="BX173" s="16">
        <v>0</v>
      </c>
      <c r="BY173" s="16">
        <f>SUM(BZ173+CS173)</f>
        <v>0</v>
      </c>
      <c r="BZ173" s="16">
        <f>SUM(CA173+CD173+CK173)</f>
        <v>0</v>
      </c>
      <c r="CA173" s="16">
        <f t="shared" si="169"/>
        <v>0</v>
      </c>
      <c r="CB173" s="16">
        <v>0</v>
      </c>
      <c r="CC173" s="16">
        <v>0</v>
      </c>
      <c r="CD173" s="16">
        <f t="shared" si="170"/>
        <v>0</v>
      </c>
      <c r="CE173" s="16">
        <v>0</v>
      </c>
      <c r="CF173" s="16">
        <v>0</v>
      </c>
      <c r="CG173" s="16">
        <v>0</v>
      </c>
      <c r="CH173" s="16">
        <v>0</v>
      </c>
      <c r="CI173" s="16">
        <v>0</v>
      </c>
      <c r="CJ173" s="16">
        <v>0</v>
      </c>
      <c r="CK173" s="16">
        <f t="shared" si="171"/>
        <v>0</v>
      </c>
      <c r="CL173" s="16">
        <v>0</v>
      </c>
      <c r="CM173" s="16">
        <v>0</v>
      </c>
      <c r="CN173" s="16">
        <v>0</v>
      </c>
      <c r="CO173" s="16">
        <v>0</v>
      </c>
      <c r="CP173" s="16">
        <v>0</v>
      </c>
      <c r="CQ173" s="16">
        <v>0</v>
      </c>
      <c r="CR173" s="16">
        <v>0</v>
      </c>
      <c r="CS173" s="16">
        <v>0</v>
      </c>
      <c r="CT173" s="16">
        <f t="shared" si="172"/>
        <v>0</v>
      </c>
      <c r="CU173" s="16">
        <f t="shared" si="173"/>
        <v>0</v>
      </c>
      <c r="CV173" s="16">
        <v>0</v>
      </c>
      <c r="CW173" s="17">
        <v>0</v>
      </c>
      <c r="CX173" s="40"/>
    </row>
    <row r="174" spans="1:102" ht="31.5" hidden="1" x14ac:dyDescent="0.25">
      <c r="A174" s="13" t="s">
        <v>195</v>
      </c>
      <c r="B174" s="14" t="s">
        <v>50</v>
      </c>
      <c r="C174" s="14" t="s">
        <v>1</v>
      </c>
      <c r="D174" s="30" t="s">
        <v>205</v>
      </c>
      <c r="E174" s="15">
        <f t="shared" ref="E174:BP174" si="216">SUM(E175)</f>
        <v>2303554</v>
      </c>
      <c r="F174" s="16">
        <f t="shared" si="216"/>
        <v>2279502</v>
      </c>
      <c r="G174" s="16">
        <f t="shared" si="216"/>
        <v>2279502</v>
      </c>
      <c r="H174" s="16">
        <f t="shared" si="216"/>
        <v>1769797</v>
      </c>
      <c r="I174" s="16">
        <f t="shared" si="216"/>
        <v>403325</v>
      </c>
      <c r="J174" s="16">
        <f t="shared" si="216"/>
        <v>2019</v>
      </c>
      <c r="K174" s="16">
        <f t="shared" si="216"/>
        <v>0</v>
      </c>
      <c r="L174" s="16">
        <f t="shared" si="216"/>
        <v>1781</v>
      </c>
      <c r="M174" s="16">
        <f t="shared" si="216"/>
        <v>0</v>
      </c>
      <c r="N174" s="16">
        <f t="shared" si="216"/>
        <v>0</v>
      </c>
      <c r="O174" s="16">
        <f t="shared" si="216"/>
        <v>0</v>
      </c>
      <c r="P174" s="16">
        <f t="shared" si="216"/>
        <v>238</v>
      </c>
      <c r="Q174" s="16">
        <f t="shared" si="216"/>
        <v>0</v>
      </c>
      <c r="R174" s="16">
        <f t="shared" si="216"/>
        <v>0</v>
      </c>
      <c r="S174" s="16">
        <f t="shared" si="216"/>
        <v>0</v>
      </c>
      <c r="T174" s="16">
        <f t="shared" si="216"/>
        <v>0</v>
      </c>
      <c r="U174" s="16">
        <f t="shared" si="216"/>
        <v>49135</v>
      </c>
      <c r="V174" s="16">
        <f t="shared" si="216"/>
        <v>0</v>
      </c>
      <c r="W174" s="16">
        <f t="shared" si="216"/>
        <v>0</v>
      </c>
      <c r="X174" s="16">
        <f t="shared" si="216"/>
        <v>0</v>
      </c>
      <c r="Y174" s="16">
        <f t="shared" si="216"/>
        <v>0</v>
      </c>
      <c r="Z174" s="16">
        <f t="shared" si="216"/>
        <v>0</v>
      </c>
      <c r="AA174" s="16">
        <f t="shared" si="216"/>
        <v>0</v>
      </c>
      <c r="AB174" s="16">
        <f t="shared" si="216"/>
        <v>0</v>
      </c>
      <c r="AC174" s="16">
        <f t="shared" si="216"/>
        <v>0</v>
      </c>
      <c r="AD174" s="16">
        <f t="shared" si="216"/>
        <v>0</v>
      </c>
      <c r="AE174" s="16">
        <f t="shared" si="216"/>
        <v>55226</v>
      </c>
      <c r="AF174" s="16">
        <f t="shared" si="216"/>
        <v>0</v>
      </c>
      <c r="AG174" s="16">
        <f t="shared" si="216"/>
        <v>0</v>
      </c>
      <c r="AH174" s="16">
        <f t="shared" si="216"/>
        <v>3877</v>
      </c>
      <c r="AI174" s="16">
        <f t="shared" si="216"/>
        <v>0</v>
      </c>
      <c r="AJ174" s="16">
        <f t="shared" si="216"/>
        <v>7956</v>
      </c>
      <c r="AK174" s="16">
        <f t="shared" si="216"/>
        <v>0</v>
      </c>
      <c r="AL174" s="16">
        <f t="shared" si="216"/>
        <v>4393</v>
      </c>
      <c r="AM174" s="16">
        <f t="shared" si="216"/>
        <v>39000</v>
      </c>
      <c r="AN174" s="16">
        <f t="shared" si="216"/>
        <v>0</v>
      </c>
      <c r="AO174" s="16">
        <f t="shared" si="216"/>
        <v>0</v>
      </c>
      <c r="AP174" s="16">
        <f t="shared" si="216"/>
        <v>0</v>
      </c>
      <c r="AQ174" s="16">
        <f t="shared" si="216"/>
        <v>0</v>
      </c>
      <c r="AR174" s="16">
        <f t="shared" si="216"/>
        <v>0</v>
      </c>
      <c r="AS174" s="16">
        <f t="shared" si="216"/>
        <v>0</v>
      </c>
      <c r="AT174" s="16">
        <f t="shared" si="216"/>
        <v>0</v>
      </c>
      <c r="AU174" s="16">
        <f t="shared" si="216"/>
        <v>0</v>
      </c>
      <c r="AV174" s="16">
        <f t="shared" si="216"/>
        <v>0</v>
      </c>
      <c r="AW174" s="16">
        <f t="shared" si="216"/>
        <v>0</v>
      </c>
      <c r="AX174" s="16">
        <f t="shared" si="216"/>
        <v>0</v>
      </c>
      <c r="AY174" s="16">
        <f t="shared" si="216"/>
        <v>0</v>
      </c>
      <c r="AZ174" s="16">
        <f t="shared" si="216"/>
        <v>0</v>
      </c>
      <c r="BA174" s="16">
        <f t="shared" si="216"/>
        <v>0</v>
      </c>
      <c r="BB174" s="16">
        <f t="shared" si="216"/>
        <v>0</v>
      </c>
      <c r="BC174" s="16">
        <f t="shared" si="216"/>
        <v>0</v>
      </c>
      <c r="BD174" s="16">
        <f t="shared" si="216"/>
        <v>0</v>
      </c>
      <c r="BE174" s="16">
        <f t="shared" si="216"/>
        <v>0</v>
      </c>
      <c r="BF174" s="16">
        <f t="shared" si="216"/>
        <v>0</v>
      </c>
      <c r="BG174" s="16">
        <f t="shared" si="216"/>
        <v>0</v>
      </c>
      <c r="BH174" s="16">
        <f t="shared" si="216"/>
        <v>0</v>
      </c>
      <c r="BI174" s="16">
        <f t="shared" si="216"/>
        <v>0</v>
      </c>
      <c r="BJ174" s="16">
        <f t="shared" si="216"/>
        <v>0</v>
      </c>
      <c r="BK174" s="16">
        <f t="shared" si="216"/>
        <v>0</v>
      </c>
      <c r="BL174" s="16">
        <f t="shared" si="216"/>
        <v>0</v>
      </c>
      <c r="BM174" s="16">
        <f t="shared" si="216"/>
        <v>0</v>
      </c>
      <c r="BN174" s="16">
        <f t="shared" si="216"/>
        <v>0</v>
      </c>
      <c r="BO174" s="16">
        <f t="shared" si="216"/>
        <v>0</v>
      </c>
      <c r="BP174" s="16">
        <f t="shared" si="216"/>
        <v>0</v>
      </c>
      <c r="BQ174" s="16">
        <f t="shared" ref="BQ174:CW174" si="217">SUM(BQ175)</f>
        <v>0</v>
      </c>
      <c r="BR174" s="16">
        <f t="shared" si="217"/>
        <v>0</v>
      </c>
      <c r="BS174" s="16">
        <f t="shared" si="217"/>
        <v>0</v>
      </c>
      <c r="BT174" s="16">
        <f t="shared" si="217"/>
        <v>0</v>
      </c>
      <c r="BU174" s="16">
        <f t="shared" si="217"/>
        <v>0</v>
      </c>
      <c r="BV174" s="16">
        <f t="shared" si="217"/>
        <v>0</v>
      </c>
      <c r="BW174" s="16">
        <f t="shared" si="217"/>
        <v>0</v>
      </c>
      <c r="BX174" s="16">
        <f t="shared" si="217"/>
        <v>0</v>
      </c>
      <c r="BY174" s="16">
        <f t="shared" si="217"/>
        <v>24052</v>
      </c>
      <c r="BZ174" s="16">
        <f t="shared" si="217"/>
        <v>24052</v>
      </c>
      <c r="CA174" s="16">
        <f t="shared" si="217"/>
        <v>24052</v>
      </c>
      <c r="CB174" s="16">
        <f t="shared" si="217"/>
        <v>0</v>
      </c>
      <c r="CC174" s="16">
        <f t="shared" si="217"/>
        <v>24052</v>
      </c>
      <c r="CD174" s="16">
        <f t="shared" si="217"/>
        <v>0</v>
      </c>
      <c r="CE174" s="16">
        <f t="shared" si="217"/>
        <v>0</v>
      </c>
      <c r="CF174" s="16">
        <f t="shared" si="217"/>
        <v>0</v>
      </c>
      <c r="CG174" s="16">
        <f t="shared" si="217"/>
        <v>0</v>
      </c>
      <c r="CH174" s="16">
        <f t="shared" si="217"/>
        <v>0</v>
      </c>
      <c r="CI174" s="16">
        <f t="shared" si="217"/>
        <v>0</v>
      </c>
      <c r="CJ174" s="16">
        <f t="shared" si="217"/>
        <v>0</v>
      </c>
      <c r="CK174" s="16">
        <f t="shared" si="217"/>
        <v>0</v>
      </c>
      <c r="CL174" s="16">
        <f t="shared" si="217"/>
        <v>0</v>
      </c>
      <c r="CM174" s="16">
        <f t="shared" si="217"/>
        <v>0</v>
      </c>
      <c r="CN174" s="16">
        <f t="shared" si="217"/>
        <v>0</v>
      </c>
      <c r="CO174" s="16">
        <f t="shared" si="217"/>
        <v>0</v>
      </c>
      <c r="CP174" s="16">
        <f t="shared" si="217"/>
        <v>0</v>
      </c>
      <c r="CQ174" s="16">
        <f t="shared" si="217"/>
        <v>0</v>
      </c>
      <c r="CR174" s="16">
        <f t="shared" si="217"/>
        <v>0</v>
      </c>
      <c r="CS174" s="16">
        <f t="shared" si="217"/>
        <v>0</v>
      </c>
      <c r="CT174" s="16">
        <f t="shared" si="217"/>
        <v>0</v>
      </c>
      <c r="CU174" s="16">
        <f t="shared" si="217"/>
        <v>0</v>
      </c>
      <c r="CV174" s="16">
        <f t="shared" si="217"/>
        <v>0</v>
      </c>
      <c r="CW174" s="17">
        <f t="shared" si="217"/>
        <v>0</v>
      </c>
      <c r="CX174" s="40"/>
    </row>
    <row r="175" spans="1:102" ht="31.5" hidden="1" x14ac:dyDescent="0.25">
      <c r="A175" s="13" t="s">
        <v>1</v>
      </c>
      <c r="B175" s="14" t="s">
        <v>1</v>
      </c>
      <c r="C175" s="14" t="s">
        <v>21</v>
      </c>
      <c r="D175" s="30" t="s">
        <v>206</v>
      </c>
      <c r="E175" s="15">
        <f>SUM(F175+BY175+CT175)</f>
        <v>2303554</v>
      </c>
      <c r="F175" s="16">
        <f>SUM(G175+BA175)</f>
        <v>2279502</v>
      </c>
      <c r="G175" s="16">
        <f>SUM(H175+I175+J175+Q175+T175+U175+V175+AE175)</f>
        <v>2279502</v>
      </c>
      <c r="H175" s="16">
        <v>1769797</v>
      </c>
      <c r="I175" s="16">
        <v>403325</v>
      </c>
      <c r="J175" s="16">
        <f t="shared" si="164"/>
        <v>2019</v>
      </c>
      <c r="K175" s="16">
        <v>0</v>
      </c>
      <c r="L175" s="16">
        <v>1781</v>
      </c>
      <c r="M175" s="16">
        <v>0</v>
      </c>
      <c r="N175" s="16">
        <v>0</v>
      </c>
      <c r="O175" s="16">
        <v>0</v>
      </c>
      <c r="P175" s="16">
        <v>238</v>
      </c>
      <c r="Q175" s="16">
        <f t="shared" si="165"/>
        <v>0</v>
      </c>
      <c r="R175" s="16">
        <v>0</v>
      </c>
      <c r="S175" s="16">
        <v>0</v>
      </c>
      <c r="T175" s="16">
        <v>0</v>
      </c>
      <c r="U175" s="16">
        <v>49135</v>
      </c>
      <c r="V175" s="16">
        <f>SUM(W175:AD175)</f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f>SUM(AF175:AZ175)</f>
        <v>55226</v>
      </c>
      <c r="AF175" s="16">
        <v>0</v>
      </c>
      <c r="AG175" s="16">
        <v>0</v>
      </c>
      <c r="AH175" s="16">
        <v>3877</v>
      </c>
      <c r="AI175" s="16">
        <v>0</v>
      </c>
      <c r="AJ175" s="16">
        <v>7956</v>
      </c>
      <c r="AK175" s="16">
        <v>0</v>
      </c>
      <c r="AL175" s="16">
        <v>4393</v>
      </c>
      <c r="AM175" s="16">
        <v>39000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f>SUM(BB175+BF175+BI175+BK175+BM175)</f>
        <v>0</v>
      </c>
      <c r="BB175" s="16">
        <f>SUM(BC175:BE175)</f>
        <v>0</v>
      </c>
      <c r="BC175" s="16">
        <v>0</v>
      </c>
      <c r="BD175" s="16">
        <v>0</v>
      </c>
      <c r="BE175" s="16">
        <v>0</v>
      </c>
      <c r="BF175" s="16">
        <f t="shared" si="166"/>
        <v>0</v>
      </c>
      <c r="BG175" s="16">
        <v>0</v>
      </c>
      <c r="BH175" s="16">
        <v>0</v>
      </c>
      <c r="BI175" s="16">
        <v>0</v>
      </c>
      <c r="BJ175" s="16">
        <v>0</v>
      </c>
      <c r="BK175" s="16">
        <f t="shared" si="167"/>
        <v>0</v>
      </c>
      <c r="BL175" s="16">
        <v>0</v>
      </c>
      <c r="BM175" s="16">
        <f t="shared" si="168"/>
        <v>0</v>
      </c>
      <c r="BN175" s="16">
        <v>0</v>
      </c>
      <c r="BO175" s="16">
        <v>0</v>
      </c>
      <c r="BP175" s="16">
        <v>0</v>
      </c>
      <c r="BQ175" s="16">
        <v>0</v>
      </c>
      <c r="BR175" s="16">
        <v>0</v>
      </c>
      <c r="BS175" s="16">
        <v>0</v>
      </c>
      <c r="BT175" s="16">
        <v>0</v>
      </c>
      <c r="BU175" s="16">
        <v>0</v>
      </c>
      <c r="BV175" s="16">
        <v>0</v>
      </c>
      <c r="BW175" s="16">
        <v>0</v>
      </c>
      <c r="BX175" s="16">
        <v>0</v>
      </c>
      <c r="BY175" s="16">
        <f>SUM(BZ175+CS175)</f>
        <v>24052</v>
      </c>
      <c r="BZ175" s="16">
        <f>SUM(CA175+CD175+CK175)</f>
        <v>24052</v>
      </c>
      <c r="CA175" s="16">
        <f t="shared" si="169"/>
        <v>24052</v>
      </c>
      <c r="CB175" s="16">
        <v>0</v>
      </c>
      <c r="CC175" s="16">
        <v>24052</v>
      </c>
      <c r="CD175" s="16">
        <f t="shared" si="170"/>
        <v>0</v>
      </c>
      <c r="CE175" s="16">
        <v>0</v>
      </c>
      <c r="CF175" s="16">
        <v>0</v>
      </c>
      <c r="CG175" s="16">
        <v>0</v>
      </c>
      <c r="CH175" s="16">
        <v>0</v>
      </c>
      <c r="CI175" s="16">
        <v>0</v>
      </c>
      <c r="CJ175" s="16">
        <v>0</v>
      </c>
      <c r="CK175" s="16">
        <f t="shared" si="171"/>
        <v>0</v>
      </c>
      <c r="CL175" s="16">
        <v>0</v>
      </c>
      <c r="CM175" s="16">
        <v>0</v>
      </c>
      <c r="CN175" s="16">
        <v>0</v>
      </c>
      <c r="CO175" s="16">
        <v>0</v>
      </c>
      <c r="CP175" s="16">
        <v>0</v>
      </c>
      <c r="CQ175" s="16">
        <v>0</v>
      </c>
      <c r="CR175" s="16">
        <v>0</v>
      </c>
      <c r="CS175" s="16">
        <v>0</v>
      </c>
      <c r="CT175" s="16">
        <f t="shared" si="172"/>
        <v>0</v>
      </c>
      <c r="CU175" s="16">
        <f t="shared" si="173"/>
        <v>0</v>
      </c>
      <c r="CV175" s="16">
        <v>0</v>
      </c>
      <c r="CW175" s="17">
        <v>0</v>
      </c>
      <c r="CX175" s="40"/>
    </row>
    <row r="176" spans="1:102" ht="15.75" hidden="1" x14ac:dyDescent="0.25">
      <c r="A176" s="18" t="s">
        <v>207</v>
      </c>
      <c r="B176" s="19" t="s">
        <v>1</v>
      </c>
      <c r="C176" s="19" t="s">
        <v>1</v>
      </c>
      <c r="D176" s="31" t="s">
        <v>208</v>
      </c>
      <c r="E176" s="20">
        <f t="shared" ref="E176:BP176" si="218">SUM(E177+E178+E179+E183+E185+E187+E189+E191+E199)</f>
        <v>481796201</v>
      </c>
      <c r="F176" s="21">
        <f t="shared" si="218"/>
        <v>481469895</v>
      </c>
      <c r="G176" s="21">
        <f t="shared" si="218"/>
        <v>90558256</v>
      </c>
      <c r="H176" s="21">
        <f t="shared" si="218"/>
        <v>16183688</v>
      </c>
      <c r="I176" s="21">
        <f t="shared" si="218"/>
        <v>3438138</v>
      </c>
      <c r="J176" s="21">
        <f t="shared" si="218"/>
        <v>7852239</v>
      </c>
      <c r="K176" s="21">
        <f t="shared" si="218"/>
        <v>804378</v>
      </c>
      <c r="L176" s="21">
        <f t="shared" si="218"/>
        <v>1499420</v>
      </c>
      <c r="M176" s="21">
        <f t="shared" si="218"/>
        <v>4556859</v>
      </c>
      <c r="N176" s="21">
        <f t="shared" si="218"/>
        <v>0</v>
      </c>
      <c r="O176" s="21">
        <f t="shared" si="218"/>
        <v>937618</v>
      </c>
      <c r="P176" s="21">
        <f t="shared" si="218"/>
        <v>53964</v>
      </c>
      <c r="Q176" s="21">
        <f t="shared" si="218"/>
        <v>0</v>
      </c>
      <c r="R176" s="21">
        <f t="shared" si="218"/>
        <v>0</v>
      </c>
      <c r="S176" s="21">
        <f t="shared" si="218"/>
        <v>0</v>
      </c>
      <c r="T176" s="21">
        <f t="shared" si="218"/>
        <v>0</v>
      </c>
      <c r="U176" s="21">
        <f t="shared" si="218"/>
        <v>152822</v>
      </c>
      <c r="V176" s="21">
        <f t="shared" si="218"/>
        <v>62288932</v>
      </c>
      <c r="W176" s="21">
        <f t="shared" si="218"/>
        <v>66525</v>
      </c>
      <c r="X176" s="21">
        <f t="shared" si="218"/>
        <v>311975</v>
      </c>
      <c r="Y176" s="21">
        <f t="shared" si="218"/>
        <v>165990</v>
      </c>
      <c r="Z176" s="21">
        <f t="shared" si="218"/>
        <v>268733</v>
      </c>
      <c r="AA176" s="21">
        <f t="shared" si="218"/>
        <v>68943</v>
      </c>
      <c r="AB176" s="21">
        <f t="shared" si="218"/>
        <v>0</v>
      </c>
      <c r="AC176" s="21">
        <f t="shared" si="218"/>
        <v>61396038</v>
      </c>
      <c r="AD176" s="21">
        <f t="shared" si="218"/>
        <v>10728</v>
      </c>
      <c r="AE176" s="21">
        <f t="shared" si="218"/>
        <v>642437</v>
      </c>
      <c r="AF176" s="21">
        <f t="shared" si="218"/>
        <v>0</v>
      </c>
      <c r="AG176" s="21">
        <f t="shared" si="218"/>
        <v>0</v>
      </c>
      <c r="AH176" s="21">
        <f t="shared" si="218"/>
        <v>94902</v>
      </c>
      <c r="AI176" s="21">
        <f t="shared" si="218"/>
        <v>0</v>
      </c>
      <c r="AJ176" s="21">
        <f t="shared" si="218"/>
        <v>7955</v>
      </c>
      <c r="AK176" s="21">
        <f t="shared" si="218"/>
        <v>0</v>
      </c>
      <c r="AL176" s="21">
        <f t="shared" si="218"/>
        <v>165414</v>
      </c>
      <c r="AM176" s="21">
        <f t="shared" si="218"/>
        <v>0</v>
      </c>
      <c r="AN176" s="21">
        <f t="shared" si="218"/>
        <v>0</v>
      </c>
      <c r="AO176" s="21">
        <f t="shared" si="218"/>
        <v>0</v>
      </c>
      <c r="AP176" s="21">
        <f t="shared" si="218"/>
        <v>0</v>
      </c>
      <c r="AQ176" s="21">
        <f t="shared" si="218"/>
        <v>0</v>
      </c>
      <c r="AR176" s="21">
        <f t="shared" si="218"/>
        <v>30733</v>
      </c>
      <c r="AS176" s="21">
        <f t="shared" si="218"/>
        <v>145000</v>
      </c>
      <c r="AT176" s="21">
        <f t="shared" si="218"/>
        <v>0</v>
      </c>
      <c r="AU176" s="21">
        <f t="shared" si="218"/>
        <v>0</v>
      </c>
      <c r="AV176" s="21">
        <f t="shared" si="218"/>
        <v>174251</v>
      </c>
      <c r="AW176" s="21">
        <f t="shared" si="218"/>
        <v>23367</v>
      </c>
      <c r="AX176" s="21">
        <f t="shared" si="218"/>
        <v>0</v>
      </c>
      <c r="AY176" s="21">
        <f t="shared" si="218"/>
        <v>0</v>
      </c>
      <c r="AZ176" s="21">
        <f t="shared" si="218"/>
        <v>815</v>
      </c>
      <c r="BA176" s="21">
        <f t="shared" si="218"/>
        <v>390911639</v>
      </c>
      <c r="BB176" s="21">
        <f t="shared" si="218"/>
        <v>0</v>
      </c>
      <c r="BC176" s="21">
        <f t="shared" si="218"/>
        <v>0</v>
      </c>
      <c r="BD176" s="21">
        <f t="shared" si="218"/>
        <v>0</v>
      </c>
      <c r="BE176" s="21">
        <f t="shared" si="218"/>
        <v>0</v>
      </c>
      <c r="BF176" s="21">
        <f t="shared" si="218"/>
        <v>0</v>
      </c>
      <c r="BG176" s="21">
        <f t="shared" si="218"/>
        <v>0</v>
      </c>
      <c r="BH176" s="21">
        <f t="shared" si="218"/>
        <v>0</v>
      </c>
      <c r="BI176" s="21">
        <f t="shared" si="218"/>
        <v>0</v>
      </c>
      <c r="BJ176" s="21">
        <f t="shared" si="218"/>
        <v>0</v>
      </c>
      <c r="BK176" s="21">
        <f t="shared" si="218"/>
        <v>0</v>
      </c>
      <c r="BL176" s="21">
        <f t="shared" si="218"/>
        <v>0</v>
      </c>
      <c r="BM176" s="21">
        <f t="shared" si="218"/>
        <v>390911639</v>
      </c>
      <c r="BN176" s="21">
        <f t="shared" si="218"/>
        <v>59749651</v>
      </c>
      <c r="BO176" s="21">
        <f t="shared" si="218"/>
        <v>4583424</v>
      </c>
      <c r="BP176" s="21">
        <f t="shared" si="218"/>
        <v>0</v>
      </c>
      <c r="BQ176" s="21">
        <f t="shared" ref="BQ176:CW176" si="219">SUM(BQ177+BQ178+BQ179+BQ183+BQ185+BQ187+BQ189+BQ191+BQ199)</f>
        <v>14134363</v>
      </c>
      <c r="BR176" s="21">
        <f t="shared" si="219"/>
        <v>100000</v>
      </c>
      <c r="BS176" s="21">
        <f t="shared" si="219"/>
        <v>0</v>
      </c>
      <c r="BT176" s="21">
        <f t="shared" si="219"/>
        <v>167368528</v>
      </c>
      <c r="BU176" s="21">
        <f t="shared" si="219"/>
        <v>0</v>
      </c>
      <c r="BV176" s="21">
        <f t="shared" si="219"/>
        <v>230042</v>
      </c>
      <c r="BW176" s="21">
        <f t="shared" si="219"/>
        <v>125193738</v>
      </c>
      <c r="BX176" s="21">
        <f t="shared" si="219"/>
        <v>19551893</v>
      </c>
      <c r="BY176" s="21">
        <f t="shared" si="219"/>
        <v>326306</v>
      </c>
      <c r="BZ176" s="21">
        <f t="shared" si="219"/>
        <v>326306</v>
      </c>
      <c r="CA176" s="21">
        <f t="shared" si="219"/>
        <v>326306</v>
      </c>
      <c r="CB176" s="21">
        <f t="shared" si="219"/>
        <v>0</v>
      </c>
      <c r="CC176" s="21">
        <f t="shared" si="219"/>
        <v>326306</v>
      </c>
      <c r="CD176" s="21">
        <f t="shared" si="219"/>
        <v>0</v>
      </c>
      <c r="CE176" s="21">
        <f t="shared" si="219"/>
        <v>0</v>
      </c>
      <c r="CF176" s="21">
        <f t="shared" si="219"/>
        <v>0</v>
      </c>
      <c r="CG176" s="21">
        <f t="shared" si="219"/>
        <v>0</v>
      </c>
      <c r="CH176" s="21">
        <f t="shared" si="219"/>
        <v>0</v>
      </c>
      <c r="CI176" s="21">
        <f t="shared" si="219"/>
        <v>0</v>
      </c>
      <c r="CJ176" s="21">
        <f t="shared" si="219"/>
        <v>0</v>
      </c>
      <c r="CK176" s="21">
        <f t="shared" si="219"/>
        <v>0</v>
      </c>
      <c r="CL176" s="21">
        <f t="shared" si="219"/>
        <v>0</v>
      </c>
      <c r="CM176" s="21">
        <f t="shared" si="219"/>
        <v>0</v>
      </c>
      <c r="CN176" s="21">
        <f t="shared" si="219"/>
        <v>0</v>
      </c>
      <c r="CO176" s="21">
        <f t="shared" si="219"/>
        <v>0</v>
      </c>
      <c r="CP176" s="21">
        <f t="shared" si="219"/>
        <v>0</v>
      </c>
      <c r="CQ176" s="21">
        <f t="shared" si="219"/>
        <v>0</v>
      </c>
      <c r="CR176" s="21">
        <f t="shared" si="219"/>
        <v>0</v>
      </c>
      <c r="CS176" s="21">
        <f t="shared" si="219"/>
        <v>0</v>
      </c>
      <c r="CT176" s="21">
        <f t="shared" si="219"/>
        <v>0</v>
      </c>
      <c r="CU176" s="21">
        <f t="shared" si="219"/>
        <v>0</v>
      </c>
      <c r="CV176" s="21">
        <f t="shared" si="219"/>
        <v>0</v>
      </c>
      <c r="CW176" s="22">
        <f t="shared" si="219"/>
        <v>0</v>
      </c>
      <c r="CX176" s="40"/>
    </row>
    <row r="177" spans="1:102" ht="15.75" hidden="1" x14ac:dyDescent="0.25">
      <c r="A177" s="13" t="s">
        <v>209</v>
      </c>
      <c r="B177" s="14" t="s">
        <v>3</v>
      </c>
      <c r="C177" s="14" t="s">
        <v>1</v>
      </c>
      <c r="D177" s="30" t="s">
        <v>210</v>
      </c>
      <c r="E177" s="15">
        <f>SUM(F177+BY177+CT177)</f>
        <v>75295423</v>
      </c>
      <c r="F177" s="16">
        <f>SUM(G177+BA177)</f>
        <v>75295423</v>
      </c>
      <c r="G177" s="16">
        <f>SUM(H177+I177+J177+Q177+T177+U177+V177+AE177)</f>
        <v>0</v>
      </c>
      <c r="H177" s="16">
        <v>0</v>
      </c>
      <c r="I177" s="16">
        <v>0</v>
      </c>
      <c r="J177" s="16">
        <f t="shared" si="164"/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f t="shared" si="165"/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f>SUM(W177:AD177)</f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f>SUM(AF177:AZ177)</f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0</v>
      </c>
      <c r="AX177" s="16">
        <v>0</v>
      </c>
      <c r="AY177" s="16">
        <v>0</v>
      </c>
      <c r="AZ177" s="16">
        <v>0</v>
      </c>
      <c r="BA177" s="16">
        <f>SUM(BB177+BF177+BI177+BK177+BM177)</f>
        <v>75295423</v>
      </c>
      <c r="BB177" s="16">
        <f>SUM(BC177:BE177)</f>
        <v>0</v>
      </c>
      <c r="BC177" s="16">
        <v>0</v>
      </c>
      <c r="BD177" s="16">
        <v>0</v>
      </c>
      <c r="BE177" s="16">
        <v>0</v>
      </c>
      <c r="BF177" s="16">
        <f t="shared" si="166"/>
        <v>0</v>
      </c>
      <c r="BG177" s="16">
        <v>0</v>
      </c>
      <c r="BH177" s="16">
        <v>0</v>
      </c>
      <c r="BI177" s="16">
        <v>0</v>
      </c>
      <c r="BJ177" s="16">
        <v>0</v>
      </c>
      <c r="BK177" s="16">
        <f t="shared" si="167"/>
        <v>0</v>
      </c>
      <c r="BL177" s="16">
        <v>0</v>
      </c>
      <c r="BM177" s="16">
        <f t="shared" si="168"/>
        <v>75295423</v>
      </c>
      <c r="BN177" s="16">
        <f>58511780-12828985</f>
        <v>45682795</v>
      </c>
      <c r="BO177" s="16">
        <v>0</v>
      </c>
      <c r="BP177" s="16">
        <v>0</v>
      </c>
      <c r="BQ177" s="16">
        <v>0</v>
      </c>
      <c r="BR177" s="16">
        <v>0</v>
      </c>
      <c r="BS177" s="16">
        <v>0</v>
      </c>
      <c r="BT177" s="16">
        <v>0</v>
      </c>
      <c r="BU177" s="16">
        <v>0</v>
      </c>
      <c r="BV177" s="16">
        <v>0</v>
      </c>
      <c r="BW177" s="16">
        <f>35641937-7552558</f>
        <v>28089379</v>
      </c>
      <c r="BX177" s="16">
        <v>1523249</v>
      </c>
      <c r="BY177" s="16">
        <f>SUM(BZ177+CS177)</f>
        <v>0</v>
      </c>
      <c r="BZ177" s="16">
        <f>SUM(CA177+CD177+CK177)</f>
        <v>0</v>
      </c>
      <c r="CA177" s="16">
        <f t="shared" si="169"/>
        <v>0</v>
      </c>
      <c r="CB177" s="16">
        <v>0</v>
      </c>
      <c r="CC177" s="16">
        <v>0</v>
      </c>
      <c r="CD177" s="16">
        <f t="shared" si="170"/>
        <v>0</v>
      </c>
      <c r="CE177" s="16">
        <v>0</v>
      </c>
      <c r="CF177" s="16">
        <v>0</v>
      </c>
      <c r="CG177" s="16">
        <v>0</v>
      </c>
      <c r="CH177" s="16">
        <v>0</v>
      </c>
      <c r="CI177" s="16">
        <v>0</v>
      </c>
      <c r="CJ177" s="16">
        <v>0</v>
      </c>
      <c r="CK177" s="16">
        <f t="shared" si="171"/>
        <v>0</v>
      </c>
      <c r="CL177" s="16">
        <v>0</v>
      </c>
      <c r="CM177" s="16">
        <v>0</v>
      </c>
      <c r="CN177" s="16">
        <v>0</v>
      </c>
      <c r="CO177" s="16">
        <v>0</v>
      </c>
      <c r="CP177" s="16">
        <v>0</v>
      </c>
      <c r="CQ177" s="16">
        <v>0</v>
      </c>
      <c r="CR177" s="16">
        <v>0</v>
      </c>
      <c r="CS177" s="16">
        <v>0</v>
      </c>
      <c r="CT177" s="16">
        <f t="shared" si="172"/>
        <v>0</v>
      </c>
      <c r="CU177" s="16">
        <f t="shared" si="173"/>
        <v>0</v>
      </c>
      <c r="CV177" s="16">
        <v>0</v>
      </c>
      <c r="CW177" s="17">
        <v>0</v>
      </c>
      <c r="CX177" s="40"/>
    </row>
    <row r="178" spans="1:102" ht="31.5" hidden="1" x14ac:dyDescent="0.25">
      <c r="A178" s="13" t="s">
        <v>209</v>
      </c>
      <c r="B178" s="14" t="s">
        <v>7</v>
      </c>
      <c r="C178" s="14" t="s">
        <v>1</v>
      </c>
      <c r="D178" s="30" t="s">
        <v>212</v>
      </c>
      <c r="E178" s="15">
        <f>SUM(F178+BY178+CT178)</f>
        <v>14299052</v>
      </c>
      <c r="F178" s="16">
        <f>SUM(G178+BA178)</f>
        <v>14299052</v>
      </c>
      <c r="G178" s="16">
        <f>SUM(H178+I178+J178+Q178+T178+U178+V178+AE178)</f>
        <v>0</v>
      </c>
      <c r="H178" s="16">
        <v>0</v>
      </c>
      <c r="I178" s="16">
        <v>0</v>
      </c>
      <c r="J178" s="16">
        <f t="shared" si="164"/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f t="shared" si="165"/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f>SUM(W178:AD178)</f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f>SUM(AF178:AZ178)</f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f>SUM(BB178+BF178+BI178+BK178+BM178)</f>
        <v>14299052</v>
      </c>
      <c r="BB178" s="16">
        <f>SUM(BC178:BE178)</f>
        <v>0</v>
      </c>
      <c r="BC178" s="16">
        <v>0</v>
      </c>
      <c r="BD178" s="16">
        <v>0</v>
      </c>
      <c r="BE178" s="16">
        <v>0</v>
      </c>
      <c r="BF178" s="16">
        <f t="shared" si="166"/>
        <v>0</v>
      </c>
      <c r="BG178" s="16">
        <v>0</v>
      </c>
      <c r="BH178" s="16">
        <v>0</v>
      </c>
      <c r="BI178" s="16">
        <v>0</v>
      </c>
      <c r="BJ178" s="16">
        <v>0</v>
      </c>
      <c r="BK178" s="16">
        <f t="shared" si="167"/>
        <v>0</v>
      </c>
      <c r="BL178" s="16">
        <v>0</v>
      </c>
      <c r="BM178" s="16">
        <f t="shared" si="168"/>
        <v>14299052</v>
      </c>
      <c r="BN178" s="16">
        <v>14066856</v>
      </c>
      <c r="BO178" s="16">
        <v>0</v>
      </c>
      <c r="BP178" s="16">
        <v>0</v>
      </c>
      <c r="BQ178" s="16">
        <v>0</v>
      </c>
      <c r="BR178" s="16">
        <v>0</v>
      </c>
      <c r="BS178" s="16">
        <v>0</v>
      </c>
      <c r="BT178" s="16">
        <v>0</v>
      </c>
      <c r="BU178" s="16">
        <v>0</v>
      </c>
      <c r="BV178" s="16">
        <v>0</v>
      </c>
      <c r="BW178" s="16">
        <v>0</v>
      </c>
      <c r="BX178" s="16">
        <v>232196</v>
      </c>
      <c r="BY178" s="16">
        <f>SUM(BZ178+CS178)</f>
        <v>0</v>
      </c>
      <c r="BZ178" s="16">
        <f>SUM(CA178+CD178+CK178)</f>
        <v>0</v>
      </c>
      <c r="CA178" s="16">
        <f t="shared" si="169"/>
        <v>0</v>
      </c>
      <c r="CB178" s="16">
        <v>0</v>
      </c>
      <c r="CC178" s="16">
        <v>0</v>
      </c>
      <c r="CD178" s="16">
        <f t="shared" si="170"/>
        <v>0</v>
      </c>
      <c r="CE178" s="16">
        <v>0</v>
      </c>
      <c r="CF178" s="16">
        <v>0</v>
      </c>
      <c r="CG178" s="16">
        <v>0</v>
      </c>
      <c r="CH178" s="16">
        <v>0</v>
      </c>
      <c r="CI178" s="16">
        <v>0</v>
      </c>
      <c r="CJ178" s="16">
        <v>0</v>
      </c>
      <c r="CK178" s="16">
        <f t="shared" si="171"/>
        <v>0</v>
      </c>
      <c r="CL178" s="16">
        <v>0</v>
      </c>
      <c r="CM178" s="16">
        <v>0</v>
      </c>
      <c r="CN178" s="16">
        <v>0</v>
      </c>
      <c r="CO178" s="16">
        <v>0</v>
      </c>
      <c r="CP178" s="16">
        <v>0</v>
      </c>
      <c r="CQ178" s="16">
        <v>0</v>
      </c>
      <c r="CR178" s="16">
        <v>0</v>
      </c>
      <c r="CS178" s="16">
        <v>0</v>
      </c>
      <c r="CT178" s="16">
        <f t="shared" si="172"/>
        <v>0</v>
      </c>
      <c r="CU178" s="16">
        <f t="shared" si="173"/>
        <v>0</v>
      </c>
      <c r="CV178" s="16">
        <v>0</v>
      </c>
      <c r="CW178" s="17">
        <v>0</v>
      </c>
      <c r="CX178" s="40"/>
    </row>
    <row r="179" spans="1:102" ht="15.75" hidden="1" x14ac:dyDescent="0.25">
      <c r="A179" s="13" t="s">
        <v>209</v>
      </c>
      <c r="B179" s="14" t="s">
        <v>15</v>
      </c>
      <c r="C179" s="14" t="s">
        <v>1</v>
      </c>
      <c r="D179" s="30" t="s">
        <v>213</v>
      </c>
      <c r="E179" s="15">
        <f>SUM(E180:E182)</f>
        <v>27381631</v>
      </c>
      <c r="F179" s="16">
        <f t="shared" ref="F179:BS179" si="220">SUM(F180:F182)</f>
        <v>27111361</v>
      </c>
      <c r="G179" s="16">
        <f t="shared" si="220"/>
        <v>27111361</v>
      </c>
      <c r="H179" s="16">
        <f t="shared" si="220"/>
        <v>14738333</v>
      </c>
      <c r="I179" s="16">
        <f t="shared" si="220"/>
        <v>3251499</v>
      </c>
      <c r="J179" s="16">
        <f t="shared" si="220"/>
        <v>7527587</v>
      </c>
      <c r="K179" s="16">
        <f t="shared" si="220"/>
        <v>804378</v>
      </c>
      <c r="L179" s="16">
        <f t="shared" si="220"/>
        <v>1490914</v>
      </c>
      <c r="M179" s="16">
        <f t="shared" si="220"/>
        <v>4556859</v>
      </c>
      <c r="N179" s="16">
        <f t="shared" si="220"/>
        <v>0</v>
      </c>
      <c r="O179" s="16">
        <f t="shared" si="220"/>
        <v>621472</v>
      </c>
      <c r="P179" s="16">
        <f t="shared" si="220"/>
        <v>53964</v>
      </c>
      <c r="Q179" s="16">
        <f t="shared" si="220"/>
        <v>0</v>
      </c>
      <c r="R179" s="16">
        <f t="shared" si="220"/>
        <v>0</v>
      </c>
      <c r="S179" s="16">
        <f t="shared" si="220"/>
        <v>0</v>
      </c>
      <c r="T179" s="16">
        <f t="shared" si="220"/>
        <v>0</v>
      </c>
      <c r="U179" s="16">
        <f t="shared" si="220"/>
        <v>88835</v>
      </c>
      <c r="V179" s="16">
        <f t="shared" si="220"/>
        <v>892894</v>
      </c>
      <c r="W179" s="16">
        <f t="shared" si="220"/>
        <v>66525</v>
      </c>
      <c r="X179" s="16">
        <f t="shared" si="220"/>
        <v>311975</v>
      </c>
      <c r="Y179" s="16">
        <f t="shared" si="220"/>
        <v>165990</v>
      </c>
      <c r="Z179" s="16">
        <f t="shared" si="220"/>
        <v>268733</v>
      </c>
      <c r="AA179" s="16">
        <f t="shared" si="220"/>
        <v>68943</v>
      </c>
      <c r="AB179" s="16">
        <f t="shared" si="220"/>
        <v>0</v>
      </c>
      <c r="AC179" s="16">
        <f t="shared" si="220"/>
        <v>0</v>
      </c>
      <c r="AD179" s="16">
        <f t="shared" si="220"/>
        <v>10728</v>
      </c>
      <c r="AE179" s="16">
        <f t="shared" si="220"/>
        <v>612213</v>
      </c>
      <c r="AF179" s="16">
        <f t="shared" si="220"/>
        <v>0</v>
      </c>
      <c r="AG179" s="16">
        <f t="shared" si="220"/>
        <v>0</v>
      </c>
      <c r="AH179" s="16">
        <f t="shared" si="220"/>
        <v>94902</v>
      </c>
      <c r="AI179" s="16">
        <f t="shared" si="220"/>
        <v>0</v>
      </c>
      <c r="AJ179" s="16">
        <f t="shared" si="220"/>
        <v>7955</v>
      </c>
      <c r="AK179" s="16">
        <f t="shared" si="220"/>
        <v>0</v>
      </c>
      <c r="AL179" s="16">
        <f t="shared" si="220"/>
        <v>158557</v>
      </c>
      <c r="AM179" s="16">
        <f t="shared" si="220"/>
        <v>0</v>
      </c>
      <c r="AN179" s="16">
        <f t="shared" si="220"/>
        <v>0</v>
      </c>
      <c r="AO179" s="16">
        <f t="shared" si="220"/>
        <v>0</v>
      </c>
      <c r="AP179" s="16">
        <f>SUM(AP180:AP182)</f>
        <v>0</v>
      </c>
      <c r="AQ179" s="16">
        <f t="shared" si="220"/>
        <v>0</v>
      </c>
      <c r="AR179" s="16">
        <f t="shared" si="220"/>
        <v>30733</v>
      </c>
      <c r="AS179" s="16">
        <f t="shared" si="220"/>
        <v>145000</v>
      </c>
      <c r="AT179" s="16">
        <f t="shared" si="220"/>
        <v>0</v>
      </c>
      <c r="AU179" s="16">
        <f t="shared" si="220"/>
        <v>0</v>
      </c>
      <c r="AV179" s="16">
        <f t="shared" si="220"/>
        <v>174251</v>
      </c>
      <c r="AW179" s="16">
        <f t="shared" si="220"/>
        <v>0</v>
      </c>
      <c r="AX179" s="16">
        <f t="shared" si="220"/>
        <v>0</v>
      </c>
      <c r="AY179" s="16">
        <f t="shared" si="220"/>
        <v>0</v>
      </c>
      <c r="AZ179" s="16">
        <f t="shared" si="220"/>
        <v>815</v>
      </c>
      <c r="BA179" s="16">
        <f t="shared" si="220"/>
        <v>0</v>
      </c>
      <c r="BB179" s="16">
        <f t="shared" si="220"/>
        <v>0</v>
      </c>
      <c r="BC179" s="16">
        <f t="shared" si="220"/>
        <v>0</v>
      </c>
      <c r="BD179" s="16">
        <f t="shared" si="220"/>
        <v>0</v>
      </c>
      <c r="BE179" s="16">
        <f t="shared" si="220"/>
        <v>0</v>
      </c>
      <c r="BF179" s="16">
        <f t="shared" si="220"/>
        <v>0</v>
      </c>
      <c r="BG179" s="16">
        <f t="shared" si="220"/>
        <v>0</v>
      </c>
      <c r="BH179" s="16">
        <f t="shared" si="220"/>
        <v>0</v>
      </c>
      <c r="BI179" s="16">
        <f t="shared" si="220"/>
        <v>0</v>
      </c>
      <c r="BJ179" s="16">
        <f t="shared" si="220"/>
        <v>0</v>
      </c>
      <c r="BK179" s="16">
        <f t="shared" si="220"/>
        <v>0</v>
      </c>
      <c r="BL179" s="16">
        <f t="shared" si="220"/>
        <v>0</v>
      </c>
      <c r="BM179" s="16">
        <f t="shared" si="220"/>
        <v>0</v>
      </c>
      <c r="BN179" s="16">
        <f t="shared" si="220"/>
        <v>0</v>
      </c>
      <c r="BO179" s="16">
        <f t="shared" si="220"/>
        <v>0</v>
      </c>
      <c r="BP179" s="16">
        <f t="shared" si="220"/>
        <v>0</v>
      </c>
      <c r="BQ179" s="16">
        <f t="shared" si="220"/>
        <v>0</v>
      </c>
      <c r="BR179" s="16">
        <f t="shared" si="220"/>
        <v>0</v>
      </c>
      <c r="BS179" s="16">
        <f t="shared" si="220"/>
        <v>0</v>
      </c>
      <c r="BT179" s="16">
        <f t="shared" ref="BT179:CW179" si="221">SUM(BT180:BT182)</f>
        <v>0</v>
      </c>
      <c r="BU179" s="16">
        <f t="shared" si="221"/>
        <v>0</v>
      </c>
      <c r="BV179" s="16">
        <f t="shared" si="221"/>
        <v>0</v>
      </c>
      <c r="BW179" s="16">
        <f t="shared" si="221"/>
        <v>0</v>
      </c>
      <c r="BX179" s="16">
        <f t="shared" si="221"/>
        <v>0</v>
      </c>
      <c r="BY179" s="16">
        <f t="shared" si="221"/>
        <v>270270</v>
      </c>
      <c r="BZ179" s="16">
        <f t="shared" si="221"/>
        <v>270270</v>
      </c>
      <c r="CA179" s="16">
        <f t="shared" si="221"/>
        <v>270270</v>
      </c>
      <c r="CB179" s="16">
        <f t="shared" si="221"/>
        <v>0</v>
      </c>
      <c r="CC179" s="16">
        <f t="shared" si="221"/>
        <v>270270</v>
      </c>
      <c r="CD179" s="16">
        <f t="shared" si="221"/>
        <v>0</v>
      </c>
      <c r="CE179" s="16">
        <f t="shared" si="221"/>
        <v>0</v>
      </c>
      <c r="CF179" s="16">
        <f>SUM(CF180:CF182)</f>
        <v>0</v>
      </c>
      <c r="CG179" s="16">
        <f t="shared" si="221"/>
        <v>0</v>
      </c>
      <c r="CH179" s="16">
        <f t="shared" si="221"/>
        <v>0</v>
      </c>
      <c r="CI179" s="16">
        <f t="shared" si="221"/>
        <v>0</v>
      </c>
      <c r="CJ179" s="16">
        <f t="shared" si="221"/>
        <v>0</v>
      </c>
      <c r="CK179" s="16">
        <f t="shared" si="221"/>
        <v>0</v>
      </c>
      <c r="CL179" s="16">
        <f t="shared" si="221"/>
        <v>0</v>
      </c>
      <c r="CM179" s="16">
        <f>SUM(CM180:CM182)</f>
        <v>0</v>
      </c>
      <c r="CN179" s="16">
        <f t="shared" si="221"/>
        <v>0</v>
      </c>
      <c r="CO179" s="16">
        <f t="shared" si="221"/>
        <v>0</v>
      </c>
      <c r="CP179" s="16">
        <f t="shared" si="221"/>
        <v>0</v>
      </c>
      <c r="CQ179" s="16">
        <f t="shared" si="221"/>
        <v>0</v>
      </c>
      <c r="CR179" s="16">
        <f t="shared" si="221"/>
        <v>0</v>
      </c>
      <c r="CS179" s="16">
        <f t="shared" si="221"/>
        <v>0</v>
      </c>
      <c r="CT179" s="16">
        <f t="shared" si="221"/>
        <v>0</v>
      </c>
      <c r="CU179" s="16">
        <f t="shared" si="221"/>
        <v>0</v>
      </c>
      <c r="CV179" s="16">
        <f t="shared" si="221"/>
        <v>0</v>
      </c>
      <c r="CW179" s="17">
        <f t="shared" si="221"/>
        <v>0</v>
      </c>
      <c r="CX179" s="40"/>
    </row>
    <row r="180" spans="1:102" ht="15.75" hidden="1" x14ac:dyDescent="0.25">
      <c r="A180" s="13" t="s">
        <v>1</v>
      </c>
      <c r="B180" s="14" t="s">
        <v>1</v>
      </c>
      <c r="C180" s="14" t="s">
        <v>19</v>
      </c>
      <c r="D180" s="30" t="s">
        <v>214</v>
      </c>
      <c r="E180" s="15">
        <f>SUM(F180+BY180+CT180)</f>
        <v>4604588</v>
      </c>
      <c r="F180" s="16">
        <f>SUM(G180+BA180)</f>
        <v>4553323</v>
      </c>
      <c r="G180" s="16">
        <f>SUM(H180+I180+J180+Q180+T180+U180+V180+AE180)</f>
        <v>4553323</v>
      </c>
      <c r="H180" s="16">
        <v>2776462</v>
      </c>
      <c r="I180" s="16">
        <v>646150</v>
      </c>
      <c r="J180" s="16">
        <f t="shared" si="164"/>
        <v>925348</v>
      </c>
      <c r="K180" s="16">
        <v>88148</v>
      </c>
      <c r="L180" s="16">
        <v>87580</v>
      </c>
      <c r="M180" s="16">
        <v>607263</v>
      </c>
      <c r="N180" s="16">
        <v>0</v>
      </c>
      <c r="O180" s="16">
        <v>130196</v>
      </c>
      <c r="P180" s="16">
        <v>12161</v>
      </c>
      <c r="Q180" s="16">
        <f t="shared" si="165"/>
        <v>0</v>
      </c>
      <c r="R180" s="16">
        <v>0</v>
      </c>
      <c r="S180" s="16">
        <v>0</v>
      </c>
      <c r="T180" s="16">
        <v>0</v>
      </c>
      <c r="U180" s="16">
        <v>17869</v>
      </c>
      <c r="V180" s="16">
        <f>SUM(W180:AD180)</f>
        <v>59489</v>
      </c>
      <c r="W180" s="16">
        <v>5364</v>
      </c>
      <c r="X180" s="16">
        <v>12360</v>
      </c>
      <c r="Y180" s="16">
        <v>19773</v>
      </c>
      <c r="Z180" s="16">
        <v>11762</v>
      </c>
      <c r="AA180" s="16">
        <v>6018</v>
      </c>
      <c r="AB180" s="16">
        <v>0</v>
      </c>
      <c r="AC180" s="16">
        <v>0</v>
      </c>
      <c r="AD180" s="16">
        <v>4212</v>
      </c>
      <c r="AE180" s="16">
        <f>SUM(AF180:AZ180)</f>
        <v>128005</v>
      </c>
      <c r="AF180" s="16">
        <v>0</v>
      </c>
      <c r="AG180" s="16">
        <v>0</v>
      </c>
      <c r="AH180" s="16">
        <v>7391</v>
      </c>
      <c r="AI180" s="16">
        <v>0</v>
      </c>
      <c r="AJ180" s="16">
        <v>1591</v>
      </c>
      <c r="AK180" s="16">
        <v>0</v>
      </c>
      <c r="AL180" s="16">
        <v>30290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30733</v>
      </c>
      <c r="AS180" s="16">
        <v>58000</v>
      </c>
      <c r="AT180" s="16">
        <v>0</v>
      </c>
      <c r="AU180" s="16">
        <v>0</v>
      </c>
      <c r="AV180" s="16">
        <v>0</v>
      </c>
      <c r="AW180" s="16">
        <v>0</v>
      </c>
      <c r="AX180" s="16">
        <v>0</v>
      </c>
      <c r="AY180" s="16">
        <v>0</v>
      </c>
      <c r="AZ180" s="16">
        <v>0</v>
      </c>
      <c r="BA180" s="16">
        <f>SUM(BB180+BF180+BI180+BK180+BM180)</f>
        <v>0</v>
      </c>
      <c r="BB180" s="16">
        <f>SUM(BC180:BE180)</f>
        <v>0</v>
      </c>
      <c r="BC180" s="16">
        <v>0</v>
      </c>
      <c r="BD180" s="16">
        <v>0</v>
      </c>
      <c r="BE180" s="16">
        <v>0</v>
      </c>
      <c r="BF180" s="16">
        <f t="shared" si="166"/>
        <v>0</v>
      </c>
      <c r="BG180" s="16">
        <v>0</v>
      </c>
      <c r="BH180" s="16">
        <v>0</v>
      </c>
      <c r="BI180" s="16">
        <v>0</v>
      </c>
      <c r="BJ180" s="16">
        <v>0</v>
      </c>
      <c r="BK180" s="16">
        <f t="shared" si="167"/>
        <v>0</v>
      </c>
      <c r="BL180" s="16">
        <v>0</v>
      </c>
      <c r="BM180" s="16">
        <f t="shared" si="168"/>
        <v>0</v>
      </c>
      <c r="BN180" s="16">
        <v>0</v>
      </c>
      <c r="BO180" s="16">
        <v>0</v>
      </c>
      <c r="BP180" s="16">
        <v>0</v>
      </c>
      <c r="BQ180" s="16">
        <v>0</v>
      </c>
      <c r="BR180" s="16">
        <v>0</v>
      </c>
      <c r="BS180" s="16">
        <v>0</v>
      </c>
      <c r="BT180" s="16">
        <v>0</v>
      </c>
      <c r="BU180" s="16">
        <v>0</v>
      </c>
      <c r="BV180" s="16">
        <v>0</v>
      </c>
      <c r="BW180" s="16">
        <v>0</v>
      </c>
      <c r="BX180" s="16">
        <v>0</v>
      </c>
      <c r="BY180" s="16">
        <f>SUM(BZ180+CS180)</f>
        <v>51265</v>
      </c>
      <c r="BZ180" s="16">
        <f>SUM(CA180+CD180+CK180)</f>
        <v>51265</v>
      </c>
      <c r="CA180" s="16">
        <f t="shared" si="169"/>
        <v>51265</v>
      </c>
      <c r="CB180" s="16">
        <v>0</v>
      </c>
      <c r="CC180" s="16">
        <v>51265</v>
      </c>
      <c r="CD180" s="16">
        <f t="shared" si="170"/>
        <v>0</v>
      </c>
      <c r="CE180" s="16">
        <v>0</v>
      </c>
      <c r="CF180" s="16">
        <v>0</v>
      </c>
      <c r="CG180" s="16">
        <v>0</v>
      </c>
      <c r="CH180" s="16">
        <v>0</v>
      </c>
      <c r="CI180" s="16">
        <v>0</v>
      </c>
      <c r="CJ180" s="16">
        <v>0</v>
      </c>
      <c r="CK180" s="16">
        <f t="shared" si="171"/>
        <v>0</v>
      </c>
      <c r="CL180" s="16">
        <v>0</v>
      </c>
      <c r="CM180" s="16">
        <v>0</v>
      </c>
      <c r="CN180" s="16">
        <v>0</v>
      </c>
      <c r="CO180" s="16">
        <v>0</v>
      </c>
      <c r="CP180" s="16">
        <v>0</v>
      </c>
      <c r="CQ180" s="16">
        <v>0</v>
      </c>
      <c r="CR180" s="16">
        <v>0</v>
      </c>
      <c r="CS180" s="16">
        <v>0</v>
      </c>
      <c r="CT180" s="16">
        <f t="shared" si="172"/>
        <v>0</v>
      </c>
      <c r="CU180" s="16">
        <f t="shared" si="173"/>
        <v>0</v>
      </c>
      <c r="CV180" s="16">
        <v>0</v>
      </c>
      <c r="CW180" s="17">
        <v>0</v>
      </c>
      <c r="CX180" s="40"/>
    </row>
    <row r="181" spans="1:102" ht="31.5" hidden="1" x14ac:dyDescent="0.25">
      <c r="A181" s="13" t="s">
        <v>1</v>
      </c>
      <c r="B181" s="14" t="s">
        <v>1</v>
      </c>
      <c r="C181" s="14" t="s">
        <v>19</v>
      </c>
      <c r="D181" s="30" t="s">
        <v>215</v>
      </c>
      <c r="E181" s="15">
        <f>SUM(F181+BY181+CT181)</f>
        <v>22053208</v>
      </c>
      <c r="F181" s="16">
        <f>SUM(G181+BA181)</f>
        <v>21846681</v>
      </c>
      <c r="G181" s="16">
        <f>SUM(H181+I181+J181+Q181+T181+U181+V181+AE181)</f>
        <v>21846681</v>
      </c>
      <c r="H181" s="16">
        <f>11060244+373100</f>
        <v>11433344</v>
      </c>
      <c r="I181" s="16">
        <v>2493914</v>
      </c>
      <c r="J181" s="16">
        <f t="shared" si="164"/>
        <v>6551501</v>
      </c>
      <c r="K181" s="16">
        <v>716230</v>
      </c>
      <c r="L181" s="16">
        <v>1403334</v>
      </c>
      <c r="M181" s="16">
        <v>3949596</v>
      </c>
      <c r="N181" s="16">
        <v>0</v>
      </c>
      <c r="O181" s="16">
        <v>441677</v>
      </c>
      <c r="P181" s="16">
        <v>40664</v>
      </c>
      <c r="Q181" s="16">
        <f t="shared" si="165"/>
        <v>0</v>
      </c>
      <c r="R181" s="16">
        <v>0</v>
      </c>
      <c r="S181" s="16">
        <v>0</v>
      </c>
      <c r="T181" s="16">
        <v>0</v>
      </c>
      <c r="U181" s="16">
        <v>60191</v>
      </c>
      <c r="V181" s="16">
        <f>SUM(W181:AD181)</f>
        <v>832174</v>
      </c>
      <c r="W181" s="16">
        <v>61161</v>
      </c>
      <c r="X181" s="16">
        <v>298806</v>
      </c>
      <c r="Y181" s="16">
        <v>145923</v>
      </c>
      <c r="Z181" s="16">
        <v>256843</v>
      </c>
      <c r="AA181" s="16">
        <v>62925</v>
      </c>
      <c r="AB181" s="16">
        <v>0</v>
      </c>
      <c r="AC181" s="16">
        <v>0</v>
      </c>
      <c r="AD181" s="16">
        <v>6516</v>
      </c>
      <c r="AE181" s="16">
        <f>SUM(AF181:AZ181)</f>
        <v>475557</v>
      </c>
      <c r="AF181" s="16">
        <v>0</v>
      </c>
      <c r="AG181" s="16">
        <v>0</v>
      </c>
      <c r="AH181" s="16">
        <v>86793</v>
      </c>
      <c r="AI181" s="16">
        <v>0</v>
      </c>
      <c r="AJ181" s="16">
        <v>4773</v>
      </c>
      <c r="AK181" s="16">
        <v>0</v>
      </c>
      <c r="AL181" s="16">
        <v>122028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87000</v>
      </c>
      <c r="AT181" s="16">
        <v>0</v>
      </c>
      <c r="AU181" s="16">
        <v>0</v>
      </c>
      <c r="AV181" s="16">
        <v>174251</v>
      </c>
      <c r="AW181" s="16">
        <v>0</v>
      </c>
      <c r="AX181" s="16">
        <v>0</v>
      </c>
      <c r="AY181" s="16">
        <v>0</v>
      </c>
      <c r="AZ181" s="16">
        <v>712</v>
      </c>
      <c r="BA181" s="16">
        <f>SUM(BB181+BF181+BI181+BK181+BM181)</f>
        <v>0</v>
      </c>
      <c r="BB181" s="16">
        <f>SUM(BC181:BE181)</f>
        <v>0</v>
      </c>
      <c r="BC181" s="16">
        <v>0</v>
      </c>
      <c r="BD181" s="16">
        <v>0</v>
      </c>
      <c r="BE181" s="16">
        <v>0</v>
      </c>
      <c r="BF181" s="16">
        <f t="shared" si="166"/>
        <v>0</v>
      </c>
      <c r="BG181" s="16">
        <v>0</v>
      </c>
      <c r="BH181" s="16">
        <v>0</v>
      </c>
      <c r="BI181" s="16">
        <v>0</v>
      </c>
      <c r="BJ181" s="16">
        <v>0</v>
      </c>
      <c r="BK181" s="16">
        <f t="shared" si="167"/>
        <v>0</v>
      </c>
      <c r="BL181" s="16">
        <v>0</v>
      </c>
      <c r="BM181" s="16">
        <f t="shared" si="168"/>
        <v>0</v>
      </c>
      <c r="BN181" s="16">
        <v>0</v>
      </c>
      <c r="BO181" s="16">
        <v>0</v>
      </c>
      <c r="BP181" s="16">
        <v>0</v>
      </c>
      <c r="BQ181" s="16">
        <v>0</v>
      </c>
      <c r="BR181" s="16">
        <v>0</v>
      </c>
      <c r="BS181" s="16">
        <v>0</v>
      </c>
      <c r="BT181" s="16">
        <v>0</v>
      </c>
      <c r="BU181" s="16">
        <v>0</v>
      </c>
      <c r="BV181" s="16">
        <v>0</v>
      </c>
      <c r="BW181" s="16">
        <v>0</v>
      </c>
      <c r="BX181" s="16">
        <v>0</v>
      </c>
      <c r="BY181" s="16">
        <f>SUM(BZ181+CS181)</f>
        <v>206527</v>
      </c>
      <c r="BZ181" s="16">
        <f>SUM(CA181+CD181+CK181)</f>
        <v>206527</v>
      </c>
      <c r="CA181" s="16">
        <f t="shared" si="169"/>
        <v>206527</v>
      </c>
      <c r="CB181" s="16">
        <v>0</v>
      </c>
      <c r="CC181" s="16">
        <v>206527</v>
      </c>
      <c r="CD181" s="16">
        <f t="shared" si="170"/>
        <v>0</v>
      </c>
      <c r="CE181" s="16">
        <v>0</v>
      </c>
      <c r="CF181" s="16">
        <v>0</v>
      </c>
      <c r="CG181" s="16">
        <v>0</v>
      </c>
      <c r="CH181" s="16">
        <v>0</v>
      </c>
      <c r="CI181" s="16">
        <v>0</v>
      </c>
      <c r="CJ181" s="16">
        <v>0</v>
      </c>
      <c r="CK181" s="16">
        <f t="shared" si="171"/>
        <v>0</v>
      </c>
      <c r="CL181" s="16">
        <v>0</v>
      </c>
      <c r="CM181" s="16">
        <v>0</v>
      </c>
      <c r="CN181" s="16">
        <v>0</v>
      </c>
      <c r="CO181" s="16">
        <v>0</v>
      </c>
      <c r="CP181" s="16">
        <v>0</v>
      </c>
      <c r="CQ181" s="16">
        <v>0</v>
      </c>
      <c r="CR181" s="16">
        <v>0</v>
      </c>
      <c r="CS181" s="16">
        <v>0</v>
      </c>
      <c r="CT181" s="16">
        <f t="shared" si="172"/>
        <v>0</v>
      </c>
      <c r="CU181" s="16">
        <f t="shared" si="173"/>
        <v>0</v>
      </c>
      <c r="CV181" s="16">
        <v>0</v>
      </c>
      <c r="CW181" s="17">
        <v>0</v>
      </c>
      <c r="CX181" s="40"/>
    </row>
    <row r="182" spans="1:102" ht="31.5" hidden="1" x14ac:dyDescent="0.25">
      <c r="A182" s="13" t="s">
        <v>1</v>
      </c>
      <c r="B182" s="14" t="s">
        <v>1</v>
      </c>
      <c r="C182" s="14" t="s">
        <v>19</v>
      </c>
      <c r="D182" s="30" t="s">
        <v>216</v>
      </c>
      <c r="E182" s="15">
        <f>SUM(F182+BY182+CT182)</f>
        <v>723835</v>
      </c>
      <c r="F182" s="16">
        <f>SUM(G182+BA182)</f>
        <v>711357</v>
      </c>
      <c r="G182" s="16">
        <f>SUM(H182+I182+J182+Q182+T182+U182+V182+AE182)</f>
        <v>711357</v>
      </c>
      <c r="H182" s="16">
        <v>528527</v>
      </c>
      <c r="I182" s="16">
        <v>111435</v>
      </c>
      <c r="J182" s="16">
        <f t="shared" si="164"/>
        <v>50738</v>
      </c>
      <c r="K182" s="16">
        <v>0</v>
      </c>
      <c r="L182" s="16">
        <v>0</v>
      </c>
      <c r="M182" s="16">
        <v>0</v>
      </c>
      <c r="N182" s="16">
        <v>0</v>
      </c>
      <c r="O182" s="16">
        <v>49599</v>
      </c>
      <c r="P182" s="16">
        <v>1139</v>
      </c>
      <c r="Q182" s="16">
        <f t="shared" si="165"/>
        <v>0</v>
      </c>
      <c r="R182" s="16">
        <v>0</v>
      </c>
      <c r="S182" s="16">
        <v>0</v>
      </c>
      <c r="T182" s="16">
        <v>0</v>
      </c>
      <c r="U182" s="16">
        <v>10775</v>
      </c>
      <c r="V182" s="16">
        <f>SUM(W182:AD182)</f>
        <v>1231</v>
      </c>
      <c r="W182" s="16">
        <v>0</v>
      </c>
      <c r="X182" s="16">
        <v>809</v>
      </c>
      <c r="Y182" s="16">
        <v>294</v>
      </c>
      <c r="Z182" s="16">
        <v>128</v>
      </c>
      <c r="AA182" s="16">
        <v>0</v>
      </c>
      <c r="AB182" s="16">
        <v>0</v>
      </c>
      <c r="AC182" s="16">
        <v>0</v>
      </c>
      <c r="AD182" s="16">
        <v>0</v>
      </c>
      <c r="AE182" s="16">
        <f>SUM(AF182:AZ182)</f>
        <v>8651</v>
      </c>
      <c r="AF182" s="16">
        <v>0</v>
      </c>
      <c r="AG182" s="16">
        <v>0</v>
      </c>
      <c r="AH182" s="16">
        <v>718</v>
      </c>
      <c r="AI182" s="16">
        <v>0</v>
      </c>
      <c r="AJ182" s="16">
        <v>1591</v>
      </c>
      <c r="AK182" s="16">
        <v>0</v>
      </c>
      <c r="AL182" s="16">
        <v>6239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</v>
      </c>
      <c r="AZ182" s="16">
        <v>103</v>
      </c>
      <c r="BA182" s="16">
        <f>SUM(BB182+BF182+BI182+BK182+BM182)</f>
        <v>0</v>
      </c>
      <c r="BB182" s="16">
        <f>SUM(BC182:BE182)</f>
        <v>0</v>
      </c>
      <c r="BC182" s="16">
        <v>0</v>
      </c>
      <c r="BD182" s="16">
        <v>0</v>
      </c>
      <c r="BE182" s="16">
        <v>0</v>
      </c>
      <c r="BF182" s="16">
        <f t="shared" si="166"/>
        <v>0</v>
      </c>
      <c r="BG182" s="16">
        <v>0</v>
      </c>
      <c r="BH182" s="16">
        <v>0</v>
      </c>
      <c r="BI182" s="16">
        <v>0</v>
      </c>
      <c r="BJ182" s="16">
        <v>0</v>
      </c>
      <c r="BK182" s="16">
        <f t="shared" si="167"/>
        <v>0</v>
      </c>
      <c r="BL182" s="16">
        <v>0</v>
      </c>
      <c r="BM182" s="16">
        <f t="shared" si="168"/>
        <v>0</v>
      </c>
      <c r="BN182" s="16">
        <v>0</v>
      </c>
      <c r="BO182" s="16">
        <v>0</v>
      </c>
      <c r="BP182" s="16">
        <v>0</v>
      </c>
      <c r="BQ182" s="16">
        <v>0</v>
      </c>
      <c r="BR182" s="16">
        <v>0</v>
      </c>
      <c r="BS182" s="16">
        <v>0</v>
      </c>
      <c r="BT182" s="16">
        <v>0</v>
      </c>
      <c r="BU182" s="16">
        <v>0</v>
      </c>
      <c r="BV182" s="16">
        <v>0</v>
      </c>
      <c r="BW182" s="16">
        <v>0</v>
      </c>
      <c r="BX182" s="16">
        <v>0</v>
      </c>
      <c r="BY182" s="16">
        <f>SUM(BZ182+CS182)</f>
        <v>12478</v>
      </c>
      <c r="BZ182" s="16">
        <f>SUM(CA182+CD182+CK182)</f>
        <v>12478</v>
      </c>
      <c r="CA182" s="16">
        <f t="shared" si="169"/>
        <v>12478</v>
      </c>
      <c r="CB182" s="16">
        <v>0</v>
      </c>
      <c r="CC182" s="16">
        <v>12478</v>
      </c>
      <c r="CD182" s="16">
        <f t="shared" si="170"/>
        <v>0</v>
      </c>
      <c r="CE182" s="16">
        <v>0</v>
      </c>
      <c r="CF182" s="16">
        <v>0</v>
      </c>
      <c r="CG182" s="16">
        <v>0</v>
      </c>
      <c r="CH182" s="16">
        <v>0</v>
      </c>
      <c r="CI182" s="16">
        <v>0</v>
      </c>
      <c r="CJ182" s="16">
        <v>0</v>
      </c>
      <c r="CK182" s="16">
        <f t="shared" si="171"/>
        <v>0</v>
      </c>
      <c r="CL182" s="16">
        <v>0</v>
      </c>
      <c r="CM182" s="16">
        <v>0</v>
      </c>
      <c r="CN182" s="16">
        <v>0</v>
      </c>
      <c r="CO182" s="16">
        <v>0</v>
      </c>
      <c r="CP182" s="16">
        <v>0</v>
      </c>
      <c r="CQ182" s="16">
        <v>0</v>
      </c>
      <c r="CR182" s="16">
        <v>0</v>
      </c>
      <c r="CS182" s="16">
        <v>0</v>
      </c>
      <c r="CT182" s="16">
        <f t="shared" si="172"/>
        <v>0</v>
      </c>
      <c r="CU182" s="16">
        <f t="shared" si="173"/>
        <v>0</v>
      </c>
      <c r="CV182" s="16">
        <v>0</v>
      </c>
      <c r="CW182" s="17">
        <v>0</v>
      </c>
      <c r="CX182" s="40"/>
    </row>
    <row r="183" spans="1:102" ht="15.75" hidden="1" x14ac:dyDescent="0.25">
      <c r="A183" s="13" t="s">
        <v>209</v>
      </c>
      <c r="B183" s="14" t="s">
        <v>47</v>
      </c>
      <c r="C183" s="14" t="s">
        <v>1</v>
      </c>
      <c r="D183" s="30" t="s">
        <v>217</v>
      </c>
      <c r="E183" s="15">
        <f>SUM(E184)</f>
        <v>196397239</v>
      </c>
      <c r="F183" s="16">
        <f t="shared" ref="F183:BS183" si="222">SUM(F184)</f>
        <v>196397239</v>
      </c>
      <c r="G183" s="16">
        <f t="shared" si="222"/>
        <v>0</v>
      </c>
      <c r="H183" s="16">
        <f t="shared" si="222"/>
        <v>0</v>
      </c>
      <c r="I183" s="16">
        <f t="shared" si="222"/>
        <v>0</v>
      </c>
      <c r="J183" s="16">
        <f t="shared" si="222"/>
        <v>0</v>
      </c>
      <c r="K183" s="16">
        <f t="shared" si="222"/>
        <v>0</v>
      </c>
      <c r="L183" s="16">
        <f t="shared" si="222"/>
        <v>0</v>
      </c>
      <c r="M183" s="16">
        <f t="shared" si="222"/>
        <v>0</v>
      </c>
      <c r="N183" s="16">
        <f t="shared" si="222"/>
        <v>0</v>
      </c>
      <c r="O183" s="16">
        <f t="shared" si="222"/>
        <v>0</v>
      </c>
      <c r="P183" s="16">
        <f t="shared" si="222"/>
        <v>0</v>
      </c>
      <c r="Q183" s="16">
        <f t="shared" si="222"/>
        <v>0</v>
      </c>
      <c r="R183" s="16">
        <f t="shared" si="222"/>
        <v>0</v>
      </c>
      <c r="S183" s="16">
        <f t="shared" si="222"/>
        <v>0</v>
      </c>
      <c r="T183" s="16">
        <f t="shared" si="222"/>
        <v>0</v>
      </c>
      <c r="U183" s="16">
        <f t="shared" si="222"/>
        <v>0</v>
      </c>
      <c r="V183" s="16">
        <f t="shared" si="222"/>
        <v>0</v>
      </c>
      <c r="W183" s="16">
        <f t="shared" si="222"/>
        <v>0</v>
      </c>
      <c r="X183" s="16">
        <f t="shared" si="222"/>
        <v>0</v>
      </c>
      <c r="Y183" s="16">
        <f t="shared" si="222"/>
        <v>0</v>
      </c>
      <c r="Z183" s="16">
        <f t="shared" si="222"/>
        <v>0</v>
      </c>
      <c r="AA183" s="16">
        <f t="shared" si="222"/>
        <v>0</v>
      </c>
      <c r="AB183" s="16">
        <f t="shared" si="222"/>
        <v>0</v>
      </c>
      <c r="AC183" s="16">
        <f t="shared" si="222"/>
        <v>0</v>
      </c>
      <c r="AD183" s="16">
        <f t="shared" si="222"/>
        <v>0</v>
      </c>
      <c r="AE183" s="16">
        <f t="shared" si="222"/>
        <v>0</v>
      </c>
      <c r="AF183" s="16">
        <f t="shared" si="222"/>
        <v>0</v>
      </c>
      <c r="AG183" s="16">
        <f t="shared" si="222"/>
        <v>0</v>
      </c>
      <c r="AH183" s="16">
        <f t="shared" si="222"/>
        <v>0</v>
      </c>
      <c r="AI183" s="16">
        <f t="shared" si="222"/>
        <v>0</v>
      </c>
      <c r="AJ183" s="16">
        <f t="shared" si="222"/>
        <v>0</v>
      </c>
      <c r="AK183" s="16">
        <f t="shared" si="222"/>
        <v>0</v>
      </c>
      <c r="AL183" s="16">
        <f t="shared" si="222"/>
        <v>0</v>
      </c>
      <c r="AM183" s="16">
        <f t="shared" si="222"/>
        <v>0</v>
      </c>
      <c r="AN183" s="16">
        <f t="shared" si="222"/>
        <v>0</v>
      </c>
      <c r="AO183" s="16">
        <f t="shared" si="222"/>
        <v>0</v>
      </c>
      <c r="AP183" s="16">
        <f t="shared" si="222"/>
        <v>0</v>
      </c>
      <c r="AQ183" s="16">
        <f t="shared" si="222"/>
        <v>0</v>
      </c>
      <c r="AR183" s="16">
        <f t="shared" si="222"/>
        <v>0</v>
      </c>
      <c r="AS183" s="16">
        <f t="shared" si="222"/>
        <v>0</v>
      </c>
      <c r="AT183" s="16">
        <f t="shared" si="222"/>
        <v>0</v>
      </c>
      <c r="AU183" s="16">
        <f t="shared" si="222"/>
        <v>0</v>
      </c>
      <c r="AV183" s="16">
        <f t="shared" si="222"/>
        <v>0</v>
      </c>
      <c r="AW183" s="16">
        <f t="shared" si="222"/>
        <v>0</v>
      </c>
      <c r="AX183" s="16">
        <f t="shared" si="222"/>
        <v>0</v>
      </c>
      <c r="AY183" s="16">
        <f t="shared" si="222"/>
        <v>0</v>
      </c>
      <c r="AZ183" s="16">
        <f t="shared" si="222"/>
        <v>0</v>
      </c>
      <c r="BA183" s="16">
        <f t="shared" si="222"/>
        <v>196397239</v>
      </c>
      <c r="BB183" s="16">
        <f t="shared" si="222"/>
        <v>0</v>
      </c>
      <c r="BC183" s="16">
        <f t="shared" si="222"/>
        <v>0</v>
      </c>
      <c r="BD183" s="16">
        <f t="shared" si="222"/>
        <v>0</v>
      </c>
      <c r="BE183" s="16">
        <f t="shared" si="222"/>
        <v>0</v>
      </c>
      <c r="BF183" s="16">
        <f t="shared" si="222"/>
        <v>0</v>
      </c>
      <c r="BG183" s="16">
        <f t="shared" si="222"/>
        <v>0</v>
      </c>
      <c r="BH183" s="16">
        <f t="shared" si="222"/>
        <v>0</v>
      </c>
      <c r="BI183" s="16">
        <f t="shared" si="222"/>
        <v>0</v>
      </c>
      <c r="BJ183" s="16">
        <f t="shared" si="222"/>
        <v>0</v>
      </c>
      <c r="BK183" s="16">
        <f t="shared" si="222"/>
        <v>0</v>
      </c>
      <c r="BL183" s="16">
        <f t="shared" si="222"/>
        <v>0</v>
      </c>
      <c r="BM183" s="16">
        <f t="shared" si="222"/>
        <v>196397239</v>
      </c>
      <c r="BN183" s="16">
        <f t="shared" si="222"/>
        <v>0</v>
      </c>
      <c r="BO183" s="16">
        <f t="shared" si="222"/>
        <v>0</v>
      </c>
      <c r="BP183" s="16">
        <f t="shared" si="222"/>
        <v>0</v>
      </c>
      <c r="BQ183" s="16">
        <f t="shared" si="222"/>
        <v>0</v>
      </c>
      <c r="BR183" s="16">
        <f t="shared" si="222"/>
        <v>0</v>
      </c>
      <c r="BS183" s="16">
        <f t="shared" si="222"/>
        <v>0</v>
      </c>
      <c r="BT183" s="16">
        <f t="shared" ref="BT183:CW183" si="223">SUM(BT184)</f>
        <v>167368528</v>
      </c>
      <c r="BU183" s="16">
        <f t="shared" si="223"/>
        <v>0</v>
      </c>
      <c r="BV183" s="16">
        <f t="shared" si="223"/>
        <v>0</v>
      </c>
      <c r="BW183" s="16">
        <f t="shared" si="223"/>
        <v>29028711</v>
      </c>
      <c r="BX183" s="16">
        <f t="shared" si="223"/>
        <v>0</v>
      </c>
      <c r="BY183" s="16">
        <f t="shared" si="223"/>
        <v>0</v>
      </c>
      <c r="BZ183" s="16">
        <f t="shared" si="223"/>
        <v>0</v>
      </c>
      <c r="CA183" s="16">
        <f t="shared" si="223"/>
        <v>0</v>
      </c>
      <c r="CB183" s="16">
        <f t="shared" si="223"/>
        <v>0</v>
      </c>
      <c r="CC183" s="16">
        <f t="shared" si="223"/>
        <v>0</v>
      </c>
      <c r="CD183" s="16">
        <f t="shared" si="223"/>
        <v>0</v>
      </c>
      <c r="CE183" s="16">
        <f t="shared" si="223"/>
        <v>0</v>
      </c>
      <c r="CF183" s="16">
        <f t="shared" si="223"/>
        <v>0</v>
      </c>
      <c r="CG183" s="16">
        <f t="shared" si="223"/>
        <v>0</v>
      </c>
      <c r="CH183" s="16">
        <f t="shared" si="223"/>
        <v>0</v>
      </c>
      <c r="CI183" s="16">
        <f t="shared" si="223"/>
        <v>0</v>
      </c>
      <c r="CJ183" s="16">
        <f t="shared" si="223"/>
        <v>0</v>
      </c>
      <c r="CK183" s="16">
        <f t="shared" si="223"/>
        <v>0</v>
      </c>
      <c r="CL183" s="16">
        <f t="shared" si="223"/>
        <v>0</v>
      </c>
      <c r="CM183" s="16">
        <f t="shared" si="223"/>
        <v>0</v>
      </c>
      <c r="CN183" s="16">
        <f t="shared" si="223"/>
        <v>0</v>
      </c>
      <c r="CO183" s="16">
        <f t="shared" si="223"/>
        <v>0</v>
      </c>
      <c r="CP183" s="16">
        <f t="shared" si="223"/>
        <v>0</v>
      </c>
      <c r="CQ183" s="16">
        <f t="shared" si="223"/>
        <v>0</v>
      </c>
      <c r="CR183" s="16">
        <f t="shared" si="223"/>
        <v>0</v>
      </c>
      <c r="CS183" s="16">
        <f t="shared" si="223"/>
        <v>0</v>
      </c>
      <c r="CT183" s="16">
        <f t="shared" si="223"/>
        <v>0</v>
      </c>
      <c r="CU183" s="16">
        <f t="shared" si="223"/>
        <v>0</v>
      </c>
      <c r="CV183" s="16">
        <f t="shared" si="223"/>
        <v>0</v>
      </c>
      <c r="CW183" s="17">
        <f t="shared" si="223"/>
        <v>0</v>
      </c>
      <c r="CX183" s="40"/>
    </row>
    <row r="184" spans="1:102" ht="15.75" hidden="1" x14ac:dyDescent="0.25">
      <c r="A184" s="13" t="s">
        <v>1</v>
      </c>
      <c r="B184" s="14" t="s">
        <v>1</v>
      </c>
      <c r="C184" s="14" t="s">
        <v>19</v>
      </c>
      <c r="D184" s="30" t="s">
        <v>218</v>
      </c>
      <c r="E184" s="15">
        <f>SUM(F184+BY184+CT184)</f>
        <v>196397239</v>
      </c>
      <c r="F184" s="16">
        <f>SUM(G184+BA184)</f>
        <v>196397239</v>
      </c>
      <c r="G184" s="16">
        <f>SUM(H184+I184+J184+Q184+T184+U184+V184+AE184)</f>
        <v>0</v>
      </c>
      <c r="H184" s="16">
        <v>0</v>
      </c>
      <c r="I184" s="16">
        <v>0</v>
      </c>
      <c r="J184" s="16">
        <f t="shared" si="164"/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f t="shared" si="165"/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f>SUM(W184:AD184)</f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f>SUM(AF184:AZ184)</f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  <c r="AZ184" s="16">
        <v>0</v>
      </c>
      <c r="BA184" s="16">
        <f>SUM(BB184+BF184+BI184+BK184+BM184)</f>
        <v>196397239</v>
      </c>
      <c r="BB184" s="16">
        <f>SUM(BC184:BE184)</f>
        <v>0</v>
      </c>
      <c r="BC184" s="16">
        <v>0</v>
      </c>
      <c r="BD184" s="16">
        <v>0</v>
      </c>
      <c r="BE184" s="16">
        <v>0</v>
      </c>
      <c r="BF184" s="16">
        <f t="shared" si="166"/>
        <v>0</v>
      </c>
      <c r="BG184" s="16">
        <v>0</v>
      </c>
      <c r="BH184" s="16">
        <v>0</v>
      </c>
      <c r="BI184" s="16">
        <v>0</v>
      </c>
      <c r="BJ184" s="16">
        <v>0</v>
      </c>
      <c r="BK184" s="16">
        <f t="shared" si="167"/>
        <v>0</v>
      </c>
      <c r="BL184" s="16">
        <v>0</v>
      </c>
      <c r="BM184" s="16">
        <f t="shared" si="168"/>
        <v>196397239</v>
      </c>
      <c r="BN184" s="16">
        <v>0</v>
      </c>
      <c r="BO184" s="16">
        <v>0</v>
      </c>
      <c r="BP184" s="16">
        <v>0</v>
      </c>
      <c r="BQ184" s="16">
        <v>0</v>
      </c>
      <c r="BR184" s="16">
        <v>0</v>
      </c>
      <c r="BS184" s="16">
        <v>0</v>
      </c>
      <c r="BT184" s="16">
        <f>187167526-19798998</f>
        <v>167368528</v>
      </c>
      <c r="BU184" s="16">
        <v>0</v>
      </c>
      <c r="BV184" s="16">
        <v>0</v>
      </c>
      <c r="BW184" s="16">
        <f>30422549-1393838</f>
        <v>29028711</v>
      </c>
      <c r="BX184" s="16">
        <v>0</v>
      </c>
      <c r="BY184" s="16">
        <f>SUM(BZ184+CS184)</f>
        <v>0</v>
      </c>
      <c r="BZ184" s="16">
        <f>SUM(CA184+CD184+CK184)</f>
        <v>0</v>
      </c>
      <c r="CA184" s="16">
        <f t="shared" si="169"/>
        <v>0</v>
      </c>
      <c r="CB184" s="16">
        <v>0</v>
      </c>
      <c r="CC184" s="16">
        <v>0</v>
      </c>
      <c r="CD184" s="16">
        <f t="shared" si="170"/>
        <v>0</v>
      </c>
      <c r="CE184" s="16">
        <v>0</v>
      </c>
      <c r="CF184" s="16">
        <v>0</v>
      </c>
      <c r="CG184" s="16">
        <v>0</v>
      </c>
      <c r="CH184" s="16">
        <v>0</v>
      </c>
      <c r="CI184" s="16">
        <v>0</v>
      </c>
      <c r="CJ184" s="16">
        <v>0</v>
      </c>
      <c r="CK184" s="16">
        <f t="shared" si="171"/>
        <v>0</v>
      </c>
      <c r="CL184" s="16">
        <v>0</v>
      </c>
      <c r="CM184" s="16">
        <v>0</v>
      </c>
      <c r="CN184" s="16">
        <v>0</v>
      </c>
      <c r="CO184" s="16">
        <v>0</v>
      </c>
      <c r="CP184" s="16">
        <v>0</v>
      </c>
      <c r="CQ184" s="16">
        <v>0</v>
      </c>
      <c r="CR184" s="16">
        <v>0</v>
      </c>
      <c r="CS184" s="16">
        <v>0</v>
      </c>
      <c r="CT184" s="16">
        <f t="shared" si="172"/>
        <v>0</v>
      </c>
      <c r="CU184" s="16">
        <f t="shared" si="173"/>
        <v>0</v>
      </c>
      <c r="CV184" s="16">
        <v>0</v>
      </c>
      <c r="CW184" s="17">
        <v>0</v>
      </c>
      <c r="CX184" s="40"/>
    </row>
    <row r="185" spans="1:102" ht="15.75" hidden="1" x14ac:dyDescent="0.25">
      <c r="A185" s="13" t="s">
        <v>209</v>
      </c>
      <c r="B185" s="14" t="s">
        <v>117</v>
      </c>
      <c r="C185" s="14" t="s">
        <v>1</v>
      </c>
      <c r="D185" s="30" t="s">
        <v>219</v>
      </c>
      <c r="E185" s="15">
        <f t="shared" ref="E185:BP185" si="224">SUM(E186)</f>
        <v>14134363</v>
      </c>
      <c r="F185" s="16">
        <f t="shared" si="224"/>
        <v>14134363</v>
      </c>
      <c r="G185" s="16">
        <f t="shared" si="224"/>
        <v>0</v>
      </c>
      <c r="H185" s="16">
        <f t="shared" si="224"/>
        <v>0</v>
      </c>
      <c r="I185" s="16">
        <f t="shared" si="224"/>
        <v>0</v>
      </c>
      <c r="J185" s="16">
        <f t="shared" si="224"/>
        <v>0</v>
      </c>
      <c r="K185" s="16">
        <f t="shared" si="224"/>
        <v>0</v>
      </c>
      <c r="L185" s="16">
        <f t="shared" si="224"/>
        <v>0</v>
      </c>
      <c r="M185" s="16">
        <f t="shared" si="224"/>
        <v>0</v>
      </c>
      <c r="N185" s="16">
        <f t="shared" si="224"/>
        <v>0</v>
      </c>
      <c r="O185" s="16">
        <f t="shared" si="224"/>
        <v>0</v>
      </c>
      <c r="P185" s="16">
        <f t="shared" si="224"/>
        <v>0</v>
      </c>
      <c r="Q185" s="16">
        <f t="shared" si="224"/>
        <v>0</v>
      </c>
      <c r="R185" s="16">
        <f t="shared" si="224"/>
        <v>0</v>
      </c>
      <c r="S185" s="16">
        <f t="shared" si="224"/>
        <v>0</v>
      </c>
      <c r="T185" s="16">
        <f t="shared" si="224"/>
        <v>0</v>
      </c>
      <c r="U185" s="16">
        <f t="shared" si="224"/>
        <v>0</v>
      </c>
      <c r="V185" s="16">
        <f t="shared" si="224"/>
        <v>0</v>
      </c>
      <c r="W185" s="16">
        <f t="shared" si="224"/>
        <v>0</v>
      </c>
      <c r="X185" s="16">
        <f t="shared" si="224"/>
        <v>0</v>
      </c>
      <c r="Y185" s="16">
        <f t="shared" si="224"/>
        <v>0</v>
      </c>
      <c r="Z185" s="16">
        <f t="shared" si="224"/>
        <v>0</v>
      </c>
      <c r="AA185" s="16">
        <f t="shared" si="224"/>
        <v>0</v>
      </c>
      <c r="AB185" s="16">
        <f t="shared" si="224"/>
        <v>0</v>
      </c>
      <c r="AC185" s="16">
        <f t="shared" si="224"/>
        <v>0</v>
      </c>
      <c r="AD185" s="16">
        <f t="shared" si="224"/>
        <v>0</v>
      </c>
      <c r="AE185" s="16">
        <f t="shared" si="224"/>
        <v>0</v>
      </c>
      <c r="AF185" s="16">
        <f t="shared" si="224"/>
        <v>0</v>
      </c>
      <c r="AG185" s="16">
        <f t="shared" si="224"/>
        <v>0</v>
      </c>
      <c r="AH185" s="16">
        <f t="shared" si="224"/>
        <v>0</v>
      </c>
      <c r="AI185" s="16">
        <f t="shared" si="224"/>
        <v>0</v>
      </c>
      <c r="AJ185" s="16">
        <f t="shared" si="224"/>
        <v>0</v>
      </c>
      <c r="AK185" s="16">
        <f t="shared" si="224"/>
        <v>0</v>
      </c>
      <c r="AL185" s="16">
        <f t="shared" si="224"/>
        <v>0</v>
      </c>
      <c r="AM185" s="16">
        <f t="shared" si="224"/>
        <v>0</v>
      </c>
      <c r="AN185" s="16">
        <f t="shared" si="224"/>
        <v>0</v>
      </c>
      <c r="AO185" s="16">
        <f t="shared" si="224"/>
        <v>0</v>
      </c>
      <c r="AP185" s="16">
        <f t="shared" si="224"/>
        <v>0</v>
      </c>
      <c r="AQ185" s="16">
        <f t="shared" si="224"/>
        <v>0</v>
      </c>
      <c r="AR185" s="16">
        <f t="shared" si="224"/>
        <v>0</v>
      </c>
      <c r="AS185" s="16">
        <f t="shared" si="224"/>
        <v>0</v>
      </c>
      <c r="AT185" s="16">
        <f t="shared" si="224"/>
        <v>0</v>
      </c>
      <c r="AU185" s="16">
        <f t="shared" si="224"/>
        <v>0</v>
      </c>
      <c r="AV185" s="16">
        <f t="shared" si="224"/>
        <v>0</v>
      </c>
      <c r="AW185" s="16">
        <f t="shared" si="224"/>
        <v>0</v>
      </c>
      <c r="AX185" s="16">
        <f t="shared" si="224"/>
        <v>0</v>
      </c>
      <c r="AY185" s="16">
        <f t="shared" si="224"/>
        <v>0</v>
      </c>
      <c r="AZ185" s="16">
        <f t="shared" si="224"/>
        <v>0</v>
      </c>
      <c r="BA185" s="16">
        <f t="shared" si="224"/>
        <v>14134363</v>
      </c>
      <c r="BB185" s="16">
        <f t="shared" si="224"/>
        <v>0</v>
      </c>
      <c r="BC185" s="16">
        <f t="shared" si="224"/>
        <v>0</v>
      </c>
      <c r="BD185" s="16">
        <f t="shared" si="224"/>
        <v>0</v>
      </c>
      <c r="BE185" s="16">
        <f t="shared" si="224"/>
        <v>0</v>
      </c>
      <c r="BF185" s="16">
        <f t="shared" si="224"/>
        <v>0</v>
      </c>
      <c r="BG185" s="16">
        <f t="shared" si="224"/>
        <v>0</v>
      </c>
      <c r="BH185" s="16">
        <f t="shared" si="224"/>
        <v>0</v>
      </c>
      <c r="BI185" s="16">
        <f t="shared" si="224"/>
        <v>0</v>
      </c>
      <c r="BJ185" s="16">
        <f t="shared" si="224"/>
        <v>0</v>
      </c>
      <c r="BK185" s="16">
        <f t="shared" si="224"/>
        <v>0</v>
      </c>
      <c r="BL185" s="16">
        <f t="shared" si="224"/>
        <v>0</v>
      </c>
      <c r="BM185" s="16">
        <f t="shared" si="224"/>
        <v>14134363</v>
      </c>
      <c r="BN185" s="16">
        <f t="shared" si="224"/>
        <v>0</v>
      </c>
      <c r="BO185" s="16">
        <f t="shared" si="224"/>
        <v>0</v>
      </c>
      <c r="BP185" s="16">
        <f t="shared" si="224"/>
        <v>0</v>
      </c>
      <c r="BQ185" s="16">
        <f t="shared" ref="BQ185:CW185" si="225">SUM(BQ186)</f>
        <v>14134363</v>
      </c>
      <c r="BR185" s="16">
        <f t="shared" si="225"/>
        <v>0</v>
      </c>
      <c r="BS185" s="16">
        <f t="shared" si="225"/>
        <v>0</v>
      </c>
      <c r="BT185" s="16">
        <f t="shared" si="225"/>
        <v>0</v>
      </c>
      <c r="BU185" s="16">
        <f t="shared" si="225"/>
        <v>0</v>
      </c>
      <c r="BV185" s="16">
        <f t="shared" si="225"/>
        <v>0</v>
      </c>
      <c r="BW185" s="16">
        <f t="shared" si="225"/>
        <v>0</v>
      </c>
      <c r="BX185" s="16">
        <f t="shared" si="225"/>
        <v>0</v>
      </c>
      <c r="BY185" s="16">
        <f t="shared" si="225"/>
        <v>0</v>
      </c>
      <c r="BZ185" s="16">
        <f t="shared" si="225"/>
        <v>0</v>
      </c>
      <c r="CA185" s="16">
        <f t="shared" si="225"/>
        <v>0</v>
      </c>
      <c r="CB185" s="16">
        <f t="shared" si="225"/>
        <v>0</v>
      </c>
      <c r="CC185" s="16">
        <f t="shared" si="225"/>
        <v>0</v>
      </c>
      <c r="CD185" s="16">
        <f t="shared" si="225"/>
        <v>0</v>
      </c>
      <c r="CE185" s="16">
        <f t="shared" si="225"/>
        <v>0</v>
      </c>
      <c r="CF185" s="16">
        <f t="shared" si="225"/>
        <v>0</v>
      </c>
      <c r="CG185" s="16">
        <f t="shared" si="225"/>
        <v>0</v>
      </c>
      <c r="CH185" s="16">
        <f t="shared" si="225"/>
        <v>0</v>
      </c>
      <c r="CI185" s="16">
        <f t="shared" si="225"/>
        <v>0</v>
      </c>
      <c r="CJ185" s="16">
        <f t="shared" si="225"/>
        <v>0</v>
      </c>
      <c r="CK185" s="16">
        <f t="shared" si="225"/>
        <v>0</v>
      </c>
      <c r="CL185" s="16">
        <f t="shared" si="225"/>
        <v>0</v>
      </c>
      <c r="CM185" s="16">
        <f t="shared" si="225"/>
        <v>0</v>
      </c>
      <c r="CN185" s="16">
        <f t="shared" si="225"/>
        <v>0</v>
      </c>
      <c r="CO185" s="16">
        <f t="shared" si="225"/>
        <v>0</v>
      </c>
      <c r="CP185" s="16">
        <f t="shared" si="225"/>
        <v>0</v>
      </c>
      <c r="CQ185" s="16">
        <f t="shared" si="225"/>
        <v>0</v>
      </c>
      <c r="CR185" s="16">
        <f t="shared" si="225"/>
        <v>0</v>
      </c>
      <c r="CS185" s="16">
        <f t="shared" si="225"/>
        <v>0</v>
      </c>
      <c r="CT185" s="16">
        <f t="shared" si="225"/>
        <v>0</v>
      </c>
      <c r="CU185" s="16">
        <f t="shared" si="225"/>
        <v>0</v>
      </c>
      <c r="CV185" s="16">
        <f t="shared" si="225"/>
        <v>0</v>
      </c>
      <c r="CW185" s="17">
        <f t="shared" si="225"/>
        <v>0</v>
      </c>
      <c r="CX185" s="40"/>
    </row>
    <row r="186" spans="1:102" ht="15.75" hidden="1" x14ac:dyDescent="0.25">
      <c r="A186" s="13" t="s">
        <v>1</v>
      </c>
      <c r="B186" s="14" t="s">
        <v>1</v>
      </c>
      <c r="C186" s="14" t="s">
        <v>43</v>
      </c>
      <c r="D186" s="30" t="s">
        <v>220</v>
      </c>
      <c r="E186" s="15">
        <f>SUM(F186+BY186+CT186)</f>
        <v>14134363</v>
      </c>
      <c r="F186" s="16">
        <f>SUM(G186+BA186)</f>
        <v>14134363</v>
      </c>
      <c r="G186" s="16">
        <f>SUM(H186+I186+J186+Q186+T186+U186+V186+AE186)</f>
        <v>0</v>
      </c>
      <c r="H186" s="16">
        <v>0</v>
      </c>
      <c r="I186" s="16">
        <v>0</v>
      </c>
      <c r="J186" s="16">
        <f t="shared" si="164"/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f t="shared" si="165"/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f>SUM(W186:AD186)</f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f>SUM(AF186:AZ186)</f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6">
        <v>0</v>
      </c>
      <c r="AW186" s="16">
        <v>0</v>
      </c>
      <c r="AX186" s="16">
        <v>0</v>
      </c>
      <c r="AY186" s="16">
        <v>0</v>
      </c>
      <c r="AZ186" s="16">
        <v>0</v>
      </c>
      <c r="BA186" s="16">
        <f>SUM(BB186+BF186+BI186+BK186+BM186)</f>
        <v>14134363</v>
      </c>
      <c r="BB186" s="16">
        <f>SUM(BC186:BE186)</f>
        <v>0</v>
      </c>
      <c r="BC186" s="16">
        <v>0</v>
      </c>
      <c r="BD186" s="16">
        <v>0</v>
      </c>
      <c r="BE186" s="16">
        <v>0</v>
      </c>
      <c r="BF186" s="16">
        <f t="shared" si="166"/>
        <v>0</v>
      </c>
      <c r="BG186" s="16">
        <v>0</v>
      </c>
      <c r="BH186" s="16">
        <v>0</v>
      </c>
      <c r="BI186" s="16">
        <v>0</v>
      </c>
      <c r="BJ186" s="16">
        <v>0</v>
      </c>
      <c r="BK186" s="16">
        <f t="shared" si="167"/>
        <v>0</v>
      </c>
      <c r="BL186" s="16">
        <v>0</v>
      </c>
      <c r="BM186" s="16">
        <f t="shared" si="168"/>
        <v>14134363</v>
      </c>
      <c r="BN186" s="16">
        <v>0</v>
      </c>
      <c r="BO186" s="16">
        <v>0</v>
      </c>
      <c r="BP186" s="16">
        <v>0</v>
      </c>
      <c r="BQ186" s="16">
        <v>14134363</v>
      </c>
      <c r="BR186" s="16">
        <v>0</v>
      </c>
      <c r="BS186" s="16">
        <v>0</v>
      </c>
      <c r="BT186" s="16">
        <v>0</v>
      </c>
      <c r="BU186" s="16">
        <v>0</v>
      </c>
      <c r="BV186" s="16">
        <v>0</v>
      </c>
      <c r="BW186" s="16">
        <v>0</v>
      </c>
      <c r="BX186" s="16">
        <v>0</v>
      </c>
      <c r="BY186" s="16">
        <f>SUM(BZ186+CS186)</f>
        <v>0</v>
      </c>
      <c r="BZ186" s="16">
        <f>SUM(CA186+CD186+CK186)</f>
        <v>0</v>
      </c>
      <c r="CA186" s="16">
        <f t="shared" si="169"/>
        <v>0</v>
      </c>
      <c r="CB186" s="16">
        <v>0</v>
      </c>
      <c r="CC186" s="16">
        <v>0</v>
      </c>
      <c r="CD186" s="16">
        <f t="shared" si="170"/>
        <v>0</v>
      </c>
      <c r="CE186" s="16">
        <v>0</v>
      </c>
      <c r="CF186" s="16">
        <v>0</v>
      </c>
      <c r="CG186" s="16">
        <v>0</v>
      </c>
      <c r="CH186" s="16">
        <v>0</v>
      </c>
      <c r="CI186" s="16">
        <v>0</v>
      </c>
      <c r="CJ186" s="16">
        <v>0</v>
      </c>
      <c r="CK186" s="16">
        <f t="shared" si="171"/>
        <v>0</v>
      </c>
      <c r="CL186" s="16">
        <v>0</v>
      </c>
      <c r="CM186" s="16">
        <v>0</v>
      </c>
      <c r="CN186" s="16">
        <v>0</v>
      </c>
      <c r="CO186" s="16">
        <v>0</v>
      </c>
      <c r="CP186" s="16">
        <v>0</v>
      </c>
      <c r="CQ186" s="16">
        <v>0</v>
      </c>
      <c r="CR186" s="16">
        <v>0</v>
      </c>
      <c r="CS186" s="16">
        <v>0</v>
      </c>
      <c r="CT186" s="16">
        <f t="shared" si="172"/>
        <v>0</v>
      </c>
      <c r="CU186" s="16">
        <f t="shared" si="173"/>
        <v>0</v>
      </c>
      <c r="CV186" s="16">
        <v>0</v>
      </c>
      <c r="CW186" s="17">
        <v>0</v>
      </c>
      <c r="CX186" s="40"/>
    </row>
    <row r="187" spans="1:102" ht="31.5" hidden="1" x14ac:dyDescent="0.25">
      <c r="A187" s="13" t="s">
        <v>209</v>
      </c>
      <c r="B187" s="14" t="s">
        <v>100</v>
      </c>
      <c r="C187" s="14" t="s">
        <v>1</v>
      </c>
      <c r="D187" s="30" t="s">
        <v>221</v>
      </c>
      <c r="E187" s="15">
        <f t="shared" ref="E187:BP187" si="226">SUM(E188)</f>
        <v>100000</v>
      </c>
      <c r="F187" s="16">
        <f t="shared" si="226"/>
        <v>100000</v>
      </c>
      <c r="G187" s="16">
        <f t="shared" si="226"/>
        <v>0</v>
      </c>
      <c r="H187" s="16">
        <f t="shared" si="226"/>
        <v>0</v>
      </c>
      <c r="I187" s="16">
        <f t="shared" si="226"/>
        <v>0</v>
      </c>
      <c r="J187" s="16">
        <f t="shared" si="226"/>
        <v>0</v>
      </c>
      <c r="K187" s="16">
        <f t="shared" si="226"/>
        <v>0</v>
      </c>
      <c r="L187" s="16">
        <f t="shared" si="226"/>
        <v>0</v>
      </c>
      <c r="M187" s="16">
        <f t="shared" si="226"/>
        <v>0</v>
      </c>
      <c r="N187" s="16">
        <f t="shared" si="226"/>
        <v>0</v>
      </c>
      <c r="O187" s="16">
        <f t="shared" si="226"/>
        <v>0</v>
      </c>
      <c r="P187" s="16">
        <f t="shared" si="226"/>
        <v>0</v>
      </c>
      <c r="Q187" s="16">
        <f t="shared" si="226"/>
        <v>0</v>
      </c>
      <c r="R187" s="16">
        <f t="shared" si="226"/>
        <v>0</v>
      </c>
      <c r="S187" s="16">
        <f t="shared" si="226"/>
        <v>0</v>
      </c>
      <c r="T187" s="16">
        <f t="shared" si="226"/>
        <v>0</v>
      </c>
      <c r="U187" s="16">
        <f t="shared" si="226"/>
        <v>0</v>
      </c>
      <c r="V187" s="16">
        <f t="shared" si="226"/>
        <v>0</v>
      </c>
      <c r="W187" s="16">
        <f t="shared" si="226"/>
        <v>0</v>
      </c>
      <c r="X187" s="16">
        <f t="shared" si="226"/>
        <v>0</v>
      </c>
      <c r="Y187" s="16">
        <f t="shared" si="226"/>
        <v>0</v>
      </c>
      <c r="Z187" s="16">
        <f t="shared" si="226"/>
        <v>0</v>
      </c>
      <c r="AA187" s="16">
        <f t="shared" si="226"/>
        <v>0</v>
      </c>
      <c r="AB187" s="16">
        <f t="shared" si="226"/>
        <v>0</v>
      </c>
      <c r="AC187" s="16">
        <f t="shared" si="226"/>
        <v>0</v>
      </c>
      <c r="AD187" s="16">
        <f t="shared" si="226"/>
        <v>0</v>
      </c>
      <c r="AE187" s="16">
        <f t="shared" si="226"/>
        <v>0</v>
      </c>
      <c r="AF187" s="16">
        <f t="shared" si="226"/>
        <v>0</v>
      </c>
      <c r="AG187" s="16">
        <f t="shared" si="226"/>
        <v>0</v>
      </c>
      <c r="AH187" s="16">
        <f t="shared" si="226"/>
        <v>0</v>
      </c>
      <c r="AI187" s="16">
        <f t="shared" si="226"/>
        <v>0</v>
      </c>
      <c r="AJ187" s="16">
        <f t="shared" si="226"/>
        <v>0</v>
      </c>
      <c r="AK187" s="16">
        <f t="shared" si="226"/>
        <v>0</v>
      </c>
      <c r="AL187" s="16">
        <f t="shared" si="226"/>
        <v>0</v>
      </c>
      <c r="AM187" s="16">
        <f t="shared" si="226"/>
        <v>0</v>
      </c>
      <c r="AN187" s="16">
        <f t="shared" si="226"/>
        <v>0</v>
      </c>
      <c r="AO187" s="16">
        <f t="shared" si="226"/>
        <v>0</v>
      </c>
      <c r="AP187" s="16">
        <f t="shared" si="226"/>
        <v>0</v>
      </c>
      <c r="AQ187" s="16">
        <f t="shared" si="226"/>
        <v>0</v>
      </c>
      <c r="AR187" s="16">
        <f t="shared" si="226"/>
        <v>0</v>
      </c>
      <c r="AS187" s="16">
        <f t="shared" si="226"/>
        <v>0</v>
      </c>
      <c r="AT187" s="16">
        <f t="shared" si="226"/>
        <v>0</v>
      </c>
      <c r="AU187" s="16">
        <f t="shared" si="226"/>
        <v>0</v>
      </c>
      <c r="AV187" s="16">
        <f t="shared" si="226"/>
        <v>0</v>
      </c>
      <c r="AW187" s="16">
        <f t="shared" si="226"/>
        <v>0</v>
      </c>
      <c r="AX187" s="16">
        <f t="shared" si="226"/>
        <v>0</v>
      </c>
      <c r="AY187" s="16">
        <f t="shared" si="226"/>
        <v>0</v>
      </c>
      <c r="AZ187" s="16">
        <f t="shared" si="226"/>
        <v>0</v>
      </c>
      <c r="BA187" s="16">
        <f t="shared" si="226"/>
        <v>100000</v>
      </c>
      <c r="BB187" s="16">
        <f t="shared" si="226"/>
        <v>0</v>
      </c>
      <c r="BC187" s="16">
        <f t="shared" si="226"/>
        <v>0</v>
      </c>
      <c r="BD187" s="16">
        <f t="shared" si="226"/>
        <v>0</v>
      </c>
      <c r="BE187" s="16">
        <f t="shared" si="226"/>
        <v>0</v>
      </c>
      <c r="BF187" s="16">
        <f t="shared" si="226"/>
        <v>0</v>
      </c>
      <c r="BG187" s="16">
        <f t="shared" si="226"/>
        <v>0</v>
      </c>
      <c r="BH187" s="16">
        <f t="shared" si="226"/>
        <v>0</v>
      </c>
      <c r="BI187" s="16">
        <f t="shared" si="226"/>
        <v>0</v>
      </c>
      <c r="BJ187" s="16">
        <f t="shared" si="226"/>
        <v>0</v>
      </c>
      <c r="BK187" s="16">
        <f t="shared" si="226"/>
        <v>0</v>
      </c>
      <c r="BL187" s="16">
        <f t="shared" si="226"/>
        <v>0</v>
      </c>
      <c r="BM187" s="16">
        <f t="shared" si="226"/>
        <v>100000</v>
      </c>
      <c r="BN187" s="16">
        <f t="shared" si="226"/>
        <v>0</v>
      </c>
      <c r="BO187" s="16">
        <f t="shared" si="226"/>
        <v>0</v>
      </c>
      <c r="BP187" s="16">
        <f t="shared" si="226"/>
        <v>0</v>
      </c>
      <c r="BQ187" s="16">
        <f t="shared" ref="BQ187:CW187" si="227">SUM(BQ188)</f>
        <v>0</v>
      </c>
      <c r="BR187" s="16">
        <f t="shared" si="227"/>
        <v>100000</v>
      </c>
      <c r="BS187" s="16">
        <f t="shared" si="227"/>
        <v>0</v>
      </c>
      <c r="BT187" s="16">
        <f t="shared" si="227"/>
        <v>0</v>
      </c>
      <c r="BU187" s="16">
        <f t="shared" si="227"/>
        <v>0</v>
      </c>
      <c r="BV187" s="16">
        <f t="shared" si="227"/>
        <v>0</v>
      </c>
      <c r="BW187" s="16">
        <f t="shared" si="227"/>
        <v>0</v>
      </c>
      <c r="BX187" s="16">
        <f t="shared" si="227"/>
        <v>0</v>
      </c>
      <c r="BY187" s="16">
        <f t="shared" si="227"/>
        <v>0</v>
      </c>
      <c r="BZ187" s="16">
        <f t="shared" si="227"/>
        <v>0</v>
      </c>
      <c r="CA187" s="16">
        <f t="shared" si="227"/>
        <v>0</v>
      </c>
      <c r="CB187" s="16">
        <f t="shared" si="227"/>
        <v>0</v>
      </c>
      <c r="CC187" s="16">
        <f t="shared" si="227"/>
        <v>0</v>
      </c>
      <c r="CD187" s="16">
        <f t="shared" si="227"/>
        <v>0</v>
      </c>
      <c r="CE187" s="16">
        <f t="shared" si="227"/>
        <v>0</v>
      </c>
      <c r="CF187" s="16">
        <f t="shared" si="227"/>
        <v>0</v>
      </c>
      <c r="CG187" s="16">
        <f t="shared" si="227"/>
        <v>0</v>
      </c>
      <c r="CH187" s="16">
        <f t="shared" si="227"/>
        <v>0</v>
      </c>
      <c r="CI187" s="16">
        <f t="shared" si="227"/>
        <v>0</v>
      </c>
      <c r="CJ187" s="16">
        <f t="shared" si="227"/>
        <v>0</v>
      </c>
      <c r="CK187" s="16">
        <f t="shared" si="227"/>
        <v>0</v>
      </c>
      <c r="CL187" s="16">
        <f t="shared" si="227"/>
        <v>0</v>
      </c>
      <c r="CM187" s="16">
        <f t="shared" si="227"/>
        <v>0</v>
      </c>
      <c r="CN187" s="16">
        <f t="shared" si="227"/>
        <v>0</v>
      </c>
      <c r="CO187" s="16">
        <f t="shared" si="227"/>
        <v>0</v>
      </c>
      <c r="CP187" s="16">
        <f t="shared" si="227"/>
        <v>0</v>
      </c>
      <c r="CQ187" s="16">
        <f t="shared" si="227"/>
        <v>0</v>
      </c>
      <c r="CR187" s="16">
        <f t="shared" si="227"/>
        <v>0</v>
      </c>
      <c r="CS187" s="16">
        <f t="shared" si="227"/>
        <v>0</v>
      </c>
      <c r="CT187" s="16">
        <f t="shared" si="227"/>
        <v>0</v>
      </c>
      <c r="CU187" s="16">
        <f t="shared" si="227"/>
        <v>0</v>
      </c>
      <c r="CV187" s="16">
        <f t="shared" si="227"/>
        <v>0</v>
      </c>
      <c r="CW187" s="17">
        <f t="shared" si="227"/>
        <v>0</v>
      </c>
      <c r="CX187" s="40"/>
    </row>
    <row r="188" spans="1:102" ht="15.75" hidden="1" x14ac:dyDescent="0.25">
      <c r="A188" s="13" t="s">
        <v>1</v>
      </c>
      <c r="B188" s="14" t="s">
        <v>1</v>
      </c>
      <c r="C188" s="14" t="s">
        <v>43</v>
      </c>
      <c r="D188" s="30" t="s">
        <v>222</v>
      </c>
      <c r="E188" s="15">
        <f>SUM(F188+BY188+CT188)</f>
        <v>100000</v>
      </c>
      <c r="F188" s="16">
        <f>SUM(G188+BA188)</f>
        <v>100000</v>
      </c>
      <c r="G188" s="16">
        <f>SUM(H188+I188+J188+Q188+T188+U188+V188+AE188)</f>
        <v>0</v>
      </c>
      <c r="H188" s="16">
        <v>0</v>
      </c>
      <c r="I188" s="16">
        <v>0</v>
      </c>
      <c r="J188" s="16">
        <f t="shared" si="164"/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f t="shared" si="165"/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f>SUM(W188:AD188)</f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f>SUM(AF188:AZ188)</f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  <c r="AT188" s="16">
        <v>0</v>
      </c>
      <c r="AU188" s="16">
        <v>0</v>
      </c>
      <c r="AV188" s="16">
        <v>0</v>
      </c>
      <c r="AW188" s="16">
        <v>0</v>
      </c>
      <c r="AX188" s="16">
        <v>0</v>
      </c>
      <c r="AY188" s="16">
        <v>0</v>
      </c>
      <c r="AZ188" s="16">
        <v>0</v>
      </c>
      <c r="BA188" s="16">
        <f>SUM(BB188+BF188+BI188+BK188+BM188)</f>
        <v>100000</v>
      </c>
      <c r="BB188" s="16">
        <f>SUM(BC188:BE188)</f>
        <v>0</v>
      </c>
      <c r="BC188" s="16">
        <v>0</v>
      </c>
      <c r="BD188" s="16">
        <v>0</v>
      </c>
      <c r="BE188" s="16">
        <v>0</v>
      </c>
      <c r="BF188" s="16">
        <f t="shared" si="166"/>
        <v>0</v>
      </c>
      <c r="BG188" s="16">
        <v>0</v>
      </c>
      <c r="BH188" s="16">
        <v>0</v>
      </c>
      <c r="BI188" s="16">
        <v>0</v>
      </c>
      <c r="BJ188" s="16">
        <v>0</v>
      </c>
      <c r="BK188" s="16">
        <f t="shared" si="167"/>
        <v>0</v>
      </c>
      <c r="BL188" s="16">
        <v>0</v>
      </c>
      <c r="BM188" s="16">
        <f t="shared" si="168"/>
        <v>100000</v>
      </c>
      <c r="BN188" s="16">
        <v>0</v>
      </c>
      <c r="BO188" s="16">
        <v>0</v>
      </c>
      <c r="BP188" s="16">
        <v>0</v>
      </c>
      <c r="BQ188" s="16">
        <v>0</v>
      </c>
      <c r="BR188" s="16">
        <v>100000</v>
      </c>
      <c r="BS188" s="16">
        <v>0</v>
      </c>
      <c r="BT188" s="16">
        <v>0</v>
      </c>
      <c r="BU188" s="16">
        <v>0</v>
      </c>
      <c r="BV188" s="16">
        <v>0</v>
      </c>
      <c r="BW188" s="16">
        <v>0</v>
      </c>
      <c r="BX188" s="16">
        <v>0</v>
      </c>
      <c r="BY188" s="16">
        <f>SUM(BZ188+CS188)</f>
        <v>0</v>
      </c>
      <c r="BZ188" s="16">
        <f>SUM(CA188+CD188+CK188)</f>
        <v>0</v>
      </c>
      <c r="CA188" s="16">
        <f t="shared" si="169"/>
        <v>0</v>
      </c>
      <c r="CB188" s="16">
        <v>0</v>
      </c>
      <c r="CC188" s="16">
        <v>0</v>
      </c>
      <c r="CD188" s="16">
        <f t="shared" si="170"/>
        <v>0</v>
      </c>
      <c r="CE188" s="16">
        <v>0</v>
      </c>
      <c r="CF188" s="16">
        <v>0</v>
      </c>
      <c r="CG188" s="16">
        <v>0</v>
      </c>
      <c r="CH188" s="16">
        <v>0</v>
      </c>
      <c r="CI188" s="16">
        <v>0</v>
      </c>
      <c r="CJ188" s="16">
        <v>0</v>
      </c>
      <c r="CK188" s="16">
        <f t="shared" si="171"/>
        <v>0</v>
      </c>
      <c r="CL188" s="16">
        <v>0</v>
      </c>
      <c r="CM188" s="16">
        <v>0</v>
      </c>
      <c r="CN188" s="16">
        <v>0</v>
      </c>
      <c r="CO188" s="16">
        <v>0</v>
      </c>
      <c r="CP188" s="16">
        <v>0</v>
      </c>
      <c r="CQ188" s="16">
        <v>0</v>
      </c>
      <c r="CR188" s="16">
        <v>0</v>
      </c>
      <c r="CS188" s="16">
        <v>0</v>
      </c>
      <c r="CT188" s="16">
        <f t="shared" si="172"/>
        <v>0</v>
      </c>
      <c r="CU188" s="16">
        <f t="shared" si="173"/>
        <v>0</v>
      </c>
      <c r="CV188" s="16">
        <v>0</v>
      </c>
      <c r="CW188" s="17">
        <v>0</v>
      </c>
      <c r="CX188" s="40"/>
    </row>
    <row r="189" spans="1:102" ht="31.5" hidden="1" x14ac:dyDescent="0.25">
      <c r="A189" s="13" t="s">
        <v>209</v>
      </c>
      <c r="B189" s="14" t="s">
        <v>107</v>
      </c>
      <c r="C189" s="14" t="s">
        <v>1</v>
      </c>
      <c r="D189" s="30" t="s">
        <v>223</v>
      </c>
      <c r="E189" s="15">
        <f t="shared" ref="E189:BP189" si="228">SUM(E190)</f>
        <v>4583424</v>
      </c>
      <c r="F189" s="16">
        <f t="shared" si="228"/>
        <v>4583424</v>
      </c>
      <c r="G189" s="16">
        <f t="shared" si="228"/>
        <v>0</v>
      </c>
      <c r="H189" s="16">
        <f t="shared" si="228"/>
        <v>0</v>
      </c>
      <c r="I189" s="16">
        <f t="shared" si="228"/>
        <v>0</v>
      </c>
      <c r="J189" s="16">
        <f t="shared" si="228"/>
        <v>0</v>
      </c>
      <c r="K189" s="16">
        <f t="shared" si="228"/>
        <v>0</v>
      </c>
      <c r="L189" s="16">
        <f t="shared" si="228"/>
        <v>0</v>
      </c>
      <c r="M189" s="16">
        <f t="shared" si="228"/>
        <v>0</v>
      </c>
      <c r="N189" s="16">
        <f t="shared" si="228"/>
        <v>0</v>
      </c>
      <c r="O189" s="16">
        <f t="shared" si="228"/>
        <v>0</v>
      </c>
      <c r="P189" s="16">
        <f t="shared" si="228"/>
        <v>0</v>
      </c>
      <c r="Q189" s="16">
        <f t="shared" si="228"/>
        <v>0</v>
      </c>
      <c r="R189" s="16">
        <f t="shared" si="228"/>
        <v>0</v>
      </c>
      <c r="S189" s="16">
        <f t="shared" si="228"/>
        <v>0</v>
      </c>
      <c r="T189" s="16">
        <f t="shared" si="228"/>
        <v>0</v>
      </c>
      <c r="U189" s="16">
        <f t="shared" si="228"/>
        <v>0</v>
      </c>
      <c r="V189" s="16">
        <f t="shared" si="228"/>
        <v>0</v>
      </c>
      <c r="W189" s="16">
        <f t="shared" si="228"/>
        <v>0</v>
      </c>
      <c r="X189" s="16">
        <f t="shared" si="228"/>
        <v>0</v>
      </c>
      <c r="Y189" s="16">
        <f t="shared" si="228"/>
        <v>0</v>
      </c>
      <c r="Z189" s="16">
        <f t="shared" si="228"/>
        <v>0</v>
      </c>
      <c r="AA189" s="16">
        <f t="shared" si="228"/>
        <v>0</v>
      </c>
      <c r="AB189" s="16">
        <f t="shared" si="228"/>
        <v>0</v>
      </c>
      <c r="AC189" s="16">
        <f t="shared" si="228"/>
        <v>0</v>
      </c>
      <c r="AD189" s="16">
        <f t="shared" si="228"/>
        <v>0</v>
      </c>
      <c r="AE189" s="16">
        <f t="shared" si="228"/>
        <v>0</v>
      </c>
      <c r="AF189" s="16">
        <f t="shared" si="228"/>
        <v>0</v>
      </c>
      <c r="AG189" s="16">
        <f t="shared" si="228"/>
        <v>0</v>
      </c>
      <c r="AH189" s="16">
        <f t="shared" si="228"/>
        <v>0</v>
      </c>
      <c r="AI189" s="16">
        <f t="shared" si="228"/>
        <v>0</v>
      </c>
      <c r="AJ189" s="16">
        <f t="shared" si="228"/>
        <v>0</v>
      </c>
      <c r="AK189" s="16">
        <f t="shared" si="228"/>
        <v>0</v>
      </c>
      <c r="AL189" s="16">
        <f t="shared" si="228"/>
        <v>0</v>
      </c>
      <c r="AM189" s="16">
        <f t="shared" si="228"/>
        <v>0</v>
      </c>
      <c r="AN189" s="16">
        <f t="shared" si="228"/>
        <v>0</v>
      </c>
      <c r="AO189" s="16">
        <f t="shared" si="228"/>
        <v>0</v>
      </c>
      <c r="AP189" s="16">
        <f t="shared" si="228"/>
        <v>0</v>
      </c>
      <c r="AQ189" s="16">
        <f t="shared" si="228"/>
        <v>0</v>
      </c>
      <c r="AR189" s="16">
        <f t="shared" si="228"/>
        <v>0</v>
      </c>
      <c r="AS189" s="16">
        <f t="shared" si="228"/>
        <v>0</v>
      </c>
      <c r="AT189" s="16">
        <f t="shared" si="228"/>
        <v>0</v>
      </c>
      <c r="AU189" s="16">
        <f t="shared" si="228"/>
        <v>0</v>
      </c>
      <c r="AV189" s="16">
        <f t="shared" si="228"/>
        <v>0</v>
      </c>
      <c r="AW189" s="16">
        <f t="shared" si="228"/>
        <v>0</v>
      </c>
      <c r="AX189" s="16">
        <f t="shared" si="228"/>
        <v>0</v>
      </c>
      <c r="AY189" s="16">
        <f t="shared" si="228"/>
        <v>0</v>
      </c>
      <c r="AZ189" s="16">
        <f t="shared" si="228"/>
        <v>0</v>
      </c>
      <c r="BA189" s="16">
        <f t="shared" si="228"/>
        <v>4583424</v>
      </c>
      <c r="BB189" s="16">
        <f t="shared" si="228"/>
        <v>0</v>
      </c>
      <c r="BC189" s="16">
        <f t="shared" si="228"/>
        <v>0</v>
      </c>
      <c r="BD189" s="16">
        <f t="shared" si="228"/>
        <v>0</v>
      </c>
      <c r="BE189" s="16">
        <f t="shared" si="228"/>
        <v>0</v>
      </c>
      <c r="BF189" s="16">
        <f t="shared" si="228"/>
        <v>0</v>
      </c>
      <c r="BG189" s="16">
        <f t="shared" si="228"/>
        <v>0</v>
      </c>
      <c r="BH189" s="16">
        <f t="shared" si="228"/>
        <v>0</v>
      </c>
      <c r="BI189" s="16">
        <f t="shared" si="228"/>
        <v>0</v>
      </c>
      <c r="BJ189" s="16">
        <f t="shared" si="228"/>
        <v>0</v>
      </c>
      <c r="BK189" s="16">
        <f t="shared" si="228"/>
        <v>0</v>
      </c>
      <c r="BL189" s="16">
        <f t="shared" si="228"/>
        <v>0</v>
      </c>
      <c r="BM189" s="16">
        <f t="shared" si="228"/>
        <v>4583424</v>
      </c>
      <c r="BN189" s="16">
        <f t="shared" si="228"/>
        <v>0</v>
      </c>
      <c r="BO189" s="16">
        <f t="shared" si="228"/>
        <v>4583424</v>
      </c>
      <c r="BP189" s="16">
        <f t="shared" si="228"/>
        <v>0</v>
      </c>
      <c r="BQ189" s="16">
        <f t="shared" ref="BQ189:CW189" si="229">SUM(BQ190)</f>
        <v>0</v>
      </c>
      <c r="BR189" s="16">
        <f t="shared" si="229"/>
        <v>0</v>
      </c>
      <c r="BS189" s="16">
        <f t="shared" si="229"/>
        <v>0</v>
      </c>
      <c r="BT189" s="16">
        <f t="shared" si="229"/>
        <v>0</v>
      </c>
      <c r="BU189" s="16">
        <f t="shared" si="229"/>
        <v>0</v>
      </c>
      <c r="BV189" s="16">
        <f t="shared" si="229"/>
        <v>0</v>
      </c>
      <c r="BW189" s="16">
        <f t="shared" si="229"/>
        <v>0</v>
      </c>
      <c r="BX189" s="16">
        <f t="shared" si="229"/>
        <v>0</v>
      </c>
      <c r="BY189" s="16">
        <f t="shared" si="229"/>
        <v>0</v>
      </c>
      <c r="BZ189" s="16">
        <f t="shared" si="229"/>
        <v>0</v>
      </c>
      <c r="CA189" s="16">
        <f t="shared" si="229"/>
        <v>0</v>
      </c>
      <c r="CB189" s="16">
        <f t="shared" si="229"/>
        <v>0</v>
      </c>
      <c r="CC189" s="16">
        <f t="shared" si="229"/>
        <v>0</v>
      </c>
      <c r="CD189" s="16">
        <f t="shared" si="229"/>
        <v>0</v>
      </c>
      <c r="CE189" s="16">
        <f t="shared" si="229"/>
        <v>0</v>
      </c>
      <c r="CF189" s="16">
        <f t="shared" si="229"/>
        <v>0</v>
      </c>
      <c r="CG189" s="16">
        <f t="shared" si="229"/>
        <v>0</v>
      </c>
      <c r="CH189" s="16">
        <f t="shared" si="229"/>
        <v>0</v>
      </c>
      <c r="CI189" s="16">
        <f t="shared" si="229"/>
        <v>0</v>
      </c>
      <c r="CJ189" s="16">
        <f t="shared" si="229"/>
        <v>0</v>
      </c>
      <c r="CK189" s="16">
        <f t="shared" si="229"/>
        <v>0</v>
      </c>
      <c r="CL189" s="16">
        <f t="shared" si="229"/>
        <v>0</v>
      </c>
      <c r="CM189" s="16">
        <f t="shared" si="229"/>
        <v>0</v>
      </c>
      <c r="CN189" s="16">
        <f t="shared" si="229"/>
        <v>0</v>
      </c>
      <c r="CO189" s="16">
        <f t="shared" si="229"/>
        <v>0</v>
      </c>
      <c r="CP189" s="16">
        <f t="shared" si="229"/>
        <v>0</v>
      </c>
      <c r="CQ189" s="16">
        <f t="shared" si="229"/>
        <v>0</v>
      </c>
      <c r="CR189" s="16">
        <f t="shared" si="229"/>
        <v>0</v>
      </c>
      <c r="CS189" s="16">
        <f t="shared" si="229"/>
        <v>0</v>
      </c>
      <c r="CT189" s="16">
        <f t="shared" si="229"/>
        <v>0</v>
      </c>
      <c r="CU189" s="16">
        <f t="shared" si="229"/>
        <v>0</v>
      </c>
      <c r="CV189" s="16">
        <f t="shared" si="229"/>
        <v>0</v>
      </c>
      <c r="CW189" s="17">
        <f t="shared" si="229"/>
        <v>0</v>
      </c>
      <c r="CX189" s="40"/>
    </row>
    <row r="190" spans="1:102" ht="15.75" hidden="1" x14ac:dyDescent="0.25">
      <c r="A190" s="13" t="s">
        <v>1</v>
      </c>
      <c r="B190" s="14" t="s">
        <v>1</v>
      </c>
      <c r="C190" s="14" t="s">
        <v>19</v>
      </c>
      <c r="D190" s="30" t="s">
        <v>224</v>
      </c>
      <c r="E190" s="15">
        <f>SUM(F190+BY190+CT190)</f>
        <v>4583424</v>
      </c>
      <c r="F190" s="16">
        <f>SUM(G190+BA190)</f>
        <v>4583424</v>
      </c>
      <c r="G190" s="16">
        <f>SUM(H190+I190+J190+Q190+T190+U190+V190+AE190)</f>
        <v>0</v>
      </c>
      <c r="H190" s="16">
        <v>0</v>
      </c>
      <c r="I190" s="16">
        <v>0</v>
      </c>
      <c r="J190" s="16">
        <f t="shared" si="164"/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f t="shared" si="165"/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f>SUM(W190:AD190)</f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f>SUM(AF190:AZ190)</f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  <c r="AT190" s="16">
        <v>0</v>
      </c>
      <c r="AU190" s="16">
        <v>0</v>
      </c>
      <c r="AV190" s="16">
        <v>0</v>
      </c>
      <c r="AW190" s="16">
        <v>0</v>
      </c>
      <c r="AX190" s="16">
        <v>0</v>
      </c>
      <c r="AY190" s="16">
        <v>0</v>
      </c>
      <c r="AZ190" s="16">
        <v>0</v>
      </c>
      <c r="BA190" s="16">
        <f>SUM(BB190+BF190+BI190+BK190+BM190)</f>
        <v>4583424</v>
      </c>
      <c r="BB190" s="16">
        <f>SUM(BC190:BE190)</f>
        <v>0</v>
      </c>
      <c r="BC190" s="16">
        <v>0</v>
      </c>
      <c r="BD190" s="16">
        <v>0</v>
      </c>
      <c r="BE190" s="16">
        <v>0</v>
      </c>
      <c r="BF190" s="16">
        <f t="shared" si="166"/>
        <v>0</v>
      </c>
      <c r="BG190" s="16">
        <v>0</v>
      </c>
      <c r="BH190" s="16">
        <v>0</v>
      </c>
      <c r="BI190" s="16">
        <v>0</v>
      </c>
      <c r="BJ190" s="16">
        <v>0</v>
      </c>
      <c r="BK190" s="16">
        <f t="shared" si="167"/>
        <v>0</v>
      </c>
      <c r="BL190" s="16">
        <v>0</v>
      </c>
      <c r="BM190" s="16">
        <f t="shared" si="168"/>
        <v>4583424</v>
      </c>
      <c r="BN190" s="16">
        <v>0</v>
      </c>
      <c r="BO190" s="16">
        <v>4583424</v>
      </c>
      <c r="BP190" s="16">
        <v>0</v>
      </c>
      <c r="BQ190" s="16">
        <v>0</v>
      </c>
      <c r="BR190" s="16">
        <v>0</v>
      </c>
      <c r="BS190" s="16">
        <v>0</v>
      </c>
      <c r="BT190" s="16">
        <v>0</v>
      </c>
      <c r="BU190" s="16">
        <v>0</v>
      </c>
      <c r="BV190" s="16">
        <v>0</v>
      </c>
      <c r="BW190" s="16">
        <v>0</v>
      </c>
      <c r="BX190" s="16">
        <v>0</v>
      </c>
      <c r="BY190" s="16">
        <f>SUM(BZ190+CS190)</f>
        <v>0</v>
      </c>
      <c r="BZ190" s="16">
        <f>SUM(CA190+CD190+CK190)</f>
        <v>0</v>
      </c>
      <c r="CA190" s="16">
        <f t="shared" si="169"/>
        <v>0</v>
      </c>
      <c r="CB190" s="16">
        <v>0</v>
      </c>
      <c r="CC190" s="16">
        <v>0</v>
      </c>
      <c r="CD190" s="16">
        <f t="shared" si="170"/>
        <v>0</v>
      </c>
      <c r="CE190" s="16">
        <v>0</v>
      </c>
      <c r="CF190" s="16">
        <v>0</v>
      </c>
      <c r="CG190" s="16">
        <v>0</v>
      </c>
      <c r="CH190" s="16">
        <v>0</v>
      </c>
      <c r="CI190" s="16">
        <v>0</v>
      </c>
      <c r="CJ190" s="16">
        <v>0</v>
      </c>
      <c r="CK190" s="16">
        <f t="shared" si="171"/>
        <v>0</v>
      </c>
      <c r="CL190" s="16">
        <v>0</v>
      </c>
      <c r="CM190" s="16">
        <v>0</v>
      </c>
      <c r="CN190" s="16">
        <v>0</v>
      </c>
      <c r="CO190" s="16">
        <v>0</v>
      </c>
      <c r="CP190" s="16">
        <v>0</v>
      </c>
      <c r="CQ190" s="16">
        <v>0</v>
      </c>
      <c r="CR190" s="16">
        <v>0</v>
      </c>
      <c r="CS190" s="16">
        <v>0</v>
      </c>
      <c r="CT190" s="16">
        <f t="shared" si="172"/>
        <v>0</v>
      </c>
      <c r="CU190" s="16">
        <f t="shared" si="173"/>
        <v>0</v>
      </c>
      <c r="CV190" s="16">
        <v>0</v>
      </c>
      <c r="CW190" s="17">
        <v>0</v>
      </c>
      <c r="CX190" s="40"/>
    </row>
    <row r="191" spans="1:102" ht="31.5" hidden="1" x14ac:dyDescent="0.25">
      <c r="A191" s="13" t="s">
        <v>209</v>
      </c>
      <c r="B191" s="14" t="s">
        <v>225</v>
      </c>
      <c r="C191" s="14" t="s">
        <v>1</v>
      </c>
      <c r="D191" s="30" t="s">
        <v>226</v>
      </c>
      <c r="E191" s="15">
        <f>SUM(E192:E198)</f>
        <v>88209031</v>
      </c>
      <c r="F191" s="16">
        <f t="shared" ref="F191:BS191" si="230">SUM(F192:F198)</f>
        <v>88152995</v>
      </c>
      <c r="G191" s="16">
        <f t="shared" si="230"/>
        <v>2050857</v>
      </c>
      <c r="H191" s="16">
        <f t="shared" si="230"/>
        <v>1445355</v>
      </c>
      <c r="I191" s="16">
        <f t="shared" si="230"/>
        <v>186639</v>
      </c>
      <c r="J191" s="16">
        <f t="shared" si="230"/>
        <v>324652</v>
      </c>
      <c r="K191" s="16">
        <f t="shared" si="230"/>
        <v>0</v>
      </c>
      <c r="L191" s="16">
        <f t="shared" si="230"/>
        <v>8506</v>
      </c>
      <c r="M191" s="16">
        <f t="shared" si="230"/>
        <v>0</v>
      </c>
      <c r="N191" s="16">
        <f t="shared" si="230"/>
        <v>0</v>
      </c>
      <c r="O191" s="16">
        <f t="shared" si="230"/>
        <v>316146</v>
      </c>
      <c r="P191" s="16">
        <f t="shared" si="230"/>
        <v>0</v>
      </c>
      <c r="Q191" s="16">
        <f t="shared" si="230"/>
        <v>0</v>
      </c>
      <c r="R191" s="16">
        <f t="shared" si="230"/>
        <v>0</v>
      </c>
      <c r="S191" s="16">
        <f t="shared" si="230"/>
        <v>0</v>
      </c>
      <c r="T191" s="16">
        <f t="shared" si="230"/>
        <v>0</v>
      </c>
      <c r="U191" s="16">
        <f t="shared" si="230"/>
        <v>63987</v>
      </c>
      <c r="V191" s="16">
        <f t="shared" si="230"/>
        <v>0</v>
      </c>
      <c r="W191" s="16">
        <f t="shared" si="230"/>
        <v>0</v>
      </c>
      <c r="X191" s="16">
        <f t="shared" si="230"/>
        <v>0</v>
      </c>
      <c r="Y191" s="16">
        <f t="shared" si="230"/>
        <v>0</v>
      </c>
      <c r="Z191" s="16">
        <f t="shared" si="230"/>
        <v>0</v>
      </c>
      <c r="AA191" s="16">
        <f t="shared" si="230"/>
        <v>0</v>
      </c>
      <c r="AB191" s="16">
        <f t="shared" si="230"/>
        <v>0</v>
      </c>
      <c r="AC191" s="16">
        <f t="shared" si="230"/>
        <v>0</v>
      </c>
      <c r="AD191" s="16">
        <f t="shared" si="230"/>
        <v>0</v>
      </c>
      <c r="AE191" s="16">
        <f t="shared" si="230"/>
        <v>30224</v>
      </c>
      <c r="AF191" s="16">
        <f t="shared" si="230"/>
        <v>0</v>
      </c>
      <c r="AG191" s="16">
        <f t="shared" si="230"/>
        <v>0</v>
      </c>
      <c r="AH191" s="16">
        <f t="shared" si="230"/>
        <v>0</v>
      </c>
      <c r="AI191" s="16">
        <f t="shared" si="230"/>
        <v>0</v>
      </c>
      <c r="AJ191" s="16">
        <f t="shared" si="230"/>
        <v>0</v>
      </c>
      <c r="AK191" s="16">
        <f t="shared" si="230"/>
        <v>0</v>
      </c>
      <c r="AL191" s="16">
        <f t="shared" si="230"/>
        <v>6857</v>
      </c>
      <c r="AM191" s="16">
        <f t="shared" si="230"/>
        <v>0</v>
      </c>
      <c r="AN191" s="16">
        <f t="shared" si="230"/>
        <v>0</v>
      </c>
      <c r="AO191" s="16">
        <f t="shared" si="230"/>
        <v>0</v>
      </c>
      <c r="AP191" s="16">
        <f>SUM(AP192:AP198)</f>
        <v>0</v>
      </c>
      <c r="AQ191" s="16">
        <f t="shared" si="230"/>
        <v>0</v>
      </c>
      <c r="AR191" s="16">
        <f t="shared" si="230"/>
        <v>0</v>
      </c>
      <c r="AS191" s="16">
        <f t="shared" si="230"/>
        <v>0</v>
      </c>
      <c r="AT191" s="16">
        <f t="shared" si="230"/>
        <v>0</v>
      </c>
      <c r="AU191" s="16">
        <f t="shared" si="230"/>
        <v>0</v>
      </c>
      <c r="AV191" s="16">
        <f t="shared" si="230"/>
        <v>0</v>
      </c>
      <c r="AW191" s="16">
        <f t="shared" si="230"/>
        <v>23367</v>
      </c>
      <c r="AX191" s="16">
        <f t="shared" si="230"/>
        <v>0</v>
      </c>
      <c r="AY191" s="16">
        <f t="shared" si="230"/>
        <v>0</v>
      </c>
      <c r="AZ191" s="16">
        <f t="shared" si="230"/>
        <v>0</v>
      </c>
      <c r="BA191" s="16">
        <f t="shared" si="230"/>
        <v>86102138</v>
      </c>
      <c r="BB191" s="16">
        <f t="shared" si="230"/>
        <v>0</v>
      </c>
      <c r="BC191" s="16">
        <f t="shared" si="230"/>
        <v>0</v>
      </c>
      <c r="BD191" s="16">
        <f t="shared" si="230"/>
        <v>0</v>
      </c>
      <c r="BE191" s="16">
        <f t="shared" si="230"/>
        <v>0</v>
      </c>
      <c r="BF191" s="16">
        <f t="shared" si="230"/>
        <v>0</v>
      </c>
      <c r="BG191" s="16">
        <f t="shared" si="230"/>
        <v>0</v>
      </c>
      <c r="BH191" s="16">
        <f t="shared" si="230"/>
        <v>0</v>
      </c>
      <c r="BI191" s="16">
        <f t="shared" si="230"/>
        <v>0</v>
      </c>
      <c r="BJ191" s="16">
        <f t="shared" si="230"/>
        <v>0</v>
      </c>
      <c r="BK191" s="16">
        <f t="shared" si="230"/>
        <v>0</v>
      </c>
      <c r="BL191" s="16">
        <f t="shared" si="230"/>
        <v>0</v>
      </c>
      <c r="BM191" s="16">
        <f t="shared" si="230"/>
        <v>86102138</v>
      </c>
      <c r="BN191" s="16">
        <f t="shared" si="230"/>
        <v>0</v>
      </c>
      <c r="BO191" s="16">
        <f t="shared" si="230"/>
        <v>0</v>
      </c>
      <c r="BP191" s="16">
        <f t="shared" si="230"/>
        <v>0</v>
      </c>
      <c r="BQ191" s="16">
        <f t="shared" si="230"/>
        <v>0</v>
      </c>
      <c r="BR191" s="16">
        <f t="shared" si="230"/>
        <v>0</v>
      </c>
      <c r="BS191" s="16">
        <f t="shared" si="230"/>
        <v>0</v>
      </c>
      <c r="BT191" s="16">
        <f t="shared" ref="BT191:CW191" si="231">SUM(BT192:BT198)</f>
        <v>0</v>
      </c>
      <c r="BU191" s="16">
        <f t="shared" si="231"/>
        <v>0</v>
      </c>
      <c r="BV191" s="16">
        <f t="shared" si="231"/>
        <v>230042</v>
      </c>
      <c r="BW191" s="16">
        <f t="shared" si="231"/>
        <v>68075648</v>
      </c>
      <c r="BX191" s="16">
        <f t="shared" si="231"/>
        <v>17796448</v>
      </c>
      <c r="BY191" s="16">
        <f t="shared" si="231"/>
        <v>56036</v>
      </c>
      <c r="BZ191" s="16">
        <f t="shared" si="231"/>
        <v>56036</v>
      </c>
      <c r="CA191" s="16">
        <f t="shared" si="231"/>
        <v>56036</v>
      </c>
      <c r="CB191" s="16">
        <f t="shared" si="231"/>
        <v>0</v>
      </c>
      <c r="CC191" s="16">
        <f t="shared" si="231"/>
        <v>56036</v>
      </c>
      <c r="CD191" s="16">
        <f t="shared" si="231"/>
        <v>0</v>
      </c>
      <c r="CE191" s="16">
        <f t="shared" si="231"/>
        <v>0</v>
      </c>
      <c r="CF191" s="16">
        <f>SUM(CF192:CF198)</f>
        <v>0</v>
      </c>
      <c r="CG191" s="16">
        <f t="shared" si="231"/>
        <v>0</v>
      </c>
      <c r="CH191" s="16">
        <f t="shared" si="231"/>
        <v>0</v>
      </c>
      <c r="CI191" s="16">
        <f t="shared" si="231"/>
        <v>0</v>
      </c>
      <c r="CJ191" s="16">
        <f t="shared" si="231"/>
        <v>0</v>
      </c>
      <c r="CK191" s="16">
        <f t="shared" si="231"/>
        <v>0</v>
      </c>
      <c r="CL191" s="16">
        <f t="shared" si="231"/>
        <v>0</v>
      </c>
      <c r="CM191" s="16">
        <f>SUM(CM192:CM198)</f>
        <v>0</v>
      </c>
      <c r="CN191" s="16">
        <f t="shared" si="231"/>
        <v>0</v>
      </c>
      <c r="CO191" s="16">
        <f t="shared" si="231"/>
        <v>0</v>
      </c>
      <c r="CP191" s="16">
        <f t="shared" si="231"/>
        <v>0</v>
      </c>
      <c r="CQ191" s="16">
        <f t="shared" si="231"/>
        <v>0</v>
      </c>
      <c r="CR191" s="16">
        <f t="shared" si="231"/>
        <v>0</v>
      </c>
      <c r="CS191" s="16">
        <f t="shared" si="231"/>
        <v>0</v>
      </c>
      <c r="CT191" s="16">
        <f t="shared" si="231"/>
        <v>0</v>
      </c>
      <c r="CU191" s="16">
        <f t="shared" si="231"/>
        <v>0</v>
      </c>
      <c r="CV191" s="16">
        <f t="shared" si="231"/>
        <v>0</v>
      </c>
      <c r="CW191" s="17">
        <f t="shared" si="231"/>
        <v>0</v>
      </c>
      <c r="CX191" s="40"/>
    </row>
    <row r="192" spans="1:102" ht="31.5" hidden="1" x14ac:dyDescent="0.25">
      <c r="A192" s="13" t="s">
        <v>1</v>
      </c>
      <c r="B192" s="14" t="s">
        <v>1</v>
      </c>
      <c r="C192" s="14" t="s">
        <v>9</v>
      </c>
      <c r="D192" s="30" t="s">
        <v>227</v>
      </c>
      <c r="E192" s="15">
        <f t="shared" ref="E192:E198" si="232">SUM(F192+BY192+CT192)</f>
        <v>981206</v>
      </c>
      <c r="F192" s="16">
        <f t="shared" ref="F192:F198" si="233">SUM(G192+BA192)</f>
        <v>981206</v>
      </c>
      <c r="G192" s="16">
        <f t="shared" ref="G192:G198" si="234">SUM(H192+I192+J192+Q192+T192+U192+V192+AE192)</f>
        <v>608795</v>
      </c>
      <c r="H192" s="16">
        <v>399440</v>
      </c>
      <c r="I192" s="16">
        <v>96010</v>
      </c>
      <c r="J192" s="16">
        <f t="shared" si="164"/>
        <v>113345</v>
      </c>
      <c r="K192" s="16">
        <v>0</v>
      </c>
      <c r="L192" s="16">
        <v>0</v>
      </c>
      <c r="M192" s="16">
        <v>0</v>
      </c>
      <c r="N192" s="16">
        <v>0</v>
      </c>
      <c r="O192" s="16">
        <v>113345</v>
      </c>
      <c r="P192" s="16">
        <v>0</v>
      </c>
      <c r="Q192" s="16">
        <f t="shared" si="165"/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f t="shared" ref="V192:V198" si="235">SUM(W192:AD192)</f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f t="shared" ref="AE192:AE198" si="236">SUM(AF192:AZ192)</f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6">
        <v>0</v>
      </c>
      <c r="AW192" s="16">
        <v>0</v>
      </c>
      <c r="AX192" s="16">
        <v>0</v>
      </c>
      <c r="AY192" s="16">
        <v>0</v>
      </c>
      <c r="AZ192" s="16">
        <v>0</v>
      </c>
      <c r="BA192" s="16">
        <f t="shared" ref="BA192:BA198" si="237">SUM(BB192+BF192+BI192+BK192+BM192)</f>
        <v>372411</v>
      </c>
      <c r="BB192" s="16">
        <f t="shared" ref="BB192:BB198" si="238">SUM(BC192:BE192)</f>
        <v>0</v>
      </c>
      <c r="BC192" s="16">
        <v>0</v>
      </c>
      <c r="BD192" s="16">
        <v>0</v>
      </c>
      <c r="BE192" s="16">
        <v>0</v>
      </c>
      <c r="BF192" s="16">
        <f t="shared" si="166"/>
        <v>0</v>
      </c>
      <c r="BG192" s="16">
        <v>0</v>
      </c>
      <c r="BH192" s="16">
        <v>0</v>
      </c>
      <c r="BI192" s="16">
        <v>0</v>
      </c>
      <c r="BJ192" s="16">
        <v>0</v>
      </c>
      <c r="BK192" s="16">
        <f t="shared" si="167"/>
        <v>0</v>
      </c>
      <c r="BL192" s="16">
        <v>0</v>
      </c>
      <c r="BM192" s="16">
        <f t="shared" si="168"/>
        <v>372411</v>
      </c>
      <c r="BN192" s="16">
        <v>0</v>
      </c>
      <c r="BO192" s="16">
        <v>0</v>
      </c>
      <c r="BP192" s="16">
        <v>0</v>
      </c>
      <c r="BQ192" s="16">
        <v>0</v>
      </c>
      <c r="BR192" s="16">
        <v>0</v>
      </c>
      <c r="BS192" s="16">
        <v>0</v>
      </c>
      <c r="BT192" s="16">
        <v>0</v>
      </c>
      <c r="BU192" s="16">
        <v>0</v>
      </c>
      <c r="BV192" s="16">
        <v>0</v>
      </c>
      <c r="BW192" s="16">
        <v>372411</v>
      </c>
      <c r="BX192" s="16">
        <v>0</v>
      </c>
      <c r="BY192" s="16">
        <f t="shared" ref="BY192:BY198" si="239">SUM(BZ192+CS192)</f>
        <v>0</v>
      </c>
      <c r="BZ192" s="16">
        <f t="shared" ref="BZ192:BZ198" si="240">SUM(CA192+CD192+CK192)</f>
        <v>0</v>
      </c>
      <c r="CA192" s="16">
        <f t="shared" si="169"/>
        <v>0</v>
      </c>
      <c r="CB192" s="16">
        <v>0</v>
      </c>
      <c r="CC192" s="16">
        <v>0</v>
      </c>
      <c r="CD192" s="16">
        <f t="shared" si="170"/>
        <v>0</v>
      </c>
      <c r="CE192" s="16">
        <v>0</v>
      </c>
      <c r="CF192" s="16">
        <v>0</v>
      </c>
      <c r="CG192" s="16">
        <v>0</v>
      </c>
      <c r="CH192" s="16">
        <v>0</v>
      </c>
      <c r="CI192" s="16">
        <v>0</v>
      </c>
      <c r="CJ192" s="16">
        <v>0</v>
      </c>
      <c r="CK192" s="16">
        <f t="shared" si="171"/>
        <v>0</v>
      </c>
      <c r="CL192" s="16">
        <v>0</v>
      </c>
      <c r="CM192" s="16">
        <v>0</v>
      </c>
      <c r="CN192" s="16">
        <v>0</v>
      </c>
      <c r="CO192" s="16">
        <v>0</v>
      </c>
      <c r="CP192" s="16">
        <v>0</v>
      </c>
      <c r="CQ192" s="16">
        <v>0</v>
      </c>
      <c r="CR192" s="16">
        <v>0</v>
      </c>
      <c r="CS192" s="16">
        <v>0</v>
      </c>
      <c r="CT192" s="16">
        <f t="shared" si="172"/>
        <v>0</v>
      </c>
      <c r="CU192" s="16">
        <f t="shared" si="173"/>
        <v>0</v>
      </c>
      <c r="CV192" s="16">
        <v>0</v>
      </c>
      <c r="CW192" s="17">
        <v>0</v>
      </c>
      <c r="CX192" s="40"/>
    </row>
    <row r="193" spans="1:102" ht="31.5" hidden="1" x14ac:dyDescent="0.25">
      <c r="A193" s="13" t="s">
        <v>1</v>
      </c>
      <c r="B193" s="14" t="s">
        <v>1</v>
      </c>
      <c r="C193" s="14" t="s">
        <v>5</v>
      </c>
      <c r="D193" s="30" t="s">
        <v>228</v>
      </c>
      <c r="E193" s="15">
        <f t="shared" si="232"/>
        <v>1567421</v>
      </c>
      <c r="F193" s="16">
        <f t="shared" si="233"/>
        <v>1525099</v>
      </c>
      <c r="G193" s="16">
        <f t="shared" si="234"/>
        <v>767257</v>
      </c>
      <c r="H193" s="16">
        <v>447538</v>
      </c>
      <c r="I193" s="16">
        <v>52931</v>
      </c>
      <c r="J193" s="16">
        <f t="shared" si="164"/>
        <v>202801</v>
      </c>
      <c r="K193" s="16">
        <v>0</v>
      </c>
      <c r="L193" s="16">
        <v>0</v>
      </c>
      <c r="M193" s="16">
        <v>0</v>
      </c>
      <c r="N193" s="16">
        <v>0</v>
      </c>
      <c r="O193" s="16">
        <v>202801</v>
      </c>
      <c r="P193" s="16">
        <v>0</v>
      </c>
      <c r="Q193" s="16">
        <f t="shared" si="165"/>
        <v>0</v>
      </c>
      <c r="R193" s="16">
        <v>0</v>
      </c>
      <c r="S193" s="16">
        <v>0</v>
      </c>
      <c r="T193" s="16">
        <v>0</v>
      </c>
      <c r="U193" s="16">
        <v>63987</v>
      </c>
      <c r="V193" s="16">
        <f t="shared" si="235"/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f t="shared" si="236"/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6">
        <v>0</v>
      </c>
      <c r="AW193" s="16">
        <v>0</v>
      </c>
      <c r="AX193" s="16">
        <v>0</v>
      </c>
      <c r="AY193" s="16">
        <v>0</v>
      </c>
      <c r="AZ193" s="16">
        <v>0</v>
      </c>
      <c r="BA193" s="16">
        <f t="shared" si="237"/>
        <v>757842</v>
      </c>
      <c r="BB193" s="16">
        <f t="shared" si="238"/>
        <v>0</v>
      </c>
      <c r="BC193" s="16">
        <v>0</v>
      </c>
      <c r="BD193" s="16">
        <v>0</v>
      </c>
      <c r="BE193" s="16">
        <v>0</v>
      </c>
      <c r="BF193" s="16">
        <f t="shared" si="166"/>
        <v>0</v>
      </c>
      <c r="BG193" s="16">
        <v>0</v>
      </c>
      <c r="BH193" s="16">
        <v>0</v>
      </c>
      <c r="BI193" s="16">
        <v>0</v>
      </c>
      <c r="BJ193" s="16">
        <v>0</v>
      </c>
      <c r="BK193" s="16">
        <f t="shared" si="167"/>
        <v>0</v>
      </c>
      <c r="BL193" s="16">
        <v>0</v>
      </c>
      <c r="BM193" s="16">
        <f t="shared" si="168"/>
        <v>757842</v>
      </c>
      <c r="BN193" s="16">
        <v>0</v>
      </c>
      <c r="BO193" s="16">
        <v>0</v>
      </c>
      <c r="BP193" s="16">
        <v>0</v>
      </c>
      <c r="BQ193" s="16">
        <v>0</v>
      </c>
      <c r="BR193" s="16">
        <v>0</v>
      </c>
      <c r="BS193" s="16">
        <v>0</v>
      </c>
      <c r="BT193" s="16">
        <v>0</v>
      </c>
      <c r="BU193" s="16">
        <v>0</v>
      </c>
      <c r="BV193" s="16">
        <v>0</v>
      </c>
      <c r="BW193" s="16">
        <v>757842</v>
      </c>
      <c r="BX193" s="16">
        <v>0</v>
      </c>
      <c r="BY193" s="16">
        <f t="shared" si="239"/>
        <v>42322</v>
      </c>
      <c r="BZ193" s="16">
        <f t="shared" si="240"/>
        <v>42322</v>
      </c>
      <c r="CA193" s="16">
        <f t="shared" si="169"/>
        <v>42322</v>
      </c>
      <c r="CB193" s="16">
        <v>0</v>
      </c>
      <c r="CC193" s="16">
        <v>42322</v>
      </c>
      <c r="CD193" s="16">
        <f t="shared" si="170"/>
        <v>0</v>
      </c>
      <c r="CE193" s="16">
        <v>0</v>
      </c>
      <c r="CF193" s="16">
        <v>0</v>
      </c>
      <c r="CG193" s="16">
        <v>0</v>
      </c>
      <c r="CH193" s="16">
        <v>0</v>
      </c>
      <c r="CI193" s="16">
        <v>0</v>
      </c>
      <c r="CJ193" s="16">
        <v>0</v>
      </c>
      <c r="CK193" s="16">
        <f t="shared" si="171"/>
        <v>0</v>
      </c>
      <c r="CL193" s="16">
        <v>0</v>
      </c>
      <c r="CM193" s="16">
        <v>0</v>
      </c>
      <c r="CN193" s="16">
        <v>0</v>
      </c>
      <c r="CO193" s="16">
        <v>0</v>
      </c>
      <c r="CP193" s="16">
        <v>0</v>
      </c>
      <c r="CQ193" s="16">
        <v>0</v>
      </c>
      <c r="CR193" s="16">
        <v>0</v>
      </c>
      <c r="CS193" s="16">
        <v>0</v>
      </c>
      <c r="CT193" s="16">
        <f t="shared" si="172"/>
        <v>0</v>
      </c>
      <c r="CU193" s="16">
        <f t="shared" si="173"/>
        <v>0</v>
      </c>
      <c r="CV193" s="16">
        <v>0</v>
      </c>
      <c r="CW193" s="17">
        <v>0</v>
      </c>
      <c r="CX193" s="40"/>
    </row>
    <row r="194" spans="1:102" ht="31.5" hidden="1" x14ac:dyDescent="0.25">
      <c r="A194" s="13" t="s">
        <v>1</v>
      </c>
      <c r="B194" s="14" t="s">
        <v>1</v>
      </c>
      <c r="C194" s="14" t="s">
        <v>19</v>
      </c>
      <c r="D194" s="30" t="s">
        <v>232</v>
      </c>
      <c r="E194" s="15">
        <f t="shared" si="232"/>
        <v>23543913</v>
      </c>
      <c r="F194" s="16">
        <f t="shared" si="233"/>
        <v>23543913</v>
      </c>
      <c r="G194" s="16">
        <f t="shared" si="234"/>
        <v>0</v>
      </c>
      <c r="H194" s="16">
        <v>0</v>
      </c>
      <c r="I194" s="16">
        <v>0</v>
      </c>
      <c r="J194" s="16">
        <f>SUM(K194:P194)</f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f>SUM(R194:S194)</f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f t="shared" si="235"/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f t="shared" si="236"/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16">
        <v>0</v>
      </c>
      <c r="AU194" s="16">
        <v>0</v>
      </c>
      <c r="AV194" s="16">
        <v>0</v>
      </c>
      <c r="AW194" s="16">
        <v>0</v>
      </c>
      <c r="AX194" s="16">
        <v>0</v>
      </c>
      <c r="AY194" s="16">
        <v>0</v>
      </c>
      <c r="AZ194" s="16">
        <v>0</v>
      </c>
      <c r="BA194" s="16">
        <f t="shared" si="237"/>
        <v>23543913</v>
      </c>
      <c r="BB194" s="16">
        <f t="shared" si="238"/>
        <v>0</v>
      </c>
      <c r="BC194" s="16">
        <v>0</v>
      </c>
      <c r="BD194" s="16">
        <v>0</v>
      </c>
      <c r="BE194" s="16">
        <v>0</v>
      </c>
      <c r="BF194" s="16">
        <f>SUM(BG194:BH194)</f>
        <v>0</v>
      </c>
      <c r="BG194" s="16">
        <v>0</v>
      </c>
      <c r="BH194" s="16">
        <v>0</v>
      </c>
      <c r="BI194" s="16">
        <v>0</v>
      </c>
      <c r="BJ194" s="16">
        <v>0</v>
      </c>
      <c r="BK194" s="16">
        <f>SUM(BL194)</f>
        <v>0</v>
      </c>
      <c r="BL194" s="16">
        <v>0</v>
      </c>
      <c r="BM194" s="16">
        <f>SUM(BN194:BX194)</f>
        <v>23543913</v>
      </c>
      <c r="BN194" s="16">
        <v>0</v>
      </c>
      <c r="BO194" s="16">
        <v>0</v>
      </c>
      <c r="BP194" s="16">
        <v>0</v>
      </c>
      <c r="BQ194" s="16">
        <v>0</v>
      </c>
      <c r="BR194" s="16">
        <v>0</v>
      </c>
      <c r="BS194" s="16">
        <v>0</v>
      </c>
      <c r="BT194" s="16">
        <v>0</v>
      </c>
      <c r="BU194" s="16">
        <v>0</v>
      </c>
      <c r="BV194" s="16">
        <f>262080-32038</f>
        <v>230042</v>
      </c>
      <c r="BW194" s="16">
        <f>6423146+331407-21146</f>
        <v>6733407</v>
      </c>
      <c r="BX194" s="16">
        <f>16580464</f>
        <v>16580464</v>
      </c>
      <c r="BY194" s="16">
        <f t="shared" si="239"/>
        <v>0</v>
      </c>
      <c r="BZ194" s="16">
        <f t="shared" si="240"/>
        <v>0</v>
      </c>
      <c r="CA194" s="16">
        <f>SUM(CB194:CC194)</f>
        <v>0</v>
      </c>
      <c r="CB194" s="16">
        <v>0</v>
      </c>
      <c r="CC194" s="16">
        <v>0</v>
      </c>
      <c r="CD194" s="16">
        <f>SUM(CE194:CI194)</f>
        <v>0</v>
      </c>
      <c r="CE194" s="16">
        <v>0</v>
      </c>
      <c r="CF194" s="16">
        <v>0</v>
      </c>
      <c r="CG194" s="16">
        <v>0</v>
      </c>
      <c r="CH194" s="16">
        <v>0</v>
      </c>
      <c r="CI194" s="16">
        <v>0</v>
      </c>
      <c r="CJ194" s="16">
        <v>0</v>
      </c>
      <c r="CK194" s="16">
        <f>SUM(CL194:CP194)</f>
        <v>0</v>
      </c>
      <c r="CL194" s="16">
        <v>0</v>
      </c>
      <c r="CM194" s="16">
        <v>0</v>
      </c>
      <c r="CN194" s="16">
        <v>0</v>
      </c>
      <c r="CO194" s="16">
        <v>0</v>
      </c>
      <c r="CP194" s="16">
        <v>0</v>
      </c>
      <c r="CQ194" s="16">
        <v>0</v>
      </c>
      <c r="CR194" s="16">
        <v>0</v>
      </c>
      <c r="CS194" s="16">
        <v>0</v>
      </c>
      <c r="CT194" s="16">
        <f>SUM(CU194)</f>
        <v>0</v>
      </c>
      <c r="CU194" s="16">
        <f>SUM(CV194:CW194)</f>
        <v>0</v>
      </c>
      <c r="CV194" s="16">
        <v>0</v>
      </c>
      <c r="CW194" s="17">
        <v>0</v>
      </c>
      <c r="CX194" s="40"/>
    </row>
    <row r="195" spans="1:102" ht="15.75" hidden="1" x14ac:dyDescent="0.25">
      <c r="A195" s="13" t="s">
        <v>1</v>
      </c>
      <c r="B195" s="14" t="s">
        <v>1</v>
      </c>
      <c r="C195" s="14" t="s">
        <v>19</v>
      </c>
      <c r="D195" s="30" t="s">
        <v>231</v>
      </c>
      <c r="E195" s="15">
        <f t="shared" si="232"/>
        <v>54383009</v>
      </c>
      <c r="F195" s="16">
        <f t="shared" si="233"/>
        <v>54383009</v>
      </c>
      <c r="G195" s="16">
        <f t="shared" si="234"/>
        <v>0</v>
      </c>
      <c r="H195" s="16">
        <v>0</v>
      </c>
      <c r="I195" s="16">
        <v>0</v>
      </c>
      <c r="J195" s="16">
        <f t="shared" si="164"/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f t="shared" si="165"/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f t="shared" si="235"/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f t="shared" si="236"/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f t="shared" si="237"/>
        <v>54383009</v>
      </c>
      <c r="BB195" s="16">
        <f t="shared" si="238"/>
        <v>0</v>
      </c>
      <c r="BC195" s="16">
        <v>0</v>
      </c>
      <c r="BD195" s="16">
        <v>0</v>
      </c>
      <c r="BE195" s="16">
        <v>0</v>
      </c>
      <c r="BF195" s="16">
        <f t="shared" si="166"/>
        <v>0</v>
      </c>
      <c r="BG195" s="16">
        <v>0</v>
      </c>
      <c r="BH195" s="16">
        <v>0</v>
      </c>
      <c r="BI195" s="16">
        <v>0</v>
      </c>
      <c r="BJ195" s="16">
        <v>0</v>
      </c>
      <c r="BK195" s="16">
        <f t="shared" si="167"/>
        <v>0</v>
      </c>
      <c r="BL195" s="16">
        <v>0</v>
      </c>
      <c r="BM195" s="16">
        <f t="shared" si="168"/>
        <v>54383009</v>
      </c>
      <c r="BN195" s="16">
        <v>0</v>
      </c>
      <c r="BO195" s="16">
        <v>0</v>
      </c>
      <c r="BP195" s="16">
        <v>0</v>
      </c>
      <c r="BQ195" s="16">
        <v>0</v>
      </c>
      <c r="BR195" s="16">
        <v>0</v>
      </c>
      <c r="BS195" s="16">
        <v>0</v>
      </c>
      <c r="BT195" s="16">
        <v>0</v>
      </c>
      <c r="BU195" s="16">
        <v>0</v>
      </c>
      <c r="BV195" s="16">
        <v>0</v>
      </c>
      <c r="BW195" s="16">
        <f>53922362+38907</f>
        <v>53961269</v>
      </c>
      <c r="BX195" s="16">
        <v>421740</v>
      </c>
      <c r="BY195" s="16">
        <f t="shared" si="239"/>
        <v>0</v>
      </c>
      <c r="BZ195" s="16">
        <f t="shared" si="240"/>
        <v>0</v>
      </c>
      <c r="CA195" s="16">
        <f t="shared" si="169"/>
        <v>0</v>
      </c>
      <c r="CB195" s="16">
        <v>0</v>
      </c>
      <c r="CC195" s="16">
        <v>0</v>
      </c>
      <c r="CD195" s="16">
        <f t="shared" si="170"/>
        <v>0</v>
      </c>
      <c r="CE195" s="16">
        <v>0</v>
      </c>
      <c r="CF195" s="16">
        <v>0</v>
      </c>
      <c r="CG195" s="16">
        <v>0</v>
      </c>
      <c r="CH195" s="16">
        <v>0</v>
      </c>
      <c r="CI195" s="16">
        <v>0</v>
      </c>
      <c r="CJ195" s="16">
        <v>0</v>
      </c>
      <c r="CK195" s="16">
        <f t="shared" si="171"/>
        <v>0</v>
      </c>
      <c r="CL195" s="16">
        <v>0</v>
      </c>
      <c r="CM195" s="16">
        <v>0</v>
      </c>
      <c r="CN195" s="16">
        <v>0</v>
      </c>
      <c r="CO195" s="16">
        <v>0</v>
      </c>
      <c r="CP195" s="16">
        <v>0</v>
      </c>
      <c r="CQ195" s="16">
        <v>0</v>
      </c>
      <c r="CR195" s="16">
        <v>0</v>
      </c>
      <c r="CS195" s="16">
        <v>0</v>
      </c>
      <c r="CT195" s="16">
        <f t="shared" si="172"/>
        <v>0</v>
      </c>
      <c r="CU195" s="16">
        <f t="shared" si="173"/>
        <v>0</v>
      </c>
      <c r="CV195" s="16">
        <v>0</v>
      </c>
      <c r="CW195" s="17">
        <v>0</v>
      </c>
      <c r="CX195" s="40"/>
    </row>
    <row r="196" spans="1:102" ht="31.5" hidden="1" x14ac:dyDescent="0.25">
      <c r="A196" s="13" t="s">
        <v>1</v>
      </c>
      <c r="B196" s="14" t="s">
        <v>1</v>
      </c>
      <c r="C196" s="14" t="s">
        <v>19</v>
      </c>
      <c r="D196" s="30" t="s">
        <v>230</v>
      </c>
      <c r="E196" s="15">
        <f t="shared" si="232"/>
        <v>6552939</v>
      </c>
      <c r="F196" s="16">
        <f t="shared" si="233"/>
        <v>6552939</v>
      </c>
      <c r="G196" s="16">
        <f t="shared" si="234"/>
        <v>0</v>
      </c>
      <c r="H196" s="16">
        <v>0</v>
      </c>
      <c r="I196" s="16">
        <v>0</v>
      </c>
      <c r="J196" s="16">
        <f>SUM(K196:P196)</f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f>SUM(R196:S196)</f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f t="shared" si="235"/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f t="shared" si="236"/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  <c r="AT196" s="16">
        <v>0</v>
      </c>
      <c r="AU196" s="16">
        <v>0</v>
      </c>
      <c r="AV196" s="16">
        <v>0</v>
      </c>
      <c r="AW196" s="16">
        <v>0</v>
      </c>
      <c r="AX196" s="16">
        <v>0</v>
      </c>
      <c r="AY196" s="16">
        <v>0</v>
      </c>
      <c r="AZ196" s="16">
        <v>0</v>
      </c>
      <c r="BA196" s="16">
        <f t="shared" si="237"/>
        <v>6552939</v>
      </c>
      <c r="BB196" s="16">
        <f t="shared" si="238"/>
        <v>0</v>
      </c>
      <c r="BC196" s="16">
        <v>0</v>
      </c>
      <c r="BD196" s="16">
        <v>0</v>
      </c>
      <c r="BE196" s="16">
        <v>0</v>
      </c>
      <c r="BF196" s="16">
        <f>SUM(BG196:BH196)</f>
        <v>0</v>
      </c>
      <c r="BG196" s="16">
        <v>0</v>
      </c>
      <c r="BH196" s="16">
        <v>0</v>
      </c>
      <c r="BI196" s="16">
        <v>0</v>
      </c>
      <c r="BJ196" s="16">
        <v>0</v>
      </c>
      <c r="BK196" s="16">
        <f>SUM(BL196)</f>
        <v>0</v>
      </c>
      <c r="BL196" s="16">
        <v>0</v>
      </c>
      <c r="BM196" s="16">
        <f>SUM(BN196:BX196)</f>
        <v>6552939</v>
      </c>
      <c r="BN196" s="16">
        <v>0</v>
      </c>
      <c r="BO196" s="16">
        <v>0</v>
      </c>
      <c r="BP196" s="16">
        <v>0</v>
      </c>
      <c r="BQ196" s="16">
        <v>0</v>
      </c>
      <c r="BR196" s="16">
        <v>0</v>
      </c>
      <c r="BS196" s="16">
        <v>0</v>
      </c>
      <c r="BT196" s="16">
        <v>0</v>
      </c>
      <c r="BU196" s="16">
        <v>0</v>
      </c>
      <c r="BV196" s="16">
        <v>0</v>
      </c>
      <c r="BW196" s="16">
        <f>7602063-1351344</f>
        <v>6250719</v>
      </c>
      <c r="BX196" s="16">
        <v>302220</v>
      </c>
      <c r="BY196" s="16">
        <f t="shared" si="239"/>
        <v>0</v>
      </c>
      <c r="BZ196" s="16">
        <f t="shared" si="240"/>
        <v>0</v>
      </c>
      <c r="CA196" s="16">
        <f>SUM(CB196:CC196)</f>
        <v>0</v>
      </c>
      <c r="CB196" s="16">
        <v>0</v>
      </c>
      <c r="CC196" s="16">
        <v>0</v>
      </c>
      <c r="CD196" s="16">
        <f>SUM(CE196:CI196)</f>
        <v>0</v>
      </c>
      <c r="CE196" s="16">
        <v>0</v>
      </c>
      <c r="CF196" s="16">
        <v>0</v>
      </c>
      <c r="CG196" s="16">
        <v>0</v>
      </c>
      <c r="CH196" s="16">
        <v>0</v>
      </c>
      <c r="CI196" s="16">
        <v>0</v>
      </c>
      <c r="CJ196" s="16">
        <v>0</v>
      </c>
      <c r="CK196" s="16">
        <f>SUM(CL196:CP196)</f>
        <v>0</v>
      </c>
      <c r="CL196" s="16">
        <v>0</v>
      </c>
      <c r="CM196" s="16">
        <v>0</v>
      </c>
      <c r="CN196" s="16">
        <v>0</v>
      </c>
      <c r="CO196" s="16">
        <v>0</v>
      </c>
      <c r="CP196" s="16">
        <v>0</v>
      </c>
      <c r="CQ196" s="16">
        <v>0</v>
      </c>
      <c r="CR196" s="16">
        <v>0</v>
      </c>
      <c r="CS196" s="16">
        <v>0</v>
      </c>
      <c r="CT196" s="16">
        <f>SUM(CU196)</f>
        <v>0</v>
      </c>
      <c r="CU196" s="16">
        <f>SUM(CV196:CW196)</f>
        <v>0</v>
      </c>
      <c r="CV196" s="16">
        <v>0</v>
      </c>
      <c r="CW196" s="17">
        <v>0</v>
      </c>
      <c r="CX196" s="40"/>
    </row>
    <row r="197" spans="1:102" ht="15.75" hidden="1" x14ac:dyDescent="0.25">
      <c r="A197" s="13" t="s">
        <v>1</v>
      </c>
      <c r="B197" s="14" t="s">
        <v>1</v>
      </c>
      <c r="C197" s="14" t="s">
        <v>19</v>
      </c>
      <c r="D197" s="30" t="s">
        <v>229</v>
      </c>
      <c r="E197" s="15">
        <f t="shared" si="232"/>
        <v>170976</v>
      </c>
      <c r="F197" s="16">
        <f t="shared" si="233"/>
        <v>170976</v>
      </c>
      <c r="G197" s="16">
        <f t="shared" si="234"/>
        <v>0</v>
      </c>
      <c r="H197" s="16">
        <v>0</v>
      </c>
      <c r="I197" s="16">
        <v>0</v>
      </c>
      <c r="J197" s="16">
        <f>SUM(K197:P197)</f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f>SUM(R197:S197)</f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f t="shared" si="235"/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f t="shared" si="236"/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16">
        <v>0</v>
      </c>
      <c r="AZ197" s="16">
        <v>0</v>
      </c>
      <c r="BA197" s="16">
        <f t="shared" si="237"/>
        <v>170976</v>
      </c>
      <c r="BB197" s="16">
        <f t="shared" si="238"/>
        <v>0</v>
      </c>
      <c r="BC197" s="16">
        <v>0</v>
      </c>
      <c r="BD197" s="16">
        <v>0</v>
      </c>
      <c r="BE197" s="16">
        <v>0</v>
      </c>
      <c r="BF197" s="16">
        <f>SUM(BG197:BH197)</f>
        <v>0</v>
      </c>
      <c r="BG197" s="16">
        <v>0</v>
      </c>
      <c r="BH197" s="16">
        <v>0</v>
      </c>
      <c r="BI197" s="16">
        <v>0</v>
      </c>
      <c r="BJ197" s="16">
        <v>0</v>
      </c>
      <c r="BK197" s="16">
        <f>SUM(BL197)</f>
        <v>0</v>
      </c>
      <c r="BL197" s="16">
        <v>0</v>
      </c>
      <c r="BM197" s="16">
        <f>SUM(BN197:BX197)</f>
        <v>170976</v>
      </c>
      <c r="BN197" s="16">
        <v>0</v>
      </c>
      <c r="BO197" s="16">
        <v>0</v>
      </c>
      <c r="BP197" s="16">
        <v>0</v>
      </c>
      <c r="BQ197" s="16">
        <v>0</v>
      </c>
      <c r="BR197" s="16">
        <v>0</v>
      </c>
      <c r="BS197" s="16">
        <v>0</v>
      </c>
      <c r="BT197" s="16">
        <v>0</v>
      </c>
      <c r="BU197" s="16">
        <v>0</v>
      </c>
      <c r="BV197" s="16">
        <v>0</v>
      </c>
      <c r="BW197" s="16">
        <v>0</v>
      </c>
      <c r="BX197" s="16">
        <f>374694-203718</f>
        <v>170976</v>
      </c>
      <c r="BY197" s="16">
        <f t="shared" si="239"/>
        <v>0</v>
      </c>
      <c r="BZ197" s="16">
        <f t="shared" si="240"/>
        <v>0</v>
      </c>
      <c r="CA197" s="16">
        <f>SUM(CB197:CC197)</f>
        <v>0</v>
      </c>
      <c r="CB197" s="16">
        <v>0</v>
      </c>
      <c r="CC197" s="16">
        <v>0</v>
      </c>
      <c r="CD197" s="16">
        <f>SUM(CE197:CI197)</f>
        <v>0</v>
      </c>
      <c r="CE197" s="16">
        <v>0</v>
      </c>
      <c r="CF197" s="16">
        <v>0</v>
      </c>
      <c r="CG197" s="16">
        <v>0</v>
      </c>
      <c r="CH197" s="16">
        <v>0</v>
      </c>
      <c r="CI197" s="16">
        <v>0</v>
      </c>
      <c r="CJ197" s="16">
        <v>0</v>
      </c>
      <c r="CK197" s="16">
        <f>SUM(CL197:CP197)</f>
        <v>0</v>
      </c>
      <c r="CL197" s="16">
        <v>0</v>
      </c>
      <c r="CM197" s="16">
        <v>0</v>
      </c>
      <c r="CN197" s="16">
        <v>0</v>
      </c>
      <c r="CO197" s="16">
        <v>0</v>
      </c>
      <c r="CP197" s="16">
        <v>0</v>
      </c>
      <c r="CQ197" s="16">
        <v>0</v>
      </c>
      <c r="CR197" s="16">
        <v>0</v>
      </c>
      <c r="CS197" s="16">
        <v>0</v>
      </c>
      <c r="CT197" s="16">
        <f>SUM(CU197)</f>
        <v>0</v>
      </c>
      <c r="CU197" s="16">
        <f>SUM(CV197:CW197)</f>
        <v>0</v>
      </c>
      <c r="CV197" s="16">
        <v>0</v>
      </c>
      <c r="CW197" s="17">
        <v>0</v>
      </c>
      <c r="CX197" s="40"/>
    </row>
    <row r="198" spans="1:102" ht="15.75" hidden="1" x14ac:dyDescent="0.25">
      <c r="A198" s="13" t="s">
        <v>1</v>
      </c>
      <c r="B198" s="14" t="s">
        <v>1</v>
      </c>
      <c r="C198" s="14" t="s">
        <v>113</v>
      </c>
      <c r="D198" s="30" t="s">
        <v>553</v>
      </c>
      <c r="E198" s="15">
        <f t="shared" si="232"/>
        <v>1009567</v>
      </c>
      <c r="F198" s="16">
        <f t="shared" si="233"/>
        <v>995853</v>
      </c>
      <c r="G198" s="16">
        <f t="shared" si="234"/>
        <v>674805</v>
      </c>
      <c r="H198" s="16">
        <v>598377</v>
      </c>
      <c r="I198" s="16">
        <v>37698</v>
      </c>
      <c r="J198" s="16">
        <f t="shared" si="164"/>
        <v>8506</v>
      </c>
      <c r="K198" s="16">
        <v>0</v>
      </c>
      <c r="L198" s="16">
        <v>8506</v>
      </c>
      <c r="M198" s="16">
        <v>0</v>
      </c>
      <c r="N198" s="16">
        <v>0</v>
      </c>
      <c r="O198" s="16">
        <v>0</v>
      </c>
      <c r="P198" s="16">
        <v>0</v>
      </c>
      <c r="Q198" s="16">
        <f t="shared" si="165"/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f t="shared" si="235"/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f t="shared" si="236"/>
        <v>30224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6857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23367</v>
      </c>
      <c r="AX198" s="16">
        <v>0</v>
      </c>
      <c r="AY198" s="16">
        <v>0</v>
      </c>
      <c r="AZ198" s="16">
        <v>0</v>
      </c>
      <c r="BA198" s="16">
        <f t="shared" si="237"/>
        <v>321048</v>
      </c>
      <c r="BB198" s="16">
        <f t="shared" si="238"/>
        <v>0</v>
      </c>
      <c r="BC198" s="16">
        <v>0</v>
      </c>
      <c r="BD198" s="16">
        <v>0</v>
      </c>
      <c r="BE198" s="16">
        <v>0</v>
      </c>
      <c r="BF198" s="16">
        <f t="shared" si="166"/>
        <v>0</v>
      </c>
      <c r="BG198" s="16">
        <v>0</v>
      </c>
      <c r="BH198" s="16">
        <v>0</v>
      </c>
      <c r="BI198" s="16">
        <v>0</v>
      </c>
      <c r="BJ198" s="16">
        <v>0</v>
      </c>
      <c r="BK198" s="16">
        <f t="shared" si="167"/>
        <v>0</v>
      </c>
      <c r="BL198" s="16">
        <v>0</v>
      </c>
      <c r="BM198" s="16">
        <f t="shared" si="168"/>
        <v>321048</v>
      </c>
      <c r="BN198" s="16">
        <v>0</v>
      </c>
      <c r="BO198" s="16">
        <v>0</v>
      </c>
      <c r="BP198" s="16">
        <v>0</v>
      </c>
      <c r="BQ198" s="16">
        <v>0</v>
      </c>
      <c r="BR198" s="16">
        <v>0</v>
      </c>
      <c r="BS198" s="16">
        <v>0</v>
      </c>
      <c r="BT198" s="16">
        <v>0</v>
      </c>
      <c r="BU198" s="16">
        <v>0</v>
      </c>
      <c r="BV198" s="16">
        <v>0</v>
      </c>
      <c r="BW198" s="16">
        <v>0</v>
      </c>
      <c r="BX198" s="16">
        <v>321048</v>
      </c>
      <c r="BY198" s="16">
        <f t="shared" si="239"/>
        <v>13714</v>
      </c>
      <c r="BZ198" s="16">
        <f t="shared" si="240"/>
        <v>13714</v>
      </c>
      <c r="CA198" s="16">
        <f t="shared" si="169"/>
        <v>13714</v>
      </c>
      <c r="CB198" s="16">
        <v>0</v>
      </c>
      <c r="CC198" s="16">
        <v>13714</v>
      </c>
      <c r="CD198" s="16">
        <f t="shared" si="170"/>
        <v>0</v>
      </c>
      <c r="CE198" s="16">
        <v>0</v>
      </c>
      <c r="CF198" s="16">
        <v>0</v>
      </c>
      <c r="CG198" s="16">
        <v>0</v>
      </c>
      <c r="CH198" s="16">
        <v>0</v>
      </c>
      <c r="CI198" s="16">
        <v>0</v>
      </c>
      <c r="CJ198" s="16">
        <v>0</v>
      </c>
      <c r="CK198" s="16">
        <f t="shared" si="171"/>
        <v>0</v>
      </c>
      <c r="CL198" s="16">
        <v>0</v>
      </c>
      <c r="CM198" s="16">
        <v>0</v>
      </c>
      <c r="CN198" s="16">
        <v>0</v>
      </c>
      <c r="CO198" s="16">
        <v>0</v>
      </c>
      <c r="CP198" s="16">
        <v>0</v>
      </c>
      <c r="CQ198" s="16">
        <v>0</v>
      </c>
      <c r="CR198" s="16">
        <v>0</v>
      </c>
      <c r="CS198" s="16">
        <v>0</v>
      </c>
      <c r="CT198" s="16">
        <f t="shared" si="172"/>
        <v>0</v>
      </c>
      <c r="CU198" s="16">
        <f t="shared" si="173"/>
        <v>0</v>
      </c>
      <c r="CV198" s="16">
        <v>0</v>
      </c>
      <c r="CW198" s="17">
        <v>0</v>
      </c>
      <c r="CX198" s="40"/>
    </row>
    <row r="199" spans="1:102" ht="31.5" hidden="1" x14ac:dyDescent="0.25">
      <c r="A199" s="13" t="s">
        <v>209</v>
      </c>
      <c r="B199" s="14" t="s">
        <v>233</v>
      </c>
      <c r="C199" s="14" t="s">
        <v>1</v>
      </c>
      <c r="D199" s="30" t="s">
        <v>234</v>
      </c>
      <c r="E199" s="15">
        <f t="shared" ref="E199:AJ199" si="241">SUM(E200)</f>
        <v>61396038</v>
      </c>
      <c r="F199" s="16">
        <f t="shared" si="241"/>
        <v>61396038</v>
      </c>
      <c r="G199" s="16">
        <f t="shared" si="241"/>
        <v>61396038</v>
      </c>
      <c r="H199" s="16">
        <f t="shared" si="241"/>
        <v>0</v>
      </c>
      <c r="I199" s="16">
        <f t="shared" si="241"/>
        <v>0</v>
      </c>
      <c r="J199" s="16">
        <f t="shared" si="241"/>
        <v>0</v>
      </c>
      <c r="K199" s="16">
        <f t="shared" si="241"/>
        <v>0</v>
      </c>
      <c r="L199" s="16">
        <f t="shared" si="241"/>
        <v>0</v>
      </c>
      <c r="M199" s="16">
        <f t="shared" si="241"/>
        <v>0</v>
      </c>
      <c r="N199" s="16">
        <f t="shared" si="241"/>
        <v>0</v>
      </c>
      <c r="O199" s="16">
        <f t="shared" si="241"/>
        <v>0</v>
      </c>
      <c r="P199" s="16">
        <f t="shared" si="241"/>
        <v>0</v>
      </c>
      <c r="Q199" s="16">
        <f t="shared" si="241"/>
        <v>0</v>
      </c>
      <c r="R199" s="16">
        <f t="shared" si="241"/>
        <v>0</v>
      </c>
      <c r="S199" s="16">
        <f t="shared" si="241"/>
        <v>0</v>
      </c>
      <c r="T199" s="16">
        <f t="shared" si="241"/>
        <v>0</v>
      </c>
      <c r="U199" s="16">
        <f t="shared" si="241"/>
        <v>0</v>
      </c>
      <c r="V199" s="16">
        <f t="shared" si="241"/>
        <v>61396038</v>
      </c>
      <c r="W199" s="16">
        <f t="shared" si="241"/>
        <v>0</v>
      </c>
      <c r="X199" s="16">
        <f t="shared" si="241"/>
        <v>0</v>
      </c>
      <c r="Y199" s="16">
        <f t="shared" si="241"/>
        <v>0</v>
      </c>
      <c r="Z199" s="16">
        <f t="shared" si="241"/>
        <v>0</v>
      </c>
      <c r="AA199" s="16">
        <f t="shared" si="241"/>
        <v>0</v>
      </c>
      <c r="AB199" s="16">
        <f t="shared" si="241"/>
        <v>0</v>
      </c>
      <c r="AC199" s="16">
        <f t="shared" si="241"/>
        <v>61396038</v>
      </c>
      <c r="AD199" s="16">
        <f t="shared" si="241"/>
        <v>0</v>
      </c>
      <c r="AE199" s="16">
        <f t="shared" si="241"/>
        <v>0</v>
      </c>
      <c r="AF199" s="16">
        <f t="shared" si="241"/>
        <v>0</v>
      </c>
      <c r="AG199" s="16">
        <f t="shared" si="241"/>
        <v>0</v>
      </c>
      <c r="AH199" s="16">
        <f t="shared" si="241"/>
        <v>0</v>
      </c>
      <c r="AI199" s="16">
        <f t="shared" si="241"/>
        <v>0</v>
      </c>
      <c r="AJ199" s="16">
        <f t="shared" si="241"/>
        <v>0</v>
      </c>
      <c r="AK199" s="16">
        <f t="shared" ref="AK199:CV199" si="242">SUM(AK200)</f>
        <v>0</v>
      </c>
      <c r="AL199" s="16">
        <f t="shared" si="242"/>
        <v>0</v>
      </c>
      <c r="AM199" s="16">
        <f t="shared" si="242"/>
        <v>0</v>
      </c>
      <c r="AN199" s="16">
        <f t="shared" si="242"/>
        <v>0</v>
      </c>
      <c r="AO199" s="16">
        <f t="shared" si="242"/>
        <v>0</v>
      </c>
      <c r="AP199" s="16">
        <f t="shared" si="242"/>
        <v>0</v>
      </c>
      <c r="AQ199" s="16">
        <f t="shared" si="242"/>
        <v>0</v>
      </c>
      <c r="AR199" s="16">
        <f t="shared" si="242"/>
        <v>0</v>
      </c>
      <c r="AS199" s="16">
        <f t="shared" si="242"/>
        <v>0</v>
      </c>
      <c r="AT199" s="16">
        <f t="shared" si="242"/>
        <v>0</v>
      </c>
      <c r="AU199" s="16">
        <f t="shared" si="242"/>
        <v>0</v>
      </c>
      <c r="AV199" s="16">
        <f t="shared" si="242"/>
        <v>0</v>
      </c>
      <c r="AW199" s="16">
        <f t="shared" si="242"/>
        <v>0</v>
      </c>
      <c r="AX199" s="16">
        <f t="shared" si="242"/>
        <v>0</v>
      </c>
      <c r="AY199" s="16">
        <f t="shared" si="242"/>
        <v>0</v>
      </c>
      <c r="AZ199" s="16">
        <f t="shared" si="242"/>
        <v>0</v>
      </c>
      <c r="BA199" s="16">
        <f t="shared" si="242"/>
        <v>0</v>
      </c>
      <c r="BB199" s="16">
        <f t="shared" si="242"/>
        <v>0</v>
      </c>
      <c r="BC199" s="16">
        <f t="shared" si="242"/>
        <v>0</v>
      </c>
      <c r="BD199" s="16">
        <f t="shared" si="242"/>
        <v>0</v>
      </c>
      <c r="BE199" s="16">
        <f t="shared" si="242"/>
        <v>0</v>
      </c>
      <c r="BF199" s="16">
        <f t="shared" si="242"/>
        <v>0</v>
      </c>
      <c r="BG199" s="16">
        <f t="shared" si="242"/>
        <v>0</v>
      </c>
      <c r="BH199" s="16">
        <f t="shared" si="242"/>
        <v>0</v>
      </c>
      <c r="BI199" s="16">
        <f t="shared" si="242"/>
        <v>0</v>
      </c>
      <c r="BJ199" s="16">
        <f t="shared" si="242"/>
        <v>0</v>
      </c>
      <c r="BK199" s="16">
        <f t="shared" si="242"/>
        <v>0</v>
      </c>
      <c r="BL199" s="16">
        <f t="shared" si="242"/>
        <v>0</v>
      </c>
      <c r="BM199" s="16">
        <f t="shared" si="242"/>
        <v>0</v>
      </c>
      <c r="BN199" s="16">
        <f t="shared" si="242"/>
        <v>0</v>
      </c>
      <c r="BO199" s="16">
        <f t="shared" si="242"/>
        <v>0</v>
      </c>
      <c r="BP199" s="16">
        <f t="shared" si="242"/>
        <v>0</v>
      </c>
      <c r="BQ199" s="16">
        <f t="shared" si="242"/>
        <v>0</v>
      </c>
      <c r="BR199" s="16">
        <f t="shared" si="242"/>
        <v>0</v>
      </c>
      <c r="BS199" s="16">
        <f t="shared" si="242"/>
        <v>0</v>
      </c>
      <c r="BT199" s="16">
        <f t="shared" si="242"/>
        <v>0</v>
      </c>
      <c r="BU199" s="16">
        <f t="shared" si="242"/>
        <v>0</v>
      </c>
      <c r="BV199" s="16">
        <f t="shared" si="242"/>
        <v>0</v>
      </c>
      <c r="BW199" s="16">
        <f t="shared" si="242"/>
        <v>0</v>
      </c>
      <c r="BX199" s="16">
        <f t="shared" si="242"/>
        <v>0</v>
      </c>
      <c r="BY199" s="16">
        <f t="shared" si="242"/>
        <v>0</v>
      </c>
      <c r="BZ199" s="16">
        <f t="shared" si="242"/>
        <v>0</v>
      </c>
      <c r="CA199" s="16">
        <f t="shared" si="242"/>
        <v>0</v>
      </c>
      <c r="CB199" s="16">
        <f t="shared" si="242"/>
        <v>0</v>
      </c>
      <c r="CC199" s="16">
        <f t="shared" si="242"/>
        <v>0</v>
      </c>
      <c r="CD199" s="16">
        <f t="shared" si="242"/>
        <v>0</v>
      </c>
      <c r="CE199" s="16">
        <f t="shared" si="242"/>
        <v>0</v>
      </c>
      <c r="CF199" s="16">
        <f t="shared" si="242"/>
        <v>0</v>
      </c>
      <c r="CG199" s="16">
        <f t="shared" si="242"/>
        <v>0</v>
      </c>
      <c r="CH199" s="16">
        <f t="shared" si="242"/>
        <v>0</v>
      </c>
      <c r="CI199" s="16">
        <f t="shared" si="242"/>
        <v>0</v>
      </c>
      <c r="CJ199" s="16">
        <f t="shared" si="242"/>
        <v>0</v>
      </c>
      <c r="CK199" s="16">
        <f t="shared" si="242"/>
        <v>0</v>
      </c>
      <c r="CL199" s="16">
        <f t="shared" si="242"/>
        <v>0</v>
      </c>
      <c r="CM199" s="16">
        <f t="shared" si="242"/>
        <v>0</v>
      </c>
      <c r="CN199" s="16">
        <f t="shared" si="242"/>
        <v>0</v>
      </c>
      <c r="CO199" s="16">
        <f t="shared" si="242"/>
        <v>0</v>
      </c>
      <c r="CP199" s="16">
        <f t="shared" si="242"/>
        <v>0</v>
      </c>
      <c r="CQ199" s="16">
        <f t="shared" si="242"/>
        <v>0</v>
      </c>
      <c r="CR199" s="16">
        <f t="shared" si="242"/>
        <v>0</v>
      </c>
      <c r="CS199" s="16">
        <f t="shared" si="242"/>
        <v>0</v>
      </c>
      <c r="CT199" s="16">
        <f t="shared" si="242"/>
        <v>0</v>
      </c>
      <c r="CU199" s="16">
        <f t="shared" si="242"/>
        <v>0</v>
      </c>
      <c r="CV199" s="16">
        <f t="shared" si="242"/>
        <v>0</v>
      </c>
      <c r="CW199" s="17">
        <f t="shared" ref="CW199" si="243">SUM(CW200)</f>
        <v>0</v>
      </c>
      <c r="CX199" s="40"/>
    </row>
    <row r="200" spans="1:102" ht="31.5" hidden="1" x14ac:dyDescent="0.25">
      <c r="A200" s="13" t="s">
        <v>1</v>
      </c>
      <c r="B200" s="14" t="s">
        <v>1</v>
      </c>
      <c r="C200" s="14" t="s">
        <v>43</v>
      </c>
      <c r="D200" s="30" t="s">
        <v>234</v>
      </c>
      <c r="E200" s="15">
        <f>SUM(F200+BY200+CT200)</f>
        <v>61396038</v>
      </c>
      <c r="F200" s="16">
        <f>SUM(G200+BA200)</f>
        <v>61396038</v>
      </c>
      <c r="G200" s="16">
        <f>SUM(H200+I200+J200+Q200+T200+U200+V200+AE200)</f>
        <v>61396038</v>
      </c>
      <c r="H200" s="16">
        <v>0</v>
      </c>
      <c r="I200" s="16">
        <v>0</v>
      </c>
      <c r="J200" s="16">
        <f t="shared" si="164"/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f t="shared" si="165"/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f>SUM(W200:AD200)</f>
        <v>61396038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61396038</v>
      </c>
      <c r="AD200" s="16">
        <v>0</v>
      </c>
      <c r="AE200" s="16">
        <f>SUM(AF200:AZ200)</f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0</v>
      </c>
      <c r="AY200" s="16">
        <v>0</v>
      </c>
      <c r="AZ200" s="16">
        <v>0</v>
      </c>
      <c r="BA200" s="16">
        <f>SUM(BB200+BF200+BI200+BK200+BM200)</f>
        <v>0</v>
      </c>
      <c r="BB200" s="16">
        <f>SUM(BC200:BE200)</f>
        <v>0</v>
      </c>
      <c r="BC200" s="16">
        <v>0</v>
      </c>
      <c r="BD200" s="16">
        <v>0</v>
      </c>
      <c r="BE200" s="16">
        <v>0</v>
      </c>
      <c r="BF200" s="16">
        <f t="shared" si="166"/>
        <v>0</v>
      </c>
      <c r="BG200" s="16">
        <v>0</v>
      </c>
      <c r="BH200" s="16">
        <v>0</v>
      </c>
      <c r="BI200" s="16">
        <v>0</v>
      </c>
      <c r="BJ200" s="16">
        <v>0</v>
      </c>
      <c r="BK200" s="16">
        <f t="shared" si="167"/>
        <v>0</v>
      </c>
      <c r="BL200" s="16">
        <v>0</v>
      </c>
      <c r="BM200" s="16">
        <f t="shared" si="168"/>
        <v>0</v>
      </c>
      <c r="BN200" s="16">
        <v>0</v>
      </c>
      <c r="BO200" s="16">
        <v>0</v>
      </c>
      <c r="BP200" s="16">
        <v>0</v>
      </c>
      <c r="BQ200" s="16">
        <v>0</v>
      </c>
      <c r="BR200" s="16">
        <v>0</v>
      </c>
      <c r="BS200" s="16">
        <v>0</v>
      </c>
      <c r="BT200" s="16">
        <v>0</v>
      </c>
      <c r="BU200" s="16">
        <v>0</v>
      </c>
      <c r="BV200" s="16">
        <v>0</v>
      </c>
      <c r="BW200" s="16">
        <v>0</v>
      </c>
      <c r="BX200" s="16">
        <v>0</v>
      </c>
      <c r="BY200" s="16">
        <f>SUM(BZ200+CS200)</f>
        <v>0</v>
      </c>
      <c r="BZ200" s="16">
        <f>SUM(CA200+CD200+CK200)</f>
        <v>0</v>
      </c>
      <c r="CA200" s="16">
        <f t="shared" si="169"/>
        <v>0</v>
      </c>
      <c r="CB200" s="16">
        <v>0</v>
      </c>
      <c r="CC200" s="16">
        <v>0</v>
      </c>
      <c r="CD200" s="16">
        <f t="shared" si="170"/>
        <v>0</v>
      </c>
      <c r="CE200" s="16">
        <v>0</v>
      </c>
      <c r="CF200" s="16">
        <v>0</v>
      </c>
      <c r="CG200" s="16">
        <v>0</v>
      </c>
      <c r="CH200" s="16">
        <v>0</v>
      </c>
      <c r="CI200" s="16">
        <v>0</v>
      </c>
      <c r="CJ200" s="16">
        <v>0</v>
      </c>
      <c r="CK200" s="16">
        <f t="shared" si="171"/>
        <v>0</v>
      </c>
      <c r="CL200" s="16">
        <v>0</v>
      </c>
      <c r="CM200" s="16">
        <v>0</v>
      </c>
      <c r="CN200" s="16">
        <v>0</v>
      </c>
      <c r="CO200" s="16">
        <v>0</v>
      </c>
      <c r="CP200" s="16">
        <v>0</v>
      </c>
      <c r="CQ200" s="16">
        <v>0</v>
      </c>
      <c r="CR200" s="16">
        <v>0</v>
      </c>
      <c r="CS200" s="16">
        <v>0</v>
      </c>
      <c r="CT200" s="16">
        <f t="shared" si="172"/>
        <v>0</v>
      </c>
      <c r="CU200" s="16">
        <f t="shared" si="173"/>
        <v>0</v>
      </c>
      <c r="CV200" s="16">
        <v>0</v>
      </c>
      <c r="CW200" s="17">
        <v>0</v>
      </c>
      <c r="CX200" s="40"/>
    </row>
    <row r="201" spans="1:102" ht="31.5" hidden="1" x14ac:dyDescent="0.25">
      <c r="A201" s="18" t="s">
        <v>235</v>
      </c>
      <c r="B201" s="19" t="s">
        <v>1</v>
      </c>
      <c r="C201" s="19" t="s">
        <v>1</v>
      </c>
      <c r="D201" s="31" t="s">
        <v>236</v>
      </c>
      <c r="E201" s="20">
        <f>SUM(E202)</f>
        <v>34500</v>
      </c>
      <c r="F201" s="21">
        <f t="shared" ref="F201:BS205" si="244">SUM(F202)</f>
        <v>0</v>
      </c>
      <c r="G201" s="21">
        <f t="shared" si="244"/>
        <v>0</v>
      </c>
      <c r="H201" s="21">
        <f t="shared" si="244"/>
        <v>0</v>
      </c>
      <c r="I201" s="21">
        <f t="shared" si="244"/>
        <v>0</v>
      </c>
      <c r="J201" s="21">
        <f t="shared" si="244"/>
        <v>0</v>
      </c>
      <c r="K201" s="21">
        <f t="shared" si="244"/>
        <v>0</v>
      </c>
      <c r="L201" s="21">
        <f t="shared" si="244"/>
        <v>0</v>
      </c>
      <c r="M201" s="21">
        <f t="shared" si="244"/>
        <v>0</v>
      </c>
      <c r="N201" s="21">
        <f t="shared" si="244"/>
        <v>0</v>
      </c>
      <c r="O201" s="21">
        <f t="shared" si="244"/>
        <v>0</v>
      </c>
      <c r="P201" s="21">
        <f t="shared" si="244"/>
        <v>0</v>
      </c>
      <c r="Q201" s="21">
        <f t="shared" si="244"/>
        <v>0</v>
      </c>
      <c r="R201" s="21">
        <f t="shared" si="244"/>
        <v>0</v>
      </c>
      <c r="S201" s="21">
        <f t="shared" si="244"/>
        <v>0</v>
      </c>
      <c r="T201" s="21">
        <f t="shared" si="244"/>
        <v>0</v>
      </c>
      <c r="U201" s="21">
        <f t="shared" si="244"/>
        <v>0</v>
      </c>
      <c r="V201" s="21">
        <f t="shared" si="244"/>
        <v>0</v>
      </c>
      <c r="W201" s="21">
        <f t="shared" si="244"/>
        <v>0</v>
      </c>
      <c r="X201" s="21">
        <f t="shared" si="244"/>
        <v>0</v>
      </c>
      <c r="Y201" s="21">
        <f t="shared" si="244"/>
        <v>0</v>
      </c>
      <c r="Z201" s="21">
        <f t="shared" si="244"/>
        <v>0</v>
      </c>
      <c r="AA201" s="21">
        <f t="shared" si="244"/>
        <v>0</v>
      </c>
      <c r="AB201" s="21">
        <f t="shared" si="244"/>
        <v>0</v>
      </c>
      <c r="AC201" s="21">
        <f t="shared" si="244"/>
        <v>0</v>
      </c>
      <c r="AD201" s="21">
        <f t="shared" si="244"/>
        <v>0</v>
      </c>
      <c r="AE201" s="21">
        <f t="shared" si="244"/>
        <v>0</v>
      </c>
      <c r="AF201" s="21">
        <f t="shared" si="244"/>
        <v>0</v>
      </c>
      <c r="AG201" s="21">
        <f t="shared" si="244"/>
        <v>0</v>
      </c>
      <c r="AH201" s="21">
        <f t="shared" si="244"/>
        <v>0</v>
      </c>
      <c r="AI201" s="21">
        <f t="shared" si="244"/>
        <v>0</v>
      </c>
      <c r="AJ201" s="21">
        <f t="shared" si="244"/>
        <v>0</v>
      </c>
      <c r="AK201" s="21">
        <f t="shared" si="244"/>
        <v>0</v>
      </c>
      <c r="AL201" s="21">
        <f t="shared" si="244"/>
        <v>0</v>
      </c>
      <c r="AM201" s="21">
        <f t="shared" si="244"/>
        <v>0</v>
      </c>
      <c r="AN201" s="21">
        <f t="shared" si="244"/>
        <v>0</v>
      </c>
      <c r="AO201" s="21">
        <f t="shared" si="244"/>
        <v>0</v>
      </c>
      <c r="AP201" s="21">
        <f>SUM(AP202)</f>
        <v>0</v>
      </c>
      <c r="AQ201" s="21">
        <f t="shared" si="244"/>
        <v>0</v>
      </c>
      <c r="AR201" s="21">
        <f t="shared" si="244"/>
        <v>0</v>
      </c>
      <c r="AS201" s="21">
        <f t="shared" si="244"/>
        <v>0</v>
      </c>
      <c r="AT201" s="21">
        <f t="shared" si="244"/>
        <v>0</v>
      </c>
      <c r="AU201" s="21">
        <f t="shared" si="244"/>
        <v>0</v>
      </c>
      <c r="AV201" s="21">
        <f t="shared" si="244"/>
        <v>0</v>
      </c>
      <c r="AW201" s="21">
        <f t="shared" si="244"/>
        <v>0</v>
      </c>
      <c r="AX201" s="21">
        <f t="shared" si="244"/>
        <v>0</v>
      </c>
      <c r="AY201" s="21">
        <f>SUM(AY202)</f>
        <v>0</v>
      </c>
      <c r="AZ201" s="21">
        <f t="shared" si="244"/>
        <v>0</v>
      </c>
      <c r="BA201" s="21">
        <f t="shared" si="244"/>
        <v>0</v>
      </c>
      <c r="BB201" s="21">
        <f t="shared" si="244"/>
        <v>0</v>
      </c>
      <c r="BC201" s="21">
        <f t="shared" si="244"/>
        <v>0</v>
      </c>
      <c r="BD201" s="21">
        <f t="shared" si="244"/>
        <v>0</v>
      </c>
      <c r="BE201" s="21">
        <f t="shared" si="244"/>
        <v>0</v>
      </c>
      <c r="BF201" s="21">
        <f t="shared" si="244"/>
        <v>0</v>
      </c>
      <c r="BG201" s="21">
        <f t="shared" si="244"/>
        <v>0</v>
      </c>
      <c r="BH201" s="21">
        <f t="shared" si="244"/>
        <v>0</v>
      </c>
      <c r="BI201" s="21">
        <f t="shared" si="244"/>
        <v>0</v>
      </c>
      <c r="BJ201" s="21">
        <f t="shared" si="244"/>
        <v>0</v>
      </c>
      <c r="BK201" s="21">
        <f t="shared" si="244"/>
        <v>0</v>
      </c>
      <c r="BL201" s="21">
        <f t="shared" si="244"/>
        <v>0</v>
      </c>
      <c r="BM201" s="21">
        <f t="shared" si="244"/>
        <v>0</v>
      </c>
      <c r="BN201" s="21">
        <f t="shared" si="244"/>
        <v>0</v>
      </c>
      <c r="BO201" s="21">
        <f t="shared" si="244"/>
        <v>0</v>
      </c>
      <c r="BP201" s="21">
        <f t="shared" si="244"/>
        <v>0</v>
      </c>
      <c r="BQ201" s="21">
        <f t="shared" si="244"/>
        <v>0</v>
      </c>
      <c r="BR201" s="21">
        <f t="shared" si="244"/>
        <v>0</v>
      </c>
      <c r="BS201" s="21">
        <f t="shared" si="244"/>
        <v>0</v>
      </c>
      <c r="BT201" s="21">
        <f t="shared" ref="BT201:CW205" si="245">SUM(BT202)</f>
        <v>0</v>
      </c>
      <c r="BU201" s="21">
        <f t="shared" si="245"/>
        <v>0</v>
      </c>
      <c r="BV201" s="21">
        <f t="shared" si="245"/>
        <v>0</v>
      </c>
      <c r="BW201" s="21">
        <f t="shared" si="245"/>
        <v>0</v>
      </c>
      <c r="BX201" s="21">
        <f t="shared" si="245"/>
        <v>0</v>
      </c>
      <c r="BY201" s="21">
        <f t="shared" si="245"/>
        <v>0</v>
      </c>
      <c r="BZ201" s="21">
        <f t="shared" si="245"/>
        <v>0</v>
      </c>
      <c r="CA201" s="21">
        <f t="shared" si="245"/>
        <v>0</v>
      </c>
      <c r="CB201" s="21">
        <f t="shared" si="245"/>
        <v>0</v>
      </c>
      <c r="CC201" s="21">
        <f t="shared" si="245"/>
        <v>0</v>
      </c>
      <c r="CD201" s="21">
        <f t="shared" si="245"/>
        <v>0</v>
      </c>
      <c r="CE201" s="21">
        <f t="shared" si="245"/>
        <v>0</v>
      </c>
      <c r="CF201" s="21">
        <f t="shared" si="245"/>
        <v>0</v>
      </c>
      <c r="CG201" s="21">
        <f t="shared" si="245"/>
        <v>0</v>
      </c>
      <c r="CH201" s="21">
        <f t="shared" si="245"/>
        <v>0</v>
      </c>
      <c r="CI201" s="21">
        <f t="shared" si="245"/>
        <v>0</v>
      </c>
      <c r="CJ201" s="21">
        <f t="shared" si="245"/>
        <v>0</v>
      </c>
      <c r="CK201" s="21">
        <f t="shared" si="245"/>
        <v>0</v>
      </c>
      <c r="CL201" s="21">
        <f t="shared" si="245"/>
        <v>0</v>
      </c>
      <c r="CM201" s="21">
        <f t="shared" si="245"/>
        <v>0</v>
      </c>
      <c r="CN201" s="21">
        <f t="shared" si="245"/>
        <v>0</v>
      </c>
      <c r="CO201" s="21">
        <f t="shared" si="245"/>
        <v>0</v>
      </c>
      <c r="CP201" s="21">
        <f t="shared" si="245"/>
        <v>0</v>
      </c>
      <c r="CQ201" s="21">
        <f t="shared" si="245"/>
        <v>0</v>
      </c>
      <c r="CR201" s="21">
        <f t="shared" si="245"/>
        <v>0</v>
      </c>
      <c r="CS201" s="21">
        <f t="shared" si="245"/>
        <v>0</v>
      </c>
      <c r="CT201" s="21">
        <f t="shared" si="245"/>
        <v>34500</v>
      </c>
      <c r="CU201" s="21">
        <f t="shared" si="245"/>
        <v>34500</v>
      </c>
      <c r="CV201" s="21">
        <f t="shared" si="245"/>
        <v>34500</v>
      </c>
      <c r="CW201" s="22">
        <f t="shared" si="245"/>
        <v>0</v>
      </c>
      <c r="CX201" s="40"/>
    </row>
    <row r="202" spans="1:102" ht="15.75" hidden="1" x14ac:dyDescent="0.25">
      <c r="A202" s="13" t="s">
        <v>237</v>
      </c>
      <c r="B202" s="14" t="s">
        <v>3</v>
      </c>
      <c r="C202" s="14" t="s">
        <v>1</v>
      </c>
      <c r="D202" s="30" t="s">
        <v>238</v>
      </c>
      <c r="E202" s="15">
        <f>SUM(E203)</f>
        <v>34500</v>
      </c>
      <c r="F202" s="16">
        <f t="shared" si="244"/>
        <v>0</v>
      </c>
      <c r="G202" s="16">
        <f t="shared" si="244"/>
        <v>0</v>
      </c>
      <c r="H202" s="16">
        <f t="shared" si="244"/>
        <v>0</v>
      </c>
      <c r="I202" s="16">
        <f t="shared" si="244"/>
        <v>0</v>
      </c>
      <c r="J202" s="16">
        <f t="shared" si="244"/>
        <v>0</v>
      </c>
      <c r="K202" s="16">
        <f t="shared" si="244"/>
        <v>0</v>
      </c>
      <c r="L202" s="16">
        <f t="shared" si="244"/>
        <v>0</v>
      </c>
      <c r="M202" s="16">
        <f t="shared" si="244"/>
        <v>0</v>
      </c>
      <c r="N202" s="16">
        <f t="shared" si="244"/>
        <v>0</v>
      </c>
      <c r="O202" s="16">
        <f t="shared" si="244"/>
        <v>0</v>
      </c>
      <c r="P202" s="16">
        <f t="shared" si="244"/>
        <v>0</v>
      </c>
      <c r="Q202" s="16">
        <f t="shared" si="244"/>
        <v>0</v>
      </c>
      <c r="R202" s="16">
        <f t="shared" si="244"/>
        <v>0</v>
      </c>
      <c r="S202" s="16">
        <f t="shared" si="244"/>
        <v>0</v>
      </c>
      <c r="T202" s="16">
        <f t="shared" si="244"/>
        <v>0</v>
      </c>
      <c r="U202" s="16">
        <f t="shared" si="244"/>
        <v>0</v>
      </c>
      <c r="V202" s="16">
        <f t="shared" si="244"/>
        <v>0</v>
      </c>
      <c r="W202" s="16">
        <f t="shared" si="244"/>
        <v>0</v>
      </c>
      <c r="X202" s="16">
        <f t="shared" si="244"/>
        <v>0</v>
      </c>
      <c r="Y202" s="16">
        <f t="shared" si="244"/>
        <v>0</v>
      </c>
      <c r="Z202" s="16">
        <f t="shared" si="244"/>
        <v>0</v>
      </c>
      <c r="AA202" s="16">
        <f t="shared" si="244"/>
        <v>0</v>
      </c>
      <c r="AB202" s="16">
        <f t="shared" si="244"/>
        <v>0</v>
      </c>
      <c r="AC202" s="16">
        <f t="shared" si="244"/>
        <v>0</v>
      </c>
      <c r="AD202" s="16">
        <f t="shared" si="244"/>
        <v>0</v>
      </c>
      <c r="AE202" s="16">
        <f t="shared" si="244"/>
        <v>0</v>
      </c>
      <c r="AF202" s="16">
        <f t="shared" si="244"/>
        <v>0</v>
      </c>
      <c r="AG202" s="16">
        <f t="shared" si="244"/>
        <v>0</v>
      </c>
      <c r="AH202" s="16">
        <f t="shared" si="244"/>
        <v>0</v>
      </c>
      <c r="AI202" s="16">
        <f t="shared" si="244"/>
        <v>0</v>
      </c>
      <c r="AJ202" s="16">
        <f t="shared" si="244"/>
        <v>0</v>
      </c>
      <c r="AK202" s="16">
        <f t="shared" si="244"/>
        <v>0</v>
      </c>
      <c r="AL202" s="16">
        <f t="shared" si="244"/>
        <v>0</v>
      </c>
      <c r="AM202" s="16">
        <f t="shared" si="244"/>
        <v>0</v>
      </c>
      <c r="AN202" s="16">
        <f t="shared" si="244"/>
        <v>0</v>
      </c>
      <c r="AO202" s="16">
        <f t="shared" si="244"/>
        <v>0</v>
      </c>
      <c r="AP202" s="16">
        <f>SUM(AP203)</f>
        <v>0</v>
      </c>
      <c r="AQ202" s="16">
        <f t="shared" si="244"/>
        <v>0</v>
      </c>
      <c r="AR202" s="16">
        <f t="shared" si="244"/>
        <v>0</v>
      </c>
      <c r="AS202" s="16">
        <f t="shared" si="244"/>
        <v>0</v>
      </c>
      <c r="AT202" s="16">
        <f t="shared" si="244"/>
        <v>0</v>
      </c>
      <c r="AU202" s="16">
        <f t="shared" si="244"/>
        <v>0</v>
      </c>
      <c r="AV202" s="16">
        <f t="shared" si="244"/>
        <v>0</v>
      </c>
      <c r="AW202" s="16">
        <f t="shared" si="244"/>
        <v>0</v>
      </c>
      <c r="AX202" s="16">
        <f t="shared" si="244"/>
        <v>0</v>
      </c>
      <c r="AY202" s="16">
        <f>SUM(AY203)</f>
        <v>0</v>
      </c>
      <c r="AZ202" s="16">
        <f t="shared" si="244"/>
        <v>0</v>
      </c>
      <c r="BA202" s="16">
        <f t="shared" si="244"/>
        <v>0</v>
      </c>
      <c r="BB202" s="16">
        <f t="shared" si="244"/>
        <v>0</v>
      </c>
      <c r="BC202" s="16">
        <f t="shared" si="244"/>
        <v>0</v>
      </c>
      <c r="BD202" s="16">
        <f t="shared" si="244"/>
        <v>0</v>
      </c>
      <c r="BE202" s="16">
        <f t="shared" si="244"/>
        <v>0</v>
      </c>
      <c r="BF202" s="16">
        <f t="shared" si="244"/>
        <v>0</v>
      </c>
      <c r="BG202" s="16">
        <f t="shared" si="244"/>
        <v>0</v>
      </c>
      <c r="BH202" s="16">
        <f t="shared" si="244"/>
        <v>0</v>
      </c>
      <c r="BI202" s="16">
        <f t="shared" si="244"/>
        <v>0</v>
      </c>
      <c r="BJ202" s="16">
        <f t="shared" si="244"/>
        <v>0</v>
      </c>
      <c r="BK202" s="16">
        <f t="shared" si="244"/>
        <v>0</v>
      </c>
      <c r="BL202" s="16">
        <f t="shared" si="244"/>
        <v>0</v>
      </c>
      <c r="BM202" s="16">
        <f t="shared" si="244"/>
        <v>0</v>
      </c>
      <c r="BN202" s="16">
        <f t="shared" si="244"/>
        <v>0</v>
      </c>
      <c r="BO202" s="16">
        <f t="shared" si="244"/>
        <v>0</v>
      </c>
      <c r="BP202" s="16">
        <f t="shared" si="244"/>
        <v>0</v>
      </c>
      <c r="BQ202" s="16">
        <f t="shared" si="244"/>
        <v>0</v>
      </c>
      <c r="BR202" s="16">
        <f t="shared" si="244"/>
        <v>0</v>
      </c>
      <c r="BS202" s="16">
        <f t="shared" si="244"/>
        <v>0</v>
      </c>
      <c r="BT202" s="16">
        <f t="shared" si="245"/>
        <v>0</v>
      </c>
      <c r="BU202" s="16">
        <f t="shared" si="245"/>
        <v>0</v>
      </c>
      <c r="BV202" s="16">
        <f t="shared" si="245"/>
        <v>0</v>
      </c>
      <c r="BW202" s="16">
        <f t="shared" si="245"/>
        <v>0</v>
      </c>
      <c r="BX202" s="16">
        <f t="shared" si="245"/>
        <v>0</v>
      </c>
      <c r="BY202" s="16">
        <f t="shared" si="245"/>
        <v>0</v>
      </c>
      <c r="BZ202" s="16">
        <f t="shared" si="245"/>
        <v>0</v>
      </c>
      <c r="CA202" s="16">
        <f t="shared" si="245"/>
        <v>0</v>
      </c>
      <c r="CB202" s="16">
        <f t="shared" si="245"/>
        <v>0</v>
      </c>
      <c r="CC202" s="16">
        <f t="shared" si="245"/>
        <v>0</v>
      </c>
      <c r="CD202" s="16">
        <f t="shared" si="245"/>
        <v>0</v>
      </c>
      <c r="CE202" s="16">
        <f t="shared" si="245"/>
        <v>0</v>
      </c>
      <c r="CF202" s="16">
        <f t="shared" si="245"/>
        <v>0</v>
      </c>
      <c r="CG202" s="16">
        <f t="shared" si="245"/>
        <v>0</v>
      </c>
      <c r="CH202" s="16">
        <f t="shared" si="245"/>
        <v>0</v>
      </c>
      <c r="CI202" s="16">
        <f t="shared" si="245"/>
        <v>0</v>
      </c>
      <c r="CJ202" s="16">
        <f t="shared" si="245"/>
        <v>0</v>
      </c>
      <c r="CK202" s="16">
        <f t="shared" si="245"/>
        <v>0</v>
      </c>
      <c r="CL202" s="16">
        <f t="shared" si="245"/>
        <v>0</v>
      </c>
      <c r="CM202" s="16">
        <f t="shared" si="245"/>
        <v>0</v>
      </c>
      <c r="CN202" s="16">
        <f t="shared" si="245"/>
        <v>0</v>
      </c>
      <c r="CO202" s="16">
        <f t="shared" si="245"/>
        <v>0</v>
      </c>
      <c r="CP202" s="16">
        <f t="shared" si="245"/>
        <v>0</v>
      </c>
      <c r="CQ202" s="16">
        <f t="shared" si="245"/>
        <v>0</v>
      </c>
      <c r="CR202" s="16">
        <f t="shared" si="245"/>
        <v>0</v>
      </c>
      <c r="CS202" s="16">
        <f t="shared" si="245"/>
        <v>0</v>
      </c>
      <c r="CT202" s="16">
        <f t="shared" si="245"/>
        <v>34500</v>
      </c>
      <c r="CU202" s="16">
        <f t="shared" si="245"/>
        <v>34500</v>
      </c>
      <c r="CV202" s="16">
        <f t="shared" si="245"/>
        <v>34500</v>
      </c>
      <c r="CW202" s="17">
        <f t="shared" si="245"/>
        <v>0</v>
      </c>
      <c r="CX202" s="40"/>
    </row>
    <row r="203" spans="1:102" ht="15.75" hidden="1" x14ac:dyDescent="0.25">
      <c r="A203" s="13" t="s">
        <v>1</v>
      </c>
      <c r="B203" s="14" t="s">
        <v>1</v>
      </c>
      <c r="C203" s="14" t="s">
        <v>43</v>
      </c>
      <c r="D203" s="30" t="s">
        <v>238</v>
      </c>
      <c r="E203" s="15">
        <f>SUM(F203+BY203+CT203)</f>
        <v>34500</v>
      </c>
      <c r="F203" s="16">
        <f>SUM(G203+BA203)</f>
        <v>0</v>
      </c>
      <c r="G203" s="16">
        <f>SUM(H203+I203+J203+Q203+T203+U203+V203+AE203)</f>
        <v>0</v>
      </c>
      <c r="H203" s="16">
        <v>0</v>
      </c>
      <c r="I203" s="16">
        <v>0</v>
      </c>
      <c r="J203" s="16">
        <f t="shared" si="164"/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f t="shared" si="165"/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f>SUM(W203:AD203)</f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f>SUM(AF203:AZ203)</f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f>SUM(BB203+BF203+BI203+BK203+BM203)</f>
        <v>0</v>
      </c>
      <c r="BB203" s="16">
        <f>SUM(BC203:BE203)</f>
        <v>0</v>
      </c>
      <c r="BC203" s="16">
        <v>0</v>
      </c>
      <c r="BD203" s="16">
        <v>0</v>
      </c>
      <c r="BE203" s="16">
        <v>0</v>
      </c>
      <c r="BF203" s="16">
        <f t="shared" si="166"/>
        <v>0</v>
      </c>
      <c r="BG203" s="16">
        <v>0</v>
      </c>
      <c r="BH203" s="16">
        <v>0</v>
      </c>
      <c r="BI203" s="16">
        <v>0</v>
      </c>
      <c r="BJ203" s="16">
        <v>0</v>
      </c>
      <c r="BK203" s="16">
        <f t="shared" si="167"/>
        <v>0</v>
      </c>
      <c r="BL203" s="16">
        <v>0</v>
      </c>
      <c r="BM203" s="16">
        <f t="shared" si="168"/>
        <v>0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  <c r="BW203" s="16">
        <v>0</v>
      </c>
      <c r="BX203" s="16">
        <v>0</v>
      </c>
      <c r="BY203" s="16">
        <f>SUM(BZ203+CS203)</f>
        <v>0</v>
      </c>
      <c r="BZ203" s="16">
        <f>SUM(CA203+CD203+CK203)</f>
        <v>0</v>
      </c>
      <c r="CA203" s="16">
        <f t="shared" si="169"/>
        <v>0</v>
      </c>
      <c r="CB203" s="16">
        <v>0</v>
      </c>
      <c r="CC203" s="16">
        <v>0</v>
      </c>
      <c r="CD203" s="16">
        <f t="shared" si="170"/>
        <v>0</v>
      </c>
      <c r="CE203" s="16">
        <v>0</v>
      </c>
      <c r="CF203" s="16">
        <v>0</v>
      </c>
      <c r="CG203" s="16">
        <v>0</v>
      </c>
      <c r="CH203" s="16">
        <v>0</v>
      </c>
      <c r="CI203" s="16">
        <v>0</v>
      </c>
      <c r="CJ203" s="16">
        <v>0</v>
      </c>
      <c r="CK203" s="16">
        <f t="shared" si="171"/>
        <v>0</v>
      </c>
      <c r="CL203" s="16">
        <v>0</v>
      </c>
      <c r="CM203" s="16">
        <v>0</v>
      </c>
      <c r="CN203" s="16">
        <v>0</v>
      </c>
      <c r="CO203" s="16">
        <v>0</v>
      </c>
      <c r="CP203" s="16">
        <v>0</v>
      </c>
      <c r="CQ203" s="16">
        <v>0</v>
      </c>
      <c r="CR203" s="16">
        <v>0</v>
      </c>
      <c r="CS203" s="16">
        <v>0</v>
      </c>
      <c r="CT203" s="16">
        <f t="shared" si="172"/>
        <v>34500</v>
      </c>
      <c r="CU203" s="16">
        <f t="shared" si="173"/>
        <v>34500</v>
      </c>
      <c r="CV203" s="16">
        <v>34500</v>
      </c>
      <c r="CW203" s="17">
        <v>0</v>
      </c>
      <c r="CX203" s="40"/>
    </row>
    <row r="204" spans="1:102" ht="31.5" hidden="1" x14ac:dyDescent="0.25">
      <c r="A204" s="18" t="s">
        <v>527</v>
      </c>
      <c r="B204" s="19" t="s">
        <v>1</v>
      </c>
      <c r="C204" s="19" t="s">
        <v>1</v>
      </c>
      <c r="D204" s="31" t="s">
        <v>530</v>
      </c>
      <c r="E204" s="20">
        <f>SUM(E205)</f>
        <v>3875517</v>
      </c>
      <c r="F204" s="21">
        <f t="shared" si="244"/>
        <v>0</v>
      </c>
      <c r="G204" s="21">
        <f t="shared" si="244"/>
        <v>0</v>
      </c>
      <c r="H204" s="21">
        <f t="shared" si="244"/>
        <v>0</v>
      </c>
      <c r="I204" s="21">
        <f t="shared" si="244"/>
        <v>0</v>
      </c>
      <c r="J204" s="21">
        <f t="shared" si="244"/>
        <v>0</v>
      </c>
      <c r="K204" s="21">
        <f t="shared" si="244"/>
        <v>0</v>
      </c>
      <c r="L204" s="21">
        <f t="shared" si="244"/>
        <v>0</v>
      </c>
      <c r="M204" s="21">
        <f t="shared" si="244"/>
        <v>0</v>
      </c>
      <c r="N204" s="21">
        <f t="shared" si="244"/>
        <v>0</v>
      </c>
      <c r="O204" s="21">
        <f t="shared" si="244"/>
        <v>0</v>
      </c>
      <c r="P204" s="21">
        <f t="shared" si="244"/>
        <v>0</v>
      </c>
      <c r="Q204" s="21">
        <f t="shared" si="244"/>
        <v>0</v>
      </c>
      <c r="R204" s="21">
        <f t="shared" si="244"/>
        <v>0</v>
      </c>
      <c r="S204" s="21">
        <f t="shared" si="244"/>
        <v>0</v>
      </c>
      <c r="T204" s="21">
        <f t="shared" si="244"/>
        <v>0</v>
      </c>
      <c r="U204" s="21">
        <f t="shared" si="244"/>
        <v>0</v>
      </c>
      <c r="V204" s="21">
        <f t="shared" si="244"/>
        <v>0</v>
      </c>
      <c r="W204" s="21">
        <f t="shared" si="244"/>
        <v>0</v>
      </c>
      <c r="X204" s="21">
        <f t="shared" si="244"/>
        <v>0</v>
      </c>
      <c r="Y204" s="21">
        <f t="shared" si="244"/>
        <v>0</v>
      </c>
      <c r="Z204" s="21">
        <f t="shared" si="244"/>
        <v>0</v>
      </c>
      <c r="AA204" s="21">
        <f t="shared" si="244"/>
        <v>0</v>
      </c>
      <c r="AB204" s="21">
        <f t="shared" si="244"/>
        <v>0</v>
      </c>
      <c r="AC204" s="21">
        <f t="shared" si="244"/>
        <v>0</v>
      </c>
      <c r="AD204" s="21">
        <f t="shared" si="244"/>
        <v>0</v>
      </c>
      <c r="AE204" s="21">
        <f t="shared" si="244"/>
        <v>0</v>
      </c>
      <c r="AF204" s="21">
        <f t="shared" si="244"/>
        <v>0</v>
      </c>
      <c r="AG204" s="21">
        <f t="shared" si="244"/>
        <v>0</v>
      </c>
      <c r="AH204" s="21">
        <f t="shared" si="244"/>
        <v>0</v>
      </c>
      <c r="AI204" s="21">
        <f t="shared" si="244"/>
        <v>0</v>
      </c>
      <c r="AJ204" s="21">
        <f t="shared" si="244"/>
        <v>0</v>
      </c>
      <c r="AK204" s="21">
        <f t="shared" si="244"/>
        <v>0</v>
      </c>
      <c r="AL204" s="21">
        <f t="shared" si="244"/>
        <v>0</v>
      </c>
      <c r="AM204" s="21">
        <f t="shared" si="244"/>
        <v>0</v>
      </c>
      <c r="AN204" s="21">
        <f t="shared" si="244"/>
        <v>0</v>
      </c>
      <c r="AO204" s="21">
        <f t="shared" si="244"/>
        <v>0</v>
      </c>
      <c r="AP204" s="21">
        <f>SUM(AP205)</f>
        <v>0</v>
      </c>
      <c r="AQ204" s="21">
        <f t="shared" si="244"/>
        <v>0</v>
      </c>
      <c r="AR204" s="21">
        <f t="shared" si="244"/>
        <v>0</v>
      </c>
      <c r="AS204" s="21">
        <f t="shared" si="244"/>
        <v>0</v>
      </c>
      <c r="AT204" s="21">
        <f t="shared" si="244"/>
        <v>0</v>
      </c>
      <c r="AU204" s="21">
        <f t="shared" si="244"/>
        <v>0</v>
      </c>
      <c r="AV204" s="21">
        <f t="shared" si="244"/>
        <v>0</v>
      </c>
      <c r="AW204" s="21">
        <f t="shared" si="244"/>
        <v>0</v>
      </c>
      <c r="AX204" s="21">
        <f t="shared" si="244"/>
        <v>0</v>
      </c>
      <c r="AY204" s="21">
        <f>SUM(AY205)</f>
        <v>0</v>
      </c>
      <c r="AZ204" s="21">
        <f t="shared" si="244"/>
        <v>0</v>
      </c>
      <c r="BA204" s="21">
        <f t="shared" si="244"/>
        <v>0</v>
      </c>
      <c r="BB204" s="21">
        <f t="shared" si="244"/>
        <v>0</v>
      </c>
      <c r="BC204" s="21">
        <f t="shared" si="244"/>
        <v>0</v>
      </c>
      <c r="BD204" s="21">
        <f t="shared" si="244"/>
        <v>0</v>
      </c>
      <c r="BE204" s="21">
        <f t="shared" si="244"/>
        <v>0</v>
      </c>
      <c r="BF204" s="21">
        <f t="shared" si="244"/>
        <v>0</v>
      </c>
      <c r="BG204" s="21">
        <f t="shared" si="244"/>
        <v>0</v>
      </c>
      <c r="BH204" s="21">
        <f t="shared" si="244"/>
        <v>0</v>
      </c>
      <c r="BI204" s="21">
        <f t="shared" si="244"/>
        <v>0</v>
      </c>
      <c r="BJ204" s="21">
        <f t="shared" si="244"/>
        <v>0</v>
      </c>
      <c r="BK204" s="21">
        <f t="shared" si="244"/>
        <v>0</v>
      </c>
      <c r="BL204" s="21">
        <f t="shared" si="244"/>
        <v>0</v>
      </c>
      <c r="BM204" s="21">
        <f t="shared" si="244"/>
        <v>0</v>
      </c>
      <c r="BN204" s="21">
        <f t="shared" si="244"/>
        <v>0</v>
      </c>
      <c r="BO204" s="21">
        <f t="shared" si="244"/>
        <v>0</v>
      </c>
      <c r="BP204" s="21">
        <f t="shared" si="244"/>
        <v>0</v>
      </c>
      <c r="BQ204" s="21">
        <f t="shared" si="244"/>
        <v>0</v>
      </c>
      <c r="BR204" s="21">
        <f t="shared" si="244"/>
        <v>0</v>
      </c>
      <c r="BS204" s="21">
        <f t="shared" si="244"/>
        <v>0</v>
      </c>
      <c r="BT204" s="21">
        <f t="shared" si="245"/>
        <v>0</v>
      </c>
      <c r="BU204" s="21">
        <f t="shared" si="245"/>
        <v>0</v>
      </c>
      <c r="BV204" s="21">
        <f t="shared" si="245"/>
        <v>0</v>
      </c>
      <c r="BW204" s="21">
        <f t="shared" si="245"/>
        <v>0</v>
      </c>
      <c r="BX204" s="21">
        <f t="shared" si="245"/>
        <v>0</v>
      </c>
      <c r="BY204" s="21">
        <f t="shared" si="245"/>
        <v>3875517</v>
      </c>
      <c r="BZ204" s="21">
        <f t="shared" si="245"/>
        <v>0</v>
      </c>
      <c r="CA204" s="21">
        <f t="shared" si="245"/>
        <v>0</v>
      </c>
      <c r="CB204" s="21">
        <f t="shared" si="245"/>
        <v>0</v>
      </c>
      <c r="CC204" s="21">
        <f t="shared" si="245"/>
        <v>0</v>
      </c>
      <c r="CD204" s="21">
        <f t="shared" si="245"/>
        <v>0</v>
      </c>
      <c r="CE204" s="21">
        <f t="shared" si="245"/>
        <v>0</v>
      </c>
      <c r="CF204" s="21">
        <f t="shared" si="245"/>
        <v>0</v>
      </c>
      <c r="CG204" s="21">
        <f t="shared" si="245"/>
        <v>0</v>
      </c>
      <c r="CH204" s="21">
        <f t="shared" si="245"/>
        <v>0</v>
      </c>
      <c r="CI204" s="21">
        <f t="shared" si="245"/>
        <v>0</v>
      </c>
      <c r="CJ204" s="21">
        <f t="shared" si="245"/>
        <v>0</v>
      </c>
      <c r="CK204" s="21">
        <f t="shared" si="245"/>
        <v>0</v>
      </c>
      <c r="CL204" s="21">
        <f t="shared" si="245"/>
        <v>0</v>
      </c>
      <c r="CM204" s="21">
        <f t="shared" si="245"/>
        <v>0</v>
      </c>
      <c r="CN204" s="21">
        <f t="shared" si="245"/>
        <v>0</v>
      </c>
      <c r="CO204" s="21">
        <f t="shared" si="245"/>
        <v>0</v>
      </c>
      <c r="CP204" s="21">
        <f t="shared" si="245"/>
        <v>0</v>
      </c>
      <c r="CQ204" s="21">
        <f t="shared" si="245"/>
        <v>3875517</v>
      </c>
      <c r="CR204" s="21">
        <f t="shared" si="245"/>
        <v>3875517</v>
      </c>
      <c r="CS204" s="21">
        <f t="shared" si="245"/>
        <v>0</v>
      </c>
      <c r="CT204" s="21">
        <f t="shared" si="245"/>
        <v>0</v>
      </c>
      <c r="CU204" s="21">
        <f t="shared" si="245"/>
        <v>0</v>
      </c>
      <c r="CV204" s="21">
        <f t="shared" si="245"/>
        <v>0</v>
      </c>
      <c r="CW204" s="22">
        <f t="shared" si="245"/>
        <v>0</v>
      </c>
      <c r="CX204" s="40"/>
    </row>
    <row r="205" spans="1:102" ht="15.75" hidden="1" x14ac:dyDescent="0.25">
      <c r="A205" s="13" t="s">
        <v>528</v>
      </c>
      <c r="B205" s="14" t="s">
        <v>15</v>
      </c>
      <c r="C205" s="14" t="s">
        <v>1</v>
      </c>
      <c r="D205" s="30" t="s">
        <v>529</v>
      </c>
      <c r="E205" s="15">
        <f>SUM(E206)</f>
        <v>3875517</v>
      </c>
      <c r="F205" s="16">
        <f t="shared" si="244"/>
        <v>0</v>
      </c>
      <c r="G205" s="16">
        <f t="shared" si="244"/>
        <v>0</v>
      </c>
      <c r="H205" s="16">
        <f t="shared" si="244"/>
        <v>0</v>
      </c>
      <c r="I205" s="16">
        <f t="shared" si="244"/>
        <v>0</v>
      </c>
      <c r="J205" s="16">
        <f t="shared" si="244"/>
        <v>0</v>
      </c>
      <c r="K205" s="16">
        <f t="shared" si="244"/>
        <v>0</v>
      </c>
      <c r="L205" s="16">
        <f t="shared" si="244"/>
        <v>0</v>
      </c>
      <c r="M205" s="16">
        <f t="shared" si="244"/>
        <v>0</v>
      </c>
      <c r="N205" s="16">
        <f t="shared" si="244"/>
        <v>0</v>
      </c>
      <c r="O205" s="16">
        <f t="shared" si="244"/>
        <v>0</v>
      </c>
      <c r="P205" s="16">
        <f t="shared" si="244"/>
        <v>0</v>
      </c>
      <c r="Q205" s="16">
        <f t="shared" si="244"/>
        <v>0</v>
      </c>
      <c r="R205" s="16">
        <f t="shared" si="244"/>
        <v>0</v>
      </c>
      <c r="S205" s="16">
        <f t="shared" si="244"/>
        <v>0</v>
      </c>
      <c r="T205" s="16">
        <f t="shared" si="244"/>
        <v>0</v>
      </c>
      <c r="U205" s="16">
        <f t="shared" si="244"/>
        <v>0</v>
      </c>
      <c r="V205" s="16">
        <f t="shared" si="244"/>
        <v>0</v>
      </c>
      <c r="W205" s="16">
        <f t="shared" si="244"/>
        <v>0</v>
      </c>
      <c r="X205" s="16">
        <f t="shared" si="244"/>
        <v>0</v>
      </c>
      <c r="Y205" s="16">
        <f t="shared" si="244"/>
        <v>0</v>
      </c>
      <c r="Z205" s="16">
        <f t="shared" si="244"/>
        <v>0</v>
      </c>
      <c r="AA205" s="16">
        <f t="shared" si="244"/>
        <v>0</v>
      </c>
      <c r="AB205" s="16">
        <f t="shared" si="244"/>
        <v>0</v>
      </c>
      <c r="AC205" s="16">
        <f t="shared" si="244"/>
        <v>0</v>
      </c>
      <c r="AD205" s="16">
        <f t="shared" si="244"/>
        <v>0</v>
      </c>
      <c r="AE205" s="16">
        <f t="shared" si="244"/>
        <v>0</v>
      </c>
      <c r="AF205" s="16">
        <f t="shared" si="244"/>
        <v>0</v>
      </c>
      <c r="AG205" s="16">
        <f t="shared" si="244"/>
        <v>0</v>
      </c>
      <c r="AH205" s="16">
        <f t="shared" si="244"/>
        <v>0</v>
      </c>
      <c r="AI205" s="16">
        <f t="shared" si="244"/>
        <v>0</v>
      </c>
      <c r="AJ205" s="16">
        <f t="shared" si="244"/>
        <v>0</v>
      </c>
      <c r="AK205" s="16">
        <f t="shared" si="244"/>
        <v>0</v>
      </c>
      <c r="AL205" s="16">
        <f t="shared" si="244"/>
        <v>0</v>
      </c>
      <c r="AM205" s="16">
        <f t="shared" si="244"/>
        <v>0</v>
      </c>
      <c r="AN205" s="16">
        <f t="shared" si="244"/>
        <v>0</v>
      </c>
      <c r="AO205" s="16">
        <f t="shared" si="244"/>
        <v>0</v>
      </c>
      <c r="AP205" s="16">
        <f>SUM(AP206)</f>
        <v>0</v>
      </c>
      <c r="AQ205" s="16">
        <f t="shared" si="244"/>
        <v>0</v>
      </c>
      <c r="AR205" s="16">
        <f t="shared" si="244"/>
        <v>0</v>
      </c>
      <c r="AS205" s="16">
        <f t="shared" si="244"/>
        <v>0</v>
      </c>
      <c r="AT205" s="16">
        <f t="shared" si="244"/>
        <v>0</v>
      </c>
      <c r="AU205" s="16">
        <f t="shared" si="244"/>
        <v>0</v>
      </c>
      <c r="AV205" s="16">
        <f t="shared" si="244"/>
        <v>0</v>
      </c>
      <c r="AW205" s="16">
        <f t="shared" si="244"/>
        <v>0</v>
      </c>
      <c r="AX205" s="16">
        <f t="shared" si="244"/>
        <v>0</v>
      </c>
      <c r="AY205" s="16">
        <f>SUM(AY206)</f>
        <v>0</v>
      </c>
      <c r="AZ205" s="16">
        <f t="shared" si="244"/>
        <v>0</v>
      </c>
      <c r="BA205" s="16">
        <f t="shared" si="244"/>
        <v>0</v>
      </c>
      <c r="BB205" s="16">
        <f t="shared" si="244"/>
        <v>0</v>
      </c>
      <c r="BC205" s="16">
        <f t="shared" si="244"/>
        <v>0</v>
      </c>
      <c r="BD205" s="16">
        <f t="shared" si="244"/>
        <v>0</v>
      </c>
      <c r="BE205" s="16">
        <f t="shared" si="244"/>
        <v>0</v>
      </c>
      <c r="BF205" s="16">
        <f t="shared" si="244"/>
        <v>0</v>
      </c>
      <c r="BG205" s="16">
        <f t="shared" si="244"/>
        <v>0</v>
      </c>
      <c r="BH205" s="16">
        <f t="shared" si="244"/>
        <v>0</v>
      </c>
      <c r="BI205" s="16">
        <f t="shared" si="244"/>
        <v>0</v>
      </c>
      <c r="BJ205" s="16">
        <f t="shared" si="244"/>
        <v>0</v>
      </c>
      <c r="BK205" s="16">
        <f t="shared" si="244"/>
        <v>0</v>
      </c>
      <c r="BL205" s="16">
        <f t="shared" si="244"/>
        <v>0</v>
      </c>
      <c r="BM205" s="16">
        <f t="shared" si="244"/>
        <v>0</v>
      </c>
      <c r="BN205" s="16">
        <f t="shared" si="244"/>
        <v>0</v>
      </c>
      <c r="BO205" s="16">
        <f t="shared" si="244"/>
        <v>0</v>
      </c>
      <c r="BP205" s="16">
        <f t="shared" si="244"/>
        <v>0</v>
      </c>
      <c r="BQ205" s="16">
        <f t="shared" si="244"/>
        <v>0</v>
      </c>
      <c r="BR205" s="16">
        <f t="shared" si="244"/>
        <v>0</v>
      </c>
      <c r="BS205" s="16">
        <f>SUM(BS206)</f>
        <v>0</v>
      </c>
      <c r="BT205" s="16">
        <f t="shared" si="245"/>
        <v>0</v>
      </c>
      <c r="BU205" s="16">
        <f t="shared" si="245"/>
        <v>0</v>
      </c>
      <c r="BV205" s="16">
        <f t="shared" si="245"/>
        <v>0</v>
      </c>
      <c r="BW205" s="16">
        <f t="shared" si="245"/>
        <v>0</v>
      </c>
      <c r="BX205" s="16">
        <f t="shared" si="245"/>
        <v>0</v>
      </c>
      <c r="BY205" s="16">
        <f t="shared" si="245"/>
        <v>3875517</v>
      </c>
      <c r="BZ205" s="16">
        <f t="shared" si="245"/>
        <v>0</v>
      </c>
      <c r="CA205" s="16">
        <f t="shared" si="245"/>
        <v>0</v>
      </c>
      <c r="CB205" s="16">
        <f t="shared" si="245"/>
        <v>0</v>
      </c>
      <c r="CC205" s="16">
        <f t="shared" si="245"/>
        <v>0</v>
      </c>
      <c r="CD205" s="16">
        <f t="shared" si="245"/>
        <v>0</v>
      </c>
      <c r="CE205" s="16">
        <f t="shared" si="245"/>
        <v>0</v>
      </c>
      <c r="CF205" s="16">
        <f t="shared" si="245"/>
        <v>0</v>
      </c>
      <c r="CG205" s="16">
        <f t="shared" si="245"/>
        <v>0</v>
      </c>
      <c r="CH205" s="16">
        <f t="shared" si="245"/>
        <v>0</v>
      </c>
      <c r="CI205" s="16">
        <f t="shared" si="245"/>
        <v>0</v>
      </c>
      <c r="CJ205" s="16">
        <f t="shared" si="245"/>
        <v>0</v>
      </c>
      <c r="CK205" s="16">
        <f t="shared" si="245"/>
        <v>0</v>
      </c>
      <c r="CL205" s="16">
        <f t="shared" si="245"/>
        <v>0</v>
      </c>
      <c r="CM205" s="16">
        <f t="shared" si="245"/>
        <v>0</v>
      </c>
      <c r="CN205" s="16">
        <f t="shared" si="245"/>
        <v>0</v>
      </c>
      <c r="CO205" s="16">
        <f t="shared" si="245"/>
        <v>0</v>
      </c>
      <c r="CP205" s="16">
        <f t="shared" si="245"/>
        <v>0</v>
      </c>
      <c r="CQ205" s="16">
        <f t="shared" si="245"/>
        <v>3875517</v>
      </c>
      <c r="CR205" s="16">
        <f t="shared" si="245"/>
        <v>3875517</v>
      </c>
      <c r="CS205" s="16">
        <f t="shared" si="245"/>
        <v>0</v>
      </c>
      <c r="CT205" s="16">
        <f t="shared" si="245"/>
        <v>0</v>
      </c>
      <c r="CU205" s="16">
        <f t="shared" si="245"/>
        <v>0</v>
      </c>
      <c r="CV205" s="16">
        <f t="shared" si="245"/>
        <v>0</v>
      </c>
      <c r="CW205" s="17">
        <f t="shared" si="245"/>
        <v>0</v>
      </c>
      <c r="CX205" s="40"/>
    </row>
    <row r="206" spans="1:102" ht="15.75" hidden="1" x14ac:dyDescent="0.25">
      <c r="A206" s="13" t="s">
        <v>1</v>
      </c>
      <c r="B206" s="14" t="s">
        <v>1</v>
      </c>
      <c r="C206" s="14" t="s">
        <v>41</v>
      </c>
      <c r="D206" s="30" t="s">
        <v>529</v>
      </c>
      <c r="E206" s="15">
        <f>SUM(F206+BY206+CT206)</f>
        <v>3875517</v>
      </c>
      <c r="F206" s="16">
        <f>SUM(G206+BA206)</f>
        <v>0</v>
      </c>
      <c r="G206" s="16">
        <f>SUM(H206+I206+J206+Q206+T206+U206+V206+AE206)</f>
        <v>0</v>
      </c>
      <c r="H206" s="16">
        <v>0</v>
      </c>
      <c r="I206" s="16">
        <v>0</v>
      </c>
      <c r="J206" s="16">
        <f>SUM(K206:P206)</f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f>SUM(R206:S206)</f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f>SUM(W206:AD206)</f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f>SUM(AF206:AZ206)</f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  <c r="AT206" s="16">
        <v>0</v>
      </c>
      <c r="AU206" s="16">
        <v>0</v>
      </c>
      <c r="AV206" s="16">
        <v>0</v>
      </c>
      <c r="AW206" s="16">
        <v>0</v>
      </c>
      <c r="AX206" s="16">
        <v>0</v>
      </c>
      <c r="AY206" s="16">
        <v>0</v>
      </c>
      <c r="AZ206" s="16"/>
      <c r="BA206" s="16">
        <f>SUM(BB206+BF206+BI206+BK206+BM206)</f>
        <v>0</v>
      </c>
      <c r="BB206" s="16">
        <f>SUM(BC206:BE206)</f>
        <v>0</v>
      </c>
      <c r="BC206" s="16">
        <v>0</v>
      </c>
      <c r="BD206" s="16">
        <v>0</v>
      </c>
      <c r="BE206" s="16">
        <v>0</v>
      </c>
      <c r="BF206" s="16">
        <f>SUM(BG206:BH206)</f>
        <v>0</v>
      </c>
      <c r="BG206" s="16">
        <v>0</v>
      </c>
      <c r="BH206" s="16">
        <v>0</v>
      </c>
      <c r="BI206" s="16">
        <v>0</v>
      </c>
      <c r="BJ206" s="16">
        <v>0</v>
      </c>
      <c r="BK206" s="16">
        <f>SUM(BL206)</f>
        <v>0</v>
      </c>
      <c r="BL206" s="16">
        <v>0</v>
      </c>
      <c r="BM206" s="16">
        <f>SUM(BN206:BX206)</f>
        <v>0</v>
      </c>
      <c r="BN206" s="16">
        <v>0</v>
      </c>
      <c r="BO206" s="16">
        <v>0</v>
      </c>
      <c r="BP206" s="16">
        <v>0</v>
      </c>
      <c r="BQ206" s="16">
        <v>0</v>
      </c>
      <c r="BR206" s="16">
        <v>0</v>
      </c>
      <c r="BS206" s="16">
        <v>0</v>
      </c>
      <c r="BT206" s="16">
        <v>0</v>
      </c>
      <c r="BU206" s="16">
        <v>0</v>
      </c>
      <c r="BV206" s="16">
        <v>0</v>
      </c>
      <c r="BW206" s="16">
        <v>0</v>
      </c>
      <c r="BX206" s="16">
        <v>0</v>
      </c>
      <c r="BY206" s="16">
        <f>SUM(BZ206+CS206+CQ206)</f>
        <v>3875517</v>
      </c>
      <c r="BZ206" s="16">
        <f>SUM(CA206+CD206+CK206)</f>
        <v>0</v>
      </c>
      <c r="CA206" s="16">
        <f>SUM(CB206:CC206)</f>
        <v>0</v>
      </c>
      <c r="CB206" s="16">
        <v>0</v>
      </c>
      <c r="CC206" s="16">
        <v>0</v>
      </c>
      <c r="CD206" s="16">
        <f>SUM(CE206:CI206)</f>
        <v>0</v>
      </c>
      <c r="CE206" s="16">
        <v>0</v>
      </c>
      <c r="CF206" s="16">
        <v>0</v>
      </c>
      <c r="CG206" s="16">
        <v>0</v>
      </c>
      <c r="CH206" s="16">
        <v>0</v>
      </c>
      <c r="CI206" s="16">
        <v>0</v>
      </c>
      <c r="CJ206" s="16">
        <v>0</v>
      </c>
      <c r="CK206" s="16">
        <f>SUM(CL206:CP206)</f>
        <v>0</v>
      </c>
      <c r="CL206" s="16">
        <v>0</v>
      </c>
      <c r="CM206" s="16">
        <v>0</v>
      </c>
      <c r="CN206" s="16">
        <v>0</v>
      </c>
      <c r="CO206" s="16">
        <v>0</v>
      </c>
      <c r="CP206" s="16">
        <v>0</v>
      </c>
      <c r="CQ206" s="16">
        <f>SUM(CR206)</f>
        <v>3875517</v>
      </c>
      <c r="CR206" s="16">
        <f>20110000+3875517-20110000</f>
        <v>3875517</v>
      </c>
      <c r="CS206" s="16">
        <v>0</v>
      </c>
      <c r="CT206" s="16">
        <f>SUM(CU206)</f>
        <v>0</v>
      </c>
      <c r="CU206" s="16">
        <f>SUM(CV206:CW206)</f>
        <v>0</v>
      </c>
      <c r="CV206" s="16"/>
      <c r="CW206" s="17">
        <v>0</v>
      </c>
      <c r="CX206" s="40"/>
    </row>
    <row r="207" spans="1:102" ht="31.5" hidden="1" x14ac:dyDescent="0.25">
      <c r="A207" s="18" t="s">
        <v>239</v>
      </c>
      <c r="B207" s="19" t="s">
        <v>1</v>
      </c>
      <c r="C207" s="19" t="s">
        <v>1</v>
      </c>
      <c r="D207" s="31" t="s">
        <v>240</v>
      </c>
      <c r="E207" s="20">
        <f>SUM(E208)</f>
        <v>177113890</v>
      </c>
      <c r="F207" s="21">
        <f t="shared" ref="F207:BS207" si="246">SUM(F208)</f>
        <v>177113890</v>
      </c>
      <c r="G207" s="21">
        <f t="shared" si="246"/>
        <v>0</v>
      </c>
      <c r="H207" s="21">
        <f t="shared" si="246"/>
        <v>0</v>
      </c>
      <c r="I207" s="21">
        <f t="shared" si="246"/>
        <v>0</v>
      </c>
      <c r="J207" s="21">
        <f t="shared" si="246"/>
        <v>0</v>
      </c>
      <c r="K207" s="21">
        <f t="shared" si="246"/>
        <v>0</v>
      </c>
      <c r="L207" s="21">
        <f t="shared" si="246"/>
        <v>0</v>
      </c>
      <c r="M207" s="21">
        <f t="shared" si="246"/>
        <v>0</v>
      </c>
      <c r="N207" s="21">
        <f t="shared" si="246"/>
        <v>0</v>
      </c>
      <c r="O207" s="21">
        <f t="shared" si="246"/>
        <v>0</v>
      </c>
      <c r="P207" s="21">
        <f t="shared" si="246"/>
        <v>0</v>
      </c>
      <c r="Q207" s="21">
        <f t="shared" si="246"/>
        <v>0</v>
      </c>
      <c r="R207" s="21">
        <f t="shared" si="246"/>
        <v>0</v>
      </c>
      <c r="S207" s="21">
        <f t="shared" si="246"/>
        <v>0</v>
      </c>
      <c r="T207" s="21">
        <f t="shared" si="246"/>
        <v>0</v>
      </c>
      <c r="U207" s="21">
        <f t="shared" si="246"/>
        <v>0</v>
      </c>
      <c r="V207" s="21">
        <f t="shared" si="246"/>
        <v>0</v>
      </c>
      <c r="W207" s="21">
        <f t="shared" si="246"/>
        <v>0</v>
      </c>
      <c r="X207" s="21">
        <f t="shared" si="246"/>
        <v>0</v>
      </c>
      <c r="Y207" s="21">
        <f t="shared" si="246"/>
        <v>0</v>
      </c>
      <c r="Z207" s="21">
        <f t="shared" si="246"/>
        <v>0</v>
      </c>
      <c r="AA207" s="21">
        <f t="shared" si="246"/>
        <v>0</v>
      </c>
      <c r="AB207" s="21">
        <f t="shared" si="246"/>
        <v>0</v>
      </c>
      <c r="AC207" s="21">
        <f t="shared" si="246"/>
        <v>0</v>
      </c>
      <c r="AD207" s="21">
        <f t="shared" si="246"/>
        <v>0</v>
      </c>
      <c r="AE207" s="21">
        <f t="shared" si="246"/>
        <v>0</v>
      </c>
      <c r="AF207" s="21">
        <f t="shared" si="246"/>
        <v>0</v>
      </c>
      <c r="AG207" s="21">
        <f t="shared" si="246"/>
        <v>0</v>
      </c>
      <c r="AH207" s="21">
        <f t="shared" si="246"/>
        <v>0</v>
      </c>
      <c r="AI207" s="21">
        <f t="shared" si="246"/>
        <v>0</v>
      </c>
      <c r="AJ207" s="21">
        <f t="shared" si="246"/>
        <v>0</v>
      </c>
      <c r="AK207" s="21">
        <f t="shared" si="246"/>
        <v>0</v>
      </c>
      <c r="AL207" s="21">
        <f t="shared" si="246"/>
        <v>0</v>
      </c>
      <c r="AM207" s="21">
        <f t="shared" si="246"/>
        <v>0</v>
      </c>
      <c r="AN207" s="21">
        <f t="shared" si="246"/>
        <v>0</v>
      </c>
      <c r="AO207" s="21">
        <f t="shared" si="246"/>
        <v>0</v>
      </c>
      <c r="AP207" s="21">
        <f t="shared" si="246"/>
        <v>0</v>
      </c>
      <c r="AQ207" s="21">
        <f t="shared" si="246"/>
        <v>0</v>
      </c>
      <c r="AR207" s="21">
        <f t="shared" si="246"/>
        <v>0</v>
      </c>
      <c r="AS207" s="21">
        <f t="shared" si="246"/>
        <v>0</v>
      </c>
      <c r="AT207" s="21">
        <f t="shared" si="246"/>
        <v>0</v>
      </c>
      <c r="AU207" s="21">
        <f t="shared" si="246"/>
        <v>0</v>
      </c>
      <c r="AV207" s="21">
        <f t="shared" si="246"/>
        <v>0</v>
      </c>
      <c r="AW207" s="21">
        <f t="shared" si="246"/>
        <v>0</v>
      </c>
      <c r="AX207" s="21">
        <f t="shared" si="246"/>
        <v>0</v>
      </c>
      <c r="AY207" s="21">
        <f t="shared" si="246"/>
        <v>0</v>
      </c>
      <c r="AZ207" s="21">
        <f t="shared" si="246"/>
        <v>0</v>
      </c>
      <c r="BA207" s="21">
        <f t="shared" si="246"/>
        <v>177113890</v>
      </c>
      <c r="BB207" s="21">
        <f t="shared" si="246"/>
        <v>737394</v>
      </c>
      <c r="BC207" s="21">
        <f t="shared" si="246"/>
        <v>737394</v>
      </c>
      <c r="BD207" s="21">
        <f t="shared" si="246"/>
        <v>0</v>
      </c>
      <c r="BE207" s="21">
        <f t="shared" si="246"/>
        <v>0</v>
      </c>
      <c r="BF207" s="21">
        <f t="shared" si="246"/>
        <v>0</v>
      </c>
      <c r="BG207" s="21">
        <f t="shared" si="246"/>
        <v>0</v>
      </c>
      <c r="BH207" s="21">
        <f t="shared" si="246"/>
        <v>0</v>
      </c>
      <c r="BI207" s="21">
        <f t="shared" si="246"/>
        <v>176376496</v>
      </c>
      <c r="BJ207" s="21">
        <f t="shared" si="246"/>
        <v>0</v>
      </c>
      <c r="BK207" s="21">
        <f t="shared" si="246"/>
        <v>0</v>
      </c>
      <c r="BL207" s="21">
        <f t="shared" si="246"/>
        <v>0</v>
      </c>
      <c r="BM207" s="21">
        <f t="shared" si="246"/>
        <v>0</v>
      </c>
      <c r="BN207" s="21">
        <f t="shared" si="246"/>
        <v>0</v>
      </c>
      <c r="BO207" s="21">
        <f t="shared" si="246"/>
        <v>0</v>
      </c>
      <c r="BP207" s="21">
        <f t="shared" si="246"/>
        <v>0</v>
      </c>
      <c r="BQ207" s="21">
        <f t="shared" si="246"/>
        <v>0</v>
      </c>
      <c r="BR207" s="21">
        <f t="shared" si="246"/>
        <v>0</v>
      </c>
      <c r="BS207" s="21">
        <f t="shared" si="246"/>
        <v>0</v>
      </c>
      <c r="BT207" s="21">
        <f t="shared" ref="BT207:CW207" si="247">SUM(BT208)</f>
        <v>0</v>
      </c>
      <c r="BU207" s="21">
        <f t="shared" si="247"/>
        <v>0</v>
      </c>
      <c r="BV207" s="21">
        <f t="shared" si="247"/>
        <v>0</v>
      </c>
      <c r="BW207" s="21">
        <f t="shared" si="247"/>
        <v>0</v>
      </c>
      <c r="BX207" s="21">
        <f t="shared" si="247"/>
        <v>0</v>
      </c>
      <c r="BY207" s="21">
        <f t="shared" si="247"/>
        <v>0</v>
      </c>
      <c r="BZ207" s="21">
        <f t="shared" si="247"/>
        <v>0</v>
      </c>
      <c r="CA207" s="21">
        <f t="shared" si="247"/>
        <v>0</v>
      </c>
      <c r="CB207" s="21">
        <f t="shared" si="247"/>
        <v>0</v>
      </c>
      <c r="CC207" s="21">
        <f t="shared" si="247"/>
        <v>0</v>
      </c>
      <c r="CD207" s="21">
        <f t="shared" si="247"/>
        <v>0</v>
      </c>
      <c r="CE207" s="21">
        <f t="shared" si="247"/>
        <v>0</v>
      </c>
      <c r="CF207" s="21">
        <f t="shared" si="247"/>
        <v>0</v>
      </c>
      <c r="CG207" s="21">
        <f t="shared" si="247"/>
        <v>0</v>
      </c>
      <c r="CH207" s="21">
        <f t="shared" si="247"/>
        <v>0</v>
      </c>
      <c r="CI207" s="21">
        <f t="shared" si="247"/>
        <v>0</v>
      </c>
      <c r="CJ207" s="21">
        <f t="shared" si="247"/>
        <v>0</v>
      </c>
      <c r="CK207" s="21">
        <f t="shared" si="247"/>
        <v>0</v>
      </c>
      <c r="CL207" s="21">
        <f t="shared" si="247"/>
        <v>0</v>
      </c>
      <c r="CM207" s="21">
        <f t="shared" si="247"/>
        <v>0</v>
      </c>
      <c r="CN207" s="21">
        <f t="shared" si="247"/>
        <v>0</v>
      </c>
      <c r="CO207" s="21">
        <f t="shared" si="247"/>
        <v>0</v>
      </c>
      <c r="CP207" s="21">
        <f t="shared" si="247"/>
        <v>0</v>
      </c>
      <c r="CQ207" s="21">
        <f t="shared" si="247"/>
        <v>0</v>
      </c>
      <c r="CR207" s="21">
        <f t="shared" si="247"/>
        <v>0</v>
      </c>
      <c r="CS207" s="21">
        <f t="shared" si="247"/>
        <v>0</v>
      </c>
      <c r="CT207" s="21">
        <f t="shared" si="247"/>
        <v>0</v>
      </c>
      <c r="CU207" s="21">
        <f t="shared" si="247"/>
        <v>0</v>
      </c>
      <c r="CV207" s="21">
        <f t="shared" si="247"/>
        <v>0</v>
      </c>
      <c r="CW207" s="22">
        <f t="shared" si="247"/>
        <v>0</v>
      </c>
      <c r="CX207" s="40"/>
    </row>
    <row r="208" spans="1:102" ht="15.75" hidden="1" x14ac:dyDescent="0.25">
      <c r="A208" s="13" t="s">
        <v>241</v>
      </c>
      <c r="B208" s="14" t="s">
        <v>3</v>
      </c>
      <c r="C208" s="14" t="s">
        <v>1</v>
      </c>
      <c r="D208" s="30" t="s">
        <v>242</v>
      </c>
      <c r="E208" s="15">
        <f>SUM(E209:E210)</f>
        <v>177113890</v>
      </c>
      <c r="F208" s="16">
        <f t="shared" ref="F208:BS208" si="248">SUM(F209:F210)</f>
        <v>177113890</v>
      </c>
      <c r="G208" s="16">
        <f t="shared" si="248"/>
        <v>0</v>
      </c>
      <c r="H208" s="16">
        <f t="shared" si="248"/>
        <v>0</v>
      </c>
      <c r="I208" s="16">
        <f t="shared" si="248"/>
        <v>0</v>
      </c>
      <c r="J208" s="16">
        <f t="shared" si="248"/>
        <v>0</v>
      </c>
      <c r="K208" s="16">
        <f t="shared" si="248"/>
        <v>0</v>
      </c>
      <c r="L208" s="16">
        <f t="shared" si="248"/>
        <v>0</v>
      </c>
      <c r="M208" s="16">
        <f t="shared" si="248"/>
        <v>0</v>
      </c>
      <c r="N208" s="16">
        <f t="shared" si="248"/>
        <v>0</v>
      </c>
      <c r="O208" s="16">
        <f t="shared" si="248"/>
        <v>0</v>
      </c>
      <c r="P208" s="16">
        <f t="shared" si="248"/>
        <v>0</v>
      </c>
      <c r="Q208" s="16">
        <f t="shared" si="248"/>
        <v>0</v>
      </c>
      <c r="R208" s="16">
        <f t="shared" si="248"/>
        <v>0</v>
      </c>
      <c r="S208" s="16">
        <f t="shared" si="248"/>
        <v>0</v>
      </c>
      <c r="T208" s="16">
        <f t="shared" si="248"/>
        <v>0</v>
      </c>
      <c r="U208" s="16">
        <f t="shared" si="248"/>
        <v>0</v>
      </c>
      <c r="V208" s="16">
        <f t="shared" si="248"/>
        <v>0</v>
      </c>
      <c r="W208" s="16">
        <f t="shared" si="248"/>
        <v>0</v>
      </c>
      <c r="X208" s="16">
        <f t="shared" si="248"/>
        <v>0</v>
      </c>
      <c r="Y208" s="16">
        <f t="shared" si="248"/>
        <v>0</v>
      </c>
      <c r="Z208" s="16">
        <f t="shared" si="248"/>
        <v>0</v>
      </c>
      <c r="AA208" s="16">
        <f t="shared" si="248"/>
        <v>0</v>
      </c>
      <c r="AB208" s="16">
        <f t="shared" si="248"/>
        <v>0</v>
      </c>
      <c r="AC208" s="16">
        <f t="shared" si="248"/>
        <v>0</v>
      </c>
      <c r="AD208" s="16">
        <f t="shared" si="248"/>
        <v>0</v>
      </c>
      <c r="AE208" s="16">
        <f t="shared" si="248"/>
        <v>0</v>
      </c>
      <c r="AF208" s="16">
        <f t="shared" si="248"/>
        <v>0</v>
      </c>
      <c r="AG208" s="16">
        <f t="shared" si="248"/>
        <v>0</v>
      </c>
      <c r="AH208" s="16">
        <f t="shared" si="248"/>
        <v>0</v>
      </c>
      <c r="AI208" s="16">
        <f t="shared" si="248"/>
        <v>0</v>
      </c>
      <c r="AJ208" s="16">
        <f t="shared" si="248"/>
        <v>0</v>
      </c>
      <c r="AK208" s="16">
        <f t="shared" si="248"/>
        <v>0</v>
      </c>
      <c r="AL208" s="16">
        <f t="shared" si="248"/>
        <v>0</v>
      </c>
      <c r="AM208" s="16">
        <f t="shared" si="248"/>
        <v>0</v>
      </c>
      <c r="AN208" s="16">
        <f t="shared" si="248"/>
        <v>0</v>
      </c>
      <c r="AO208" s="16">
        <f t="shared" si="248"/>
        <v>0</v>
      </c>
      <c r="AP208" s="16">
        <f>SUM(AP209:AP210)</f>
        <v>0</v>
      </c>
      <c r="AQ208" s="16">
        <f t="shared" si="248"/>
        <v>0</v>
      </c>
      <c r="AR208" s="16">
        <f t="shared" si="248"/>
        <v>0</v>
      </c>
      <c r="AS208" s="16">
        <f t="shared" si="248"/>
        <v>0</v>
      </c>
      <c r="AT208" s="16">
        <f t="shared" si="248"/>
        <v>0</v>
      </c>
      <c r="AU208" s="16">
        <f t="shared" si="248"/>
        <v>0</v>
      </c>
      <c r="AV208" s="16">
        <f t="shared" si="248"/>
        <v>0</v>
      </c>
      <c r="AW208" s="16">
        <f t="shared" si="248"/>
        <v>0</v>
      </c>
      <c r="AX208" s="16">
        <f t="shared" si="248"/>
        <v>0</v>
      </c>
      <c r="AY208" s="16">
        <f t="shared" si="248"/>
        <v>0</v>
      </c>
      <c r="AZ208" s="16">
        <f t="shared" si="248"/>
        <v>0</v>
      </c>
      <c r="BA208" s="16">
        <f t="shared" si="248"/>
        <v>177113890</v>
      </c>
      <c r="BB208" s="16">
        <f t="shared" si="248"/>
        <v>737394</v>
      </c>
      <c r="BC208" s="16">
        <f t="shared" si="248"/>
        <v>737394</v>
      </c>
      <c r="BD208" s="16">
        <f t="shared" si="248"/>
        <v>0</v>
      </c>
      <c r="BE208" s="16">
        <f t="shared" si="248"/>
        <v>0</v>
      </c>
      <c r="BF208" s="16">
        <f t="shared" si="248"/>
        <v>0</v>
      </c>
      <c r="BG208" s="16">
        <f t="shared" si="248"/>
        <v>0</v>
      </c>
      <c r="BH208" s="16">
        <f t="shared" si="248"/>
        <v>0</v>
      </c>
      <c r="BI208" s="16">
        <f t="shared" si="248"/>
        <v>176376496</v>
      </c>
      <c r="BJ208" s="16">
        <f t="shared" si="248"/>
        <v>0</v>
      </c>
      <c r="BK208" s="16">
        <f t="shared" si="248"/>
        <v>0</v>
      </c>
      <c r="BL208" s="16">
        <f t="shared" si="248"/>
        <v>0</v>
      </c>
      <c r="BM208" s="16">
        <f t="shared" si="248"/>
        <v>0</v>
      </c>
      <c r="BN208" s="16">
        <f t="shared" si="248"/>
        <v>0</v>
      </c>
      <c r="BO208" s="16">
        <f t="shared" si="248"/>
        <v>0</v>
      </c>
      <c r="BP208" s="16">
        <f t="shared" si="248"/>
        <v>0</v>
      </c>
      <c r="BQ208" s="16">
        <f t="shared" si="248"/>
        <v>0</v>
      </c>
      <c r="BR208" s="16">
        <f t="shared" si="248"/>
        <v>0</v>
      </c>
      <c r="BS208" s="16">
        <f t="shared" si="248"/>
        <v>0</v>
      </c>
      <c r="BT208" s="16">
        <f t="shared" ref="BT208:CW208" si="249">SUM(BT209:BT210)</f>
        <v>0</v>
      </c>
      <c r="BU208" s="16">
        <f t="shared" si="249"/>
        <v>0</v>
      </c>
      <c r="BV208" s="16">
        <f t="shared" si="249"/>
        <v>0</v>
      </c>
      <c r="BW208" s="16">
        <f t="shared" si="249"/>
        <v>0</v>
      </c>
      <c r="BX208" s="16">
        <f t="shared" si="249"/>
        <v>0</v>
      </c>
      <c r="BY208" s="16">
        <f t="shared" si="249"/>
        <v>0</v>
      </c>
      <c r="BZ208" s="16">
        <f t="shared" si="249"/>
        <v>0</v>
      </c>
      <c r="CA208" s="16">
        <f t="shared" si="249"/>
        <v>0</v>
      </c>
      <c r="CB208" s="16">
        <f t="shared" si="249"/>
        <v>0</v>
      </c>
      <c r="CC208" s="16">
        <f t="shared" si="249"/>
        <v>0</v>
      </c>
      <c r="CD208" s="16">
        <f t="shared" si="249"/>
        <v>0</v>
      </c>
      <c r="CE208" s="16">
        <f t="shared" si="249"/>
        <v>0</v>
      </c>
      <c r="CF208" s="16">
        <f>SUM(CF209:CF210)</f>
        <v>0</v>
      </c>
      <c r="CG208" s="16">
        <f t="shared" si="249"/>
        <v>0</v>
      </c>
      <c r="CH208" s="16">
        <f t="shared" si="249"/>
        <v>0</v>
      </c>
      <c r="CI208" s="16">
        <f t="shared" si="249"/>
        <v>0</v>
      </c>
      <c r="CJ208" s="16">
        <f t="shared" si="249"/>
        <v>0</v>
      </c>
      <c r="CK208" s="16">
        <f t="shared" si="249"/>
        <v>0</v>
      </c>
      <c r="CL208" s="16">
        <f t="shared" si="249"/>
        <v>0</v>
      </c>
      <c r="CM208" s="16">
        <f>SUM(CM209:CM210)</f>
        <v>0</v>
      </c>
      <c r="CN208" s="16">
        <f t="shared" si="249"/>
        <v>0</v>
      </c>
      <c r="CO208" s="16">
        <f t="shared" si="249"/>
        <v>0</v>
      </c>
      <c r="CP208" s="16">
        <f t="shared" si="249"/>
        <v>0</v>
      </c>
      <c r="CQ208" s="16">
        <f t="shared" si="249"/>
        <v>0</v>
      </c>
      <c r="CR208" s="16">
        <f t="shared" si="249"/>
        <v>0</v>
      </c>
      <c r="CS208" s="16">
        <f t="shared" si="249"/>
        <v>0</v>
      </c>
      <c r="CT208" s="16">
        <f t="shared" si="249"/>
        <v>0</v>
      </c>
      <c r="CU208" s="16">
        <f t="shared" si="249"/>
        <v>0</v>
      </c>
      <c r="CV208" s="16">
        <f t="shared" si="249"/>
        <v>0</v>
      </c>
      <c r="CW208" s="17">
        <f t="shared" si="249"/>
        <v>0</v>
      </c>
      <c r="CX208" s="40"/>
    </row>
    <row r="209" spans="1:102" ht="31.5" hidden="1" x14ac:dyDescent="0.25">
      <c r="A209" s="13" t="s">
        <v>1</v>
      </c>
      <c r="B209" s="14" t="s">
        <v>1</v>
      </c>
      <c r="C209" s="14" t="s">
        <v>43</v>
      </c>
      <c r="D209" s="30" t="s">
        <v>243</v>
      </c>
      <c r="E209" s="15">
        <f>SUM(F209+BY209+CT209)</f>
        <v>176376496</v>
      </c>
      <c r="F209" s="16">
        <f>SUM(G209+BA209)</f>
        <v>176376496</v>
      </c>
      <c r="G209" s="16">
        <f>SUM(H209+I209+J209+Q209+T209+U209+V209+AE209)</f>
        <v>0</v>
      </c>
      <c r="H209" s="16">
        <v>0</v>
      </c>
      <c r="I209" s="16">
        <v>0</v>
      </c>
      <c r="J209" s="16">
        <f t="shared" si="164"/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f t="shared" si="165"/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f>SUM(W209:AD209)</f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f>SUM(AF209:AZ209)</f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6">
        <v>0</v>
      </c>
      <c r="AW209" s="16">
        <v>0</v>
      </c>
      <c r="AX209" s="16">
        <v>0</v>
      </c>
      <c r="AY209" s="16">
        <v>0</v>
      </c>
      <c r="AZ209" s="16">
        <v>0</v>
      </c>
      <c r="BA209" s="16">
        <f>SUM(BB209+BF209+BI209+BK209+BM209)</f>
        <v>176376496</v>
      </c>
      <c r="BB209" s="16">
        <f>SUM(BC209:BE209)</f>
        <v>0</v>
      </c>
      <c r="BC209" s="16">
        <v>0</v>
      </c>
      <c r="BD209" s="16">
        <v>0</v>
      </c>
      <c r="BE209" s="16">
        <v>0</v>
      </c>
      <c r="BF209" s="16">
        <f t="shared" si="166"/>
        <v>0</v>
      </c>
      <c r="BG209" s="16">
        <v>0</v>
      </c>
      <c r="BH209" s="16">
        <v>0</v>
      </c>
      <c r="BI209" s="16">
        <f>136083958+505829+39786709</f>
        <v>176376496</v>
      </c>
      <c r="BJ209" s="16">
        <v>0</v>
      </c>
      <c r="BK209" s="16">
        <f t="shared" si="167"/>
        <v>0</v>
      </c>
      <c r="BL209" s="16">
        <v>0</v>
      </c>
      <c r="BM209" s="16">
        <f t="shared" si="168"/>
        <v>0</v>
      </c>
      <c r="BN209" s="16">
        <v>0</v>
      </c>
      <c r="BO209" s="16">
        <v>0</v>
      </c>
      <c r="BP209" s="16">
        <v>0</v>
      </c>
      <c r="BQ209" s="16">
        <v>0</v>
      </c>
      <c r="BR209" s="16">
        <v>0</v>
      </c>
      <c r="BS209" s="16">
        <v>0</v>
      </c>
      <c r="BT209" s="16">
        <v>0</v>
      </c>
      <c r="BU209" s="16">
        <v>0</v>
      </c>
      <c r="BV209" s="16">
        <v>0</v>
      </c>
      <c r="BW209" s="16">
        <v>0</v>
      </c>
      <c r="BX209" s="16">
        <v>0</v>
      </c>
      <c r="BY209" s="16">
        <f>SUM(BZ209+CS209)</f>
        <v>0</v>
      </c>
      <c r="BZ209" s="16">
        <f>SUM(CA209+CD209+CK209)</f>
        <v>0</v>
      </c>
      <c r="CA209" s="16">
        <f t="shared" si="169"/>
        <v>0</v>
      </c>
      <c r="CB209" s="16">
        <v>0</v>
      </c>
      <c r="CC209" s="16">
        <v>0</v>
      </c>
      <c r="CD209" s="16">
        <f t="shared" si="170"/>
        <v>0</v>
      </c>
      <c r="CE209" s="16">
        <v>0</v>
      </c>
      <c r="CF209" s="16">
        <v>0</v>
      </c>
      <c r="CG209" s="16">
        <v>0</v>
      </c>
      <c r="CH209" s="16">
        <v>0</v>
      </c>
      <c r="CI209" s="16">
        <v>0</v>
      </c>
      <c r="CJ209" s="16">
        <v>0</v>
      </c>
      <c r="CK209" s="16">
        <f t="shared" si="171"/>
        <v>0</v>
      </c>
      <c r="CL209" s="16">
        <v>0</v>
      </c>
      <c r="CM209" s="16">
        <v>0</v>
      </c>
      <c r="CN209" s="16">
        <v>0</v>
      </c>
      <c r="CO209" s="16">
        <v>0</v>
      </c>
      <c r="CP209" s="16">
        <v>0</v>
      </c>
      <c r="CQ209" s="16">
        <v>0</v>
      </c>
      <c r="CR209" s="16">
        <v>0</v>
      </c>
      <c r="CS209" s="16">
        <v>0</v>
      </c>
      <c r="CT209" s="16">
        <f t="shared" si="172"/>
        <v>0</v>
      </c>
      <c r="CU209" s="16">
        <f t="shared" si="173"/>
        <v>0</v>
      </c>
      <c r="CV209" s="16">
        <v>0</v>
      </c>
      <c r="CW209" s="17">
        <v>0</v>
      </c>
      <c r="CX209" s="40"/>
    </row>
    <row r="210" spans="1:102" ht="31.5" hidden="1" x14ac:dyDescent="0.25">
      <c r="A210" s="13" t="s">
        <v>1</v>
      </c>
      <c r="B210" s="14" t="s">
        <v>1</v>
      </c>
      <c r="C210" s="14" t="s">
        <v>43</v>
      </c>
      <c r="D210" s="30" t="s">
        <v>244</v>
      </c>
      <c r="E210" s="15">
        <f>SUM(F210+BY210+CT210)</f>
        <v>737394</v>
      </c>
      <c r="F210" s="16">
        <f>SUM(G210+BA210)</f>
        <v>737394</v>
      </c>
      <c r="G210" s="16">
        <f>SUM(H210+I210+J210+Q210+T210+U210+V210+AE210)</f>
        <v>0</v>
      </c>
      <c r="H210" s="16">
        <v>0</v>
      </c>
      <c r="I210" s="16">
        <v>0</v>
      </c>
      <c r="J210" s="16">
        <f t="shared" si="164"/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f t="shared" si="165"/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f>SUM(W210:AD210)</f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f>SUM(AF210:AZ210)</f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0</v>
      </c>
      <c r="AU210" s="16">
        <v>0</v>
      </c>
      <c r="AV210" s="16">
        <v>0</v>
      </c>
      <c r="AW210" s="16">
        <v>0</v>
      </c>
      <c r="AX210" s="16">
        <v>0</v>
      </c>
      <c r="AY210" s="16">
        <v>0</v>
      </c>
      <c r="AZ210" s="16">
        <v>0</v>
      </c>
      <c r="BA210" s="16">
        <f>SUM(BB210+BF210+BI210+BK210+BM210)</f>
        <v>737394</v>
      </c>
      <c r="BB210" s="16">
        <f>SUM(BC210:BE210)</f>
        <v>737394</v>
      </c>
      <c r="BC210" s="16">
        <v>737394</v>
      </c>
      <c r="BD210" s="16">
        <v>0</v>
      </c>
      <c r="BE210" s="16">
        <v>0</v>
      </c>
      <c r="BF210" s="16">
        <f t="shared" si="166"/>
        <v>0</v>
      </c>
      <c r="BG210" s="16">
        <v>0</v>
      </c>
      <c r="BH210" s="16">
        <v>0</v>
      </c>
      <c r="BI210" s="16">
        <v>0</v>
      </c>
      <c r="BJ210" s="16">
        <v>0</v>
      </c>
      <c r="BK210" s="16">
        <f t="shared" si="167"/>
        <v>0</v>
      </c>
      <c r="BL210" s="16">
        <v>0</v>
      </c>
      <c r="BM210" s="16">
        <f t="shared" si="168"/>
        <v>0</v>
      </c>
      <c r="BN210" s="16">
        <v>0</v>
      </c>
      <c r="BO210" s="16">
        <v>0</v>
      </c>
      <c r="BP210" s="16">
        <v>0</v>
      </c>
      <c r="BQ210" s="16">
        <v>0</v>
      </c>
      <c r="BR210" s="16">
        <v>0</v>
      </c>
      <c r="BS210" s="16">
        <v>0</v>
      </c>
      <c r="BT210" s="16">
        <v>0</v>
      </c>
      <c r="BU210" s="16">
        <v>0</v>
      </c>
      <c r="BV210" s="16">
        <v>0</v>
      </c>
      <c r="BW210" s="16">
        <v>0</v>
      </c>
      <c r="BX210" s="16">
        <v>0</v>
      </c>
      <c r="BY210" s="16">
        <f>SUM(BZ210+CS210)</f>
        <v>0</v>
      </c>
      <c r="BZ210" s="16">
        <f>SUM(CA210+CD210+CK210)</f>
        <v>0</v>
      </c>
      <c r="CA210" s="16">
        <f t="shared" si="169"/>
        <v>0</v>
      </c>
      <c r="CB210" s="16">
        <v>0</v>
      </c>
      <c r="CC210" s="16">
        <v>0</v>
      </c>
      <c r="CD210" s="16">
        <f t="shared" si="170"/>
        <v>0</v>
      </c>
      <c r="CE210" s="16">
        <v>0</v>
      </c>
      <c r="CF210" s="16">
        <v>0</v>
      </c>
      <c r="CG210" s="16">
        <v>0</v>
      </c>
      <c r="CH210" s="16">
        <v>0</v>
      </c>
      <c r="CI210" s="16">
        <v>0</v>
      </c>
      <c r="CJ210" s="16">
        <v>0</v>
      </c>
      <c r="CK210" s="16">
        <f t="shared" si="171"/>
        <v>0</v>
      </c>
      <c r="CL210" s="16">
        <v>0</v>
      </c>
      <c r="CM210" s="16">
        <v>0</v>
      </c>
      <c r="CN210" s="16">
        <v>0</v>
      </c>
      <c r="CO210" s="16">
        <v>0</v>
      </c>
      <c r="CP210" s="16">
        <v>0</v>
      </c>
      <c r="CQ210" s="16">
        <v>0</v>
      </c>
      <c r="CR210" s="16">
        <v>0</v>
      </c>
      <c r="CS210" s="16">
        <v>0</v>
      </c>
      <c r="CT210" s="16">
        <f t="shared" si="172"/>
        <v>0</v>
      </c>
      <c r="CU210" s="16">
        <f t="shared" si="173"/>
        <v>0</v>
      </c>
      <c r="CV210" s="16">
        <v>0</v>
      </c>
      <c r="CW210" s="17">
        <v>0</v>
      </c>
      <c r="CX210" s="40"/>
    </row>
    <row r="211" spans="1:102" ht="15.75" hidden="1" x14ac:dyDescent="0.25">
      <c r="A211" s="18" t="s">
        <v>245</v>
      </c>
      <c r="B211" s="19" t="s">
        <v>1</v>
      </c>
      <c r="C211" s="19" t="s">
        <v>1</v>
      </c>
      <c r="D211" s="31" t="s">
        <v>246</v>
      </c>
      <c r="E211" s="20">
        <f t="shared" ref="E211:BP211" si="250">SUM(E212+E214+E217+E265+E279)</f>
        <v>590079383</v>
      </c>
      <c r="F211" s="21">
        <f t="shared" si="250"/>
        <v>447815322</v>
      </c>
      <c r="G211" s="21">
        <f t="shared" si="250"/>
        <v>287971131</v>
      </c>
      <c r="H211" s="21">
        <f t="shared" si="250"/>
        <v>97548499</v>
      </c>
      <c r="I211" s="21">
        <f t="shared" si="250"/>
        <v>19413417</v>
      </c>
      <c r="J211" s="21">
        <f t="shared" si="250"/>
        <v>48822920</v>
      </c>
      <c r="K211" s="21">
        <f t="shared" si="250"/>
        <v>15066346</v>
      </c>
      <c r="L211" s="21">
        <f t="shared" si="250"/>
        <v>2797489</v>
      </c>
      <c r="M211" s="21">
        <f t="shared" si="250"/>
        <v>4245236</v>
      </c>
      <c r="N211" s="21">
        <f t="shared" si="250"/>
        <v>4013</v>
      </c>
      <c r="O211" s="21">
        <f t="shared" si="250"/>
        <v>10393622</v>
      </c>
      <c r="P211" s="21">
        <f t="shared" si="250"/>
        <v>16316214</v>
      </c>
      <c r="Q211" s="21">
        <f t="shared" si="250"/>
        <v>801174</v>
      </c>
      <c r="R211" s="21">
        <f t="shared" si="250"/>
        <v>157396</v>
      </c>
      <c r="S211" s="21">
        <f t="shared" si="250"/>
        <v>643778</v>
      </c>
      <c r="T211" s="21">
        <f t="shared" si="250"/>
        <v>308024</v>
      </c>
      <c r="U211" s="21">
        <f t="shared" si="250"/>
        <v>1937389</v>
      </c>
      <c r="V211" s="21">
        <f t="shared" si="250"/>
        <v>26959777</v>
      </c>
      <c r="W211" s="21">
        <f t="shared" si="250"/>
        <v>2276448</v>
      </c>
      <c r="X211" s="21">
        <f t="shared" si="250"/>
        <v>4093637</v>
      </c>
      <c r="Y211" s="21">
        <f t="shared" si="250"/>
        <v>18269673</v>
      </c>
      <c r="Z211" s="21">
        <f t="shared" si="250"/>
        <v>1098771</v>
      </c>
      <c r="AA211" s="21">
        <f t="shared" si="250"/>
        <v>741987</v>
      </c>
      <c r="AB211" s="21">
        <f t="shared" si="250"/>
        <v>302713</v>
      </c>
      <c r="AC211" s="21">
        <f t="shared" si="250"/>
        <v>0</v>
      </c>
      <c r="AD211" s="21">
        <f t="shared" si="250"/>
        <v>176548</v>
      </c>
      <c r="AE211" s="21">
        <f t="shared" si="250"/>
        <v>92179931</v>
      </c>
      <c r="AF211" s="21">
        <f t="shared" si="250"/>
        <v>339000</v>
      </c>
      <c r="AG211" s="21">
        <f t="shared" si="250"/>
        <v>3605289</v>
      </c>
      <c r="AH211" s="21">
        <f t="shared" si="250"/>
        <v>8879210</v>
      </c>
      <c r="AI211" s="21">
        <f t="shared" si="250"/>
        <v>865379</v>
      </c>
      <c r="AJ211" s="21">
        <f t="shared" si="250"/>
        <v>1934243</v>
      </c>
      <c r="AK211" s="21">
        <f t="shared" si="250"/>
        <v>15380</v>
      </c>
      <c r="AL211" s="21">
        <f t="shared" si="250"/>
        <v>523848</v>
      </c>
      <c r="AM211" s="21">
        <f t="shared" si="250"/>
        <v>2843983</v>
      </c>
      <c r="AN211" s="21">
        <f t="shared" si="250"/>
        <v>21833</v>
      </c>
      <c r="AO211" s="21">
        <f t="shared" si="250"/>
        <v>22635</v>
      </c>
      <c r="AP211" s="21">
        <f t="shared" si="250"/>
        <v>974849</v>
      </c>
      <c r="AQ211" s="21">
        <f t="shared" si="250"/>
        <v>8055897</v>
      </c>
      <c r="AR211" s="21">
        <f t="shared" si="250"/>
        <v>837120</v>
      </c>
      <c r="AS211" s="21">
        <f t="shared" si="250"/>
        <v>436875</v>
      </c>
      <c r="AT211" s="21">
        <f t="shared" si="250"/>
        <v>0</v>
      </c>
      <c r="AU211" s="21">
        <f t="shared" si="250"/>
        <v>5888</v>
      </c>
      <c r="AV211" s="21">
        <f t="shared" si="250"/>
        <v>61706</v>
      </c>
      <c r="AW211" s="21">
        <f t="shared" si="250"/>
        <v>1600375</v>
      </c>
      <c r="AX211" s="21">
        <f t="shared" si="250"/>
        <v>0</v>
      </c>
      <c r="AY211" s="21">
        <f t="shared" si="250"/>
        <v>0</v>
      </c>
      <c r="AZ211" s="21">
        <f t="shared" si="250"/>
        <v>61156421</v>
      </c>
      <c r="BA211" s="21">
        <f t="shared" si="250"/>
        <v>159844191</v>
      </c>
      <c r="BB211" s="21">
        <f t="shared" si="250"/>
        <v>0</v>
      </c>
      <c r="BC211" s="21">
        <f t="shared" si="250"/>
        <v>0</v>
      </c>
      <c r="BD211" s="21">
        <f t="shared" si="250"/>
        <v>0</v>
      </c>
      <c r="BE211" s="21">
        <f t="shared" si="250"/>
        <v>0</v>
      </c>
      <c r="BF211" s="21">
        <f t="shared" si="250"/>
        <v>0</v>
      </c>
      <c r="BG211" s="21">
        <f t="shared" si="250"/>
        <v>0</v>
      </c>
      <c r="BH211" s="21">
        <f t="shared" si="250"/>
        <v>0</v>
      </c>
      <c r="BI211" s="21">
        <f t="shared" si="250"/>
        <v>159835357</v>
      </c>
      <c r="BJ211" s="21">
        <f t="shared" si="250"/>
        <v>4214513</v>
      </c>
      <c r="BK211" s="21">
        <f t="shared" si="250"/>
        <v>0</v>
      </c>
      <c r="BL211" s="21">
        <f t="shared" si="250"/>
        <v>0</v>
      </c>
      <c r="BM211" s="21">
        <f t="shared" si="250"/>
        <v>8834</v>
      </c>
      <c r="BN211" s="21">
        <f t="shared" si="250"/>
        <v>0</v>
      </c>
      <c r="BO211" s="21">
        <f t="shared" si="250"/>
        <v>0</v>
      </c>
      <c r="BP211" s="21">
        <f t="shared" si="250"/>
        <v>5000</v>
      </c>
      <c r="BQ211" s="21">
        <f t="shared" ref="BQ211:CW211" si="251">SUM(BQ212+BQ214+BQ217+BQ265+BQ279)</f>
        <v>0</v>
      </c>
      <c r="BR211" s="21">
        <f t="shared" si="251"/>
        <v>0</v>
      </c>
      <c r="BS211" s="21">
        <f t="shared" si="251"/>
        <v>0</v>
      </c>
      <c r="BT211" s="21">
        <f t="shared" si="251"/>
        <v>0</v>
      </c>
      <c r="BU211" s="21">
        <f t="shared" si="251"/>
        <v>0</v>
      </c>
      <c r="BV211" s="21">
        <f t="shared" si="251"/>
        <v>0</v>
      </c>
      <c r="BW211" s="21">
        <f t="shared" si="251"/>
        <v>3834</v>
      </c>
      <c r="BX211" s="21">
        <f t="shared" si="251"/>
        <v>0</v>
      </c>
      <c r="BY211" s="21">
        <f t="shared" si="251"/>
        <v>142264061</v>
      </c>
      <c r="BZ211" s="21">
        <f t="shared" si="251"/>
        <v>24966087</v>
      </c>
      <c r="CA211" s="21">
        <f t="shared" si="251"/>
        <v>17603396</v>
      </c>
      <c r="CB211" s="21">
        <f t="shared" si="251"/>
        <v>2988565</v>
      </c>
      <c r="CC211" s="21">
        <f t="shared" si="251"/>
        <v>14614831</v>
      </c>
      <c r="CD211" s="21">
        <f t="shared" si="251"/>
        <v>800000</v>
      </c>
      <c r="CE211" s="21">
        <f t="shared" si="251"/>
        <v>0</v>
      </c>
      <c r="CF211" s="21">
        <f t="shared" si="251"/>
        <v>0</v>
      </c>
      <c r="CG211" s="21">
        <f t="shared" si="251"/>
        <v>0</v>
      </c>
      <c r="CH211" s="21">
        <f t="shared" si="251"/>
        <v>800000</v>
      </c>
      <c r="CI211" s="21">
        <f t="shared" si="251"/>
        <v>0</v>
      </c>
      <c r="CJ211" s="21">
        <f t="shared" si="251"/>
        <v>0</v>
      </c>
      <c r="CK211" s="21">
        <f t="shared" si="251"/>
        <v>6562691</v>
      </c>
      <c r="CL211" s="21">
        <f t="shared" si="251"/>
        <v>0</v>
      </c>
      <c r="CM211" s="21">
        <f t="shared" si="251"/>
        <v>0</v>
      </c>
      <c r="CN211" s="21">
        <f t="shared" si="251"/>
        <v>4598137</v>
      </c>
      <c r="CO211" s="21">
        <f t="shared" si="251"/>
        <v>1245122</v>
      </c>
      <c r="CP211" s="21">
        <f t="shared" si="251"/>
        <v>719432</v>
      </c>
      <c r="CQ211" s="21">
        <f t="shared" si="251"/>
        <v>0</v>
      </c>
      <c r="CR211" s="21">
        <f t="shared" si="251"/>
        <v>0</v>
      </c>
      <c r="CS211" s="21">
        <f t="shared" si="251"/>
        <v>117297974</v>
      </c>
      <c r="CT211" s="21">
        <f t="shared" si="251"/>
        <v>0</v>
      </c>
      <c r="CU211" s="21">
        <f t="shared" si="251"/>
        <v>0</v>
      </c>
      <c r="CV211" s="21">
        <f t="shared" si="251"/>
        <v>0</v>
      </c>
      <c r="CW211" s="22">
        <f t="shared" si="251"/>
        <v>0</v>
      </c>
      <c r="CX211" s="40"/>
    </row>
    <row r="212" spans="1:102" ht="15.75" hidden="1" x14ac:dyDescent="0.25">
      <c r="A212" s="13" t="s">
        <v>247</v>
      </c>
      <c r="B212" s="14" t="s">
        <v>3</v>
      </c>
      <c r="C212" s="14" t="s">
        <v>1</v>
      </c>
      <c r="D212" s="30" t="s">
        <v>248</v>
      </c>
      <c r="E212" s="15">
        <f>SUM(E213)</f>
        <v>6508573</v>
      </c>
      <c r="F212" s="16">
        <f t="shared" ref="F212:BS212" si="252">SUM(F213)</f>
        <v>0</v>
      </c>
      <c r="G212" s="16">
        <f t="shared" si="252"/>
        <v>0</v>
      </c>
      <c r="H212" s="16">
        <f t="shared" si="252"/>
        <v>0</v>
      </c>
      <c r="I212" s="16">
        <f t="shared" si="252"/>
        <v>0</v>
      </c>
      <c r="J212" s="16">
        <f t="shared" si="252"/>
        <v>0</v>
      </c>
      <c r="K212" s="16">
        <f t="shared" si="252"/>
        <v>0</v>
      </c>
      <c r="L212" s="16">
        <f t="shared" si="252"/>
        <v>0</v>
      </c>
      <c r="M212" s="16">
        <f t="shared" si="252"/>
        <v>0</v>
      </c>
      <c r="N212" s="16">
        <f t="shared" si="252"/>
        <v>0</v>
      </c>
      <c r="O212" s="16">
        <f t="shared" si="252"/>
        <v>0</v>
      </c>
      <c r="P212" s="16">
        <f t="shared" si="252"/>
        <v>0</v>
      </c>
      <c r="Q212" s="16">
        <f t="shared" si="252"/>
        <v>0</v>
      </c>
      <c r="R212" s="16">
        <f t="shared" si="252"/>
        <v>0</v>
      </c>
      <c r="S212" s="16">
        <f t="shared" si="252"/>
        <v>0</v>
      </c>
      <c r="T212" s="16">
        <f t="shared" si="252"/>
        <v>0</v>
      </c>
      <c r="U212" s="16">
        <f t="shared" si="252"/>
        <v>0</v>
      </c>
      <c r="V212" s="16">
        <f t="shared" si="252"/>
        <v>0</v>
      </c>
      <c r="W212" s="16">
        <f t="shared" si="252"/>
        <v>0</v>
      </c>
      <c r="X212" s="16">
        <f t="shared" si="252"/>
        <v>0</v>
      </c>
      <c r="Y212" s="16">
        <f t="shared" si="252"/>
        <v>0</v>
      </c>
      <c r="Z212" s="16">
        <f t="shared" si="252"/>
        <v>0</v>
      </c>
      <c r="AA212" s="16">
        <f t="shared" si="252"/>
        <v>0</v>
      </c>
      <c r="AB212" s="16">
        <f t="shared" si="252"/>
        <v>0</v>
      </c>
      <c r="AC212" s="16">
        <f t="shared" si="252"/>
        <v>0</v>
      </c>
      <c r="AD212" s="16">
        <f t="shared" si="252"/>
        <v>0</v>
      </c>
      <c r="AE212" s="16">
        <f t="shared" si="252"/>
        <v>0</v>
      </c>
      <c r="AF212" s="16">
        <f t="shared" si="252"/>
        <v>0</v>
      </c>
      <c r="AG212" s="16">
        <f t="shared" si="252"/>
        <v>0</v>
      </c>
      <c r="AH212" s="16">
        <f t="shared" si="252"/>
        <v>0</v>
      </c>
      <c r="AI212" s="16">
        <f t="shared" si="252"/>
        <v>0</v>
      </c>
      <c r="AJ212" s="16">
        <f t="shared" si="252"/>
        <v>0</v>
      </c>
      <c r="AK212" s="16">
        <f t="shared" si="252"/>
        <v>0</v>
      </c>
      <c r="AL212" s="16">
        <f t="shared" si="252"/>
        <v>0</v>
      </c>
      <c r="AM212" s="16">
        <f t="shared" si="252"/>
        <v>0</v>
      </c>
      <c r="AN212" s="16">
        <f t="shared" si="252"/>
        <v>0</v>
      </c>
      <c r="AO212" s="16">
        <f t="shared" si="252"/>
        <v>0</v>
      </c>
      <c r="AP212" s="16">
        <f t="shared" si="252"/>
        <v>0</v>
      </c>
      <c r="AQ212" s="16">
        <f t="shared" si="252"/>
        <v>0</v>
      </c>
      <c r="AR212" s="16">
        <f t="shared" si="252"/>
        <v>0</v>
      </c>
      <c r="AS212" s="16">
        <f t="shared" si="252"/>
        <v>0</v>
      </c>
      <c r="AT212" s="16">
        <f t="shared" si="252"/>
        <v>0</v>
      </c>
      <c r="AU212" s="16">
        <f t="shared" si="252"/>
        <v>0</v>
      </c>
      <c r="AV212" s="16">
        <f t="shared" si="252"/>
        <v>0</v>
      </c>
      <c r="AW212" s="16">
        <f t="shared" si="252"/>
        <v>0</v>
      </c>
      <c r="AX212" s="16">
        <f t="shared" si="252"/>
        <v>0</v>
      </c>
      <c r="AY212" s="16">
        <f t="shared" si="252"/>
        <v>0</v>
      </c>
      <c r="AZ212" s="16">
        <f t="shared" si="252"/>
        <v>0</v>
      </c>
      <c r="BA212" s="16">
        <f t="shared" si="252"/>
        <v>0</v>
      </c>
      <c r="BB212" s="16">
        <f t="shared" si="252"/>
        <v>0</v>
      </c>
      <c r="BC212" s="16">
        <f t="shared" si="252"/>
        <v>0</v>
      </c>
      <c r="BD212" s="16">
        <f t="shared" si="252"/>
        <v>0</v>
      </c>
      <c r="BE212" s="16">
        <f t="shared" si="252"/>
        <v>0</v>
      </c>
      <c r="BF212" s="16">
        <f t="shared" si="252"/>
        <v>0</v>
      </c>
      <c r="BG212" s="16">
        <f t="shared" si="252"/>
        <v>0</v>
      </c>
      <c r="BH212" s="16">
        <f t="shared" si="252"/>
        <v>0</v>
      </c>
      <c r="BI212" s="16">
        <f t="shared" si="252"/>
        <v>0</v>
      </c>
      <c r="BJ212" s="16">
        <f t="shared" si="252"/>
        <v>0</v>
      </c>
      <c r="BK212" s="16">
        <f t="shared" si="252"/>
        <v>0</v>
      </c>
      <c r="BL212" s="16">
        <f t="shared" si="252"/>
        <v>0</v>
      </c>
      <c r="BM212" s="16">
        <f t="shared" si="252"/>
        <v>0</v>
      </c>
      <c r="BN212" s="16">
        <f t="shared" si="252"/>
        <v>0</v>
      </c>
      <c r="BO212" s="16">
        <f t="shared" si="252"/>
        <v>0</v>
      </c>
      <c r="BP212" s="16">
        <f t="shared" si="252"/>
        <v>0</v>
      </c>
      <c r="BQ212" s="16">
        <f t="shared" si="252"/>
        <v>0</v>
      </c>
      <c r="BR212" s="16">
        <f t="shared" si="252"/>
        <v>0</v>
      </c>
      <c r="BS212" s="16">
        <f t="shared" si="252"/>
        <v>0</v>
      </c>
      <c r="BT212" s="16">
        <f t="shared" ref="BT212:CW212" si="253">SUM(BT213)</f>
        <v>0</v>
      </c>
      <c r="BU212" s="16">
        <f t="shared" si="253"/>
        <v>0</v>
      </c>
      <c r="BV212" s="16">
        <f t="shared" si="253"/>
        <v>0</v>
      </c>
      <c r="BW212" s="16">
        <f t="shared" si="253"/>
        <v>0</v>
      </c>
      <c r="BX212" s="16">
        <f t="shared" si="253"/>
        <v>0</v>
      </c>
      <c r="BY212" s="16">
        <f t="shared" si="253"/>
        <v>6508573</v>
      </c>
      <c r="BZ212" s="16">
        <f t="shared" si="253"/>
        <v>0</v>
      </c>
      <c r="CA212" s="16">
        <f t="shared" si="253"/>
        <v>0</v>
      </c>
      <c r="CB212" s="16">
        <f t="shared" si="253"/>
        <v>0</v>
      </c>
      <c r="CC212" s="16">
        <f t="shared" si="253"/>
        <v>0</v>
      </c>
      <c r="CD212" s="16">
        <f t="shared" si="253"/>
        <v>0</v>
      </c>
      <c r="CE212" s="16">
        <f t="shared" si="253"/>
        <v>0</v>
      </c>
      <c r="CF212" s="16">
        <f t="shared" si="253"/>
        <v>0</v>
      </c>
      <c r="CG212" s="16">
        <f t="shared" si="253"/>
        <v>0</v>
      </c>
      <c r="CH212" s="16">
        <f t="shared" si="253"/>
        <v>0</v>
      </c>
      <c r="CI212" s="16">
        <f t="shared" si="253"/>
        <v>0</v>
      </c>
      <c r="CJ212" s="16">
        <f t="shared" si="253"/>
        <v>0</v>
      </c>
      <c r="CK212" s="16">
        <f t="shared" si="253"/>
        <v>0</v>
      </c>
      <c r="CL212" s="16">
        <f t="shared" si="253"/>
        <v>0</v>
      </c>
      <c r="CM212" s="16">
        <f t="shared" si="253"/>
        <v>0</v>
      </c>
      <c r="CN212" s="16">
        <f t="shared" si="253"/>
        <v>0</v>
      </c>
      <c r="CO212" s="16">
        <f t="shared" si="253"/>
        <v>0</v>
      </c>
      <c r="CP212" s="16">
        <f t="shared" si="253"/>
        <v>0</v>
      </c>
      <c r="CQ212" s="16">
        <f t="shared" si="253"/>
        <v>0</v>
      </c>
      <c r="CR212" s="16">
        <f t="shared" si="253"/>
        <v>0</v>
      </c>
      <c r="CS212" s="16">
        <f t="shared" si="253"/>
        <v>6508573</v>
      </c>
      <c r="CT212" s="16">
        <f t="shared" si="253"/>
        <v>0</v>
      </c>
      <c r="CU212" s="16">
        <f t="shared" si="253"/>
        <v>0</v>
      </c>
      <c r="CV212" s="16">
        <f t="shared" si="253"/>
        <v>0</v>
      </c>
      <c r="CW212" s="17">
        <f t="shared" si="253"/>
        <v>0</v>
      </c>
      <c r="CX212" s="40"/>
    </row>
    <row r="213" spans="1:102" ht="15.75" hidden="1" x14ac:dyDescent="0.25">
      <c r="A213" s="13" t="s">
        <v>1</v>
      </c>
      <c r="B213" s="14" t="s">
        <v>1</v>
      </c>
      <c r="C213" s="14" t="s">
        <v>249</v>
      </c>
      <c r="D213" s="30" t="s">
        <v>248</v>
      </c>
      <c r="E213" s="15">
        <f>SUM(F213+BY213+CT213)</f>
        <v>6508573</v>
      </c>
      <c r="F213" s="16">
        <f>SUM(G213+BA213)</f>
        <v>0</v>
      </c>
      <c r="G213" s="16">
        <f>SUM(H213+I213+J213+Q213+T213+U213+V213+AE213)</f>
        <v>0</v>
      </c>
      <c r="H213" s="16">
        <v>0</v>
      </c>
      <c r="I213" s="16">
        <v>0</v>
      </c>
      <c r="J213" s="16">
        <f t="shared" si="164"/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f t="shared" si="165"/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f>SUM(W213:AD213)</f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f>SUM(AF213:AZ213)</f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6">
        <v>0</v>
      </c>
      <c r="AW213" s="16">
        <v>0</v>
      </c>
      <c r="AX213" s="16">
        <v>0</v>
      </c>
      <c r="AY213" s="16">
        <v>0</v>
      </c>
      <c r="AZ213" s="16">
        <v>0</v>
      </c>
      <c r="BA213" s="16">
        <f>SUM(BB213+BF213+BI213+BK213+BM213)</f>
        <v>0</v>
      </c>
      <c r="BB213" s="16">
        <f>SUM(BC213:BE213)</f>
        <v>0</v>
      </c>
      <c r="BC213" s="16">
        <v>0</v>
      </c>
      <c r="BD213" s="16">
        <v>0</v>
      </c>
      <c r="BE213" s="16">
        <v>0</v>
      </c>
      <c r="BF213" s="16">
        <f t="shared" si="166"/>
        <v>0</v>
      </c>
      <c r="BG213" s="16">
        <v>0</v>
      </c>
      <c r="BH213" s="16">
        <v>0</v>
      </c>
      <c r="BI213" s="16">
        <v>0</v>
      </c>
      <c r="BJ213" s="16">
        <v>0</v>
      </c>
      <c r="BK213" s="16">
        <f t="shared" si="167"/>
        <v>0</v>
      </c>
      <c r="BL213" s="16">
        <v>0</v>
      </c>
      <c r="BM213" s="16">
        <f t="shared" si="168"/>
        <v>0</v>
      </c>
      <c r="BN213" s="16">
        <v>0</v>
      </c>
      <c r="BO213" s="16">
        <v>0</v>
      </c>
      <c r="BP213" s="16">
        <v>0</v>
      </c>
      <c r="BQ213" s="16">
        <v>0</v>
      </c>
      <c r="BR213" s="16">
        <v>0</v>
      </c>
      <c r="BS213" s="16">
        <v>0</v>
      </c>
      <c r="BT213" s="16">
        <v>0</v>
      </c>
      <c r="BU213" s="16">
        <v>0</v>
      </c>
      <c r="BV213" s="16">
        <v>0</v>
      </c>
      <c r="BW213" s="16">
        <v>0</v>
      </c>
      <c r="BX213" s="16">
        <v>0</v>
      </c>
      <c r="BY213" s="16">
        <f>SUM(BZ213+CS213)</f>
        <v>6508573</v>
      </c>
      <c r="BZ213" s="16">
        <f>SUM(CA213+CD213+CK213)</f>
        <v>0</v>
      </c>
      <c r="CA213" s="16">
        <f t="shared" si="169"/>
        <v>0</v>
      </c>
      <c r="CB213" s="16">
        <v>0</v>
      </c>
      <c r="CC213" s="16">
        <v>0</v>
      </c>
      <c r="CD213" s="16">
        <f t="shared" si="170"/>
        <v>0</v>
      </c>
      <c r="CE213" s="16">
        <v>0</v>
      </c>
      <c r="CF213" s="16">
        <v>0</v>
      </c>
      <c r="CG213" s="16">
        <v>0</v>
      </c>
      <c r="CH213" s="16">
        <v>0</v>
      </c>
      <c r="CI213" s="16">
        <v>0</v>
      </c>
      <c r="CJ213" s="16">
        <v>0</v>
      </c>
      <c r="CK213" s="16">
        <f t="shared" si="171"/>
        <v>0</v>
      </c>
      <c r="CL213" s="16">
        <v>0</v>
      </c>
      <c r="CM213" s="16">
        <v>0</v>
      </c>
      <c r="CN213" s="16">
        <v>0</v>
      </c>
      <c r="CO213" s="16">
        <v>0</v>
      </c>
      <c r="CP213" s="16">
        <v>0</v>
      </c>
      <c r="CQ213" s="16">
        <v>0</v>
      </c>
      <c r="CR213" s="16">
        <v>0</v>
      </c>
      <c r="CS213" s="16">
        <f>6000000-1160-490267+1000000</f>
        <v>6508573</v>
      </c>
      <c r="CT213" s="16">
        <f t="shared" si="172"/>
        <v>0</v>
      </c>
      <c r="CU213" s="16">
        <f t="shared" si="173"/>
        <v>0</v>
      </c>
      <c r="CV213" s="16">
        <v>0</v>
      </c>
      <c r="CW213" s="17">
        <v>0</v>
      </c>
      <c r="CX213" s="40"/>
    </row>
    <row r="214" spans="1:102" ht="15.75" hidden="1" x14ac:dyDescent="0.25">
      <c r="A214" s="13" t="s">
        <v>247</v>
      </c>
      <c r="B214" s="14" t="s">
        <v>50</v>
      </c>
      <c r="C214" s="14" t="s">
        <v>1</v>
      </c>
      <c r="D214" s="30" t="s">
        <v>250</v>
      </c>
      <c r="E214" s="15">
        <f>SUM(E215:E216)</f>
        <v>10698569</v>
      </c>
      <c r="F214" s="16">
        <f t="shared" ref="F214:BS214" si="254">SUM(F215:F216)</f>
        <v>10635643</v>
      </c>
      <c r="G214" s="16">
        <f t="shared" si="254"/>
        <v>10631809</v>
      </c>
      <c r="H214" s="16">
        <f t="shared" si="254"/>
        <v>723925</v>
      </c>
      <c r="I214" s="16">
        <f t="shared" si="254"/>
        <v>173320</v>
      </c>
      <c r="J214" s="16">
        <f t="shared" si="254"/>
        <v>87655</v>
      </c>
      <c r="K214" s="16">
        <f t="shared" si="254"/>
        <v>0</v>
      </c>
      <c r="L214" s="16">
        <f t="shared" si="254"/>
        <v>0</v>
      </c>
      <c r="M214" s="16">
        <f t="shared" si="254"/>
        <v>0</v>
      </c>
      <c r="N214" s="16">
        <f t="shared" si="254"/>
        <v>0</v>
      </c>
      <c r="O214" s="16">
        <f t="shared" si="254"/>
        <v>80300</v>
      </c>
      <c r="P214" s="16">
        <f t="shared" si="254"/>
        <v>7355</v>
      </c>
      <c r="Q214" s="16">
        <f t="shared" si="254"/>
        <v>16246</v>
      </c>
      <c r="R214" s="16">
        <f t="shared" si="254"/>
        <v>0</v>
      </c>
      <c r="S214" s="16">
        <f t="shared" si="254"/>
        <v>16246</v>
      </c>
      <c r="T214" s="16">
        <f t="shared" si="254"/>
        <v>0</v>
      </c>
      <c r="U214" s="16">
        <f t="shared" si="254"/>
        <v>31943</v>
      </c>
      <c r="V214" s="16">
        <f t="shared" si="254"/>
        <v>20969</v>
      </c>
      <c r="W214" s="16">
        <f t="shared" si="254"/>
        <v>0</v>
      </c>
      <c r="X214" s="16">
        <f t="shared" si="254"/>
        <v>15054</v>
      </c>
      <c r="Y214" s="16">
        <f t="shared" si="254"/>
        <v>5310</v>
      </c>
      <c r="Z214" s="16">
        <f t="shared" si="254"/>
        <v>605</v>
      </c>
      <c r="AA214" s="16">
        <f t="shared" si="254"/>
        <v>0</v>
      </c>
      <c r="AB214" s="16">
        <f t="shared" si="254"/>
        <v>0</v>
      </c>
      <c r="AC214" s="16">
        <f t="shared" si="254"/>
        <v>0</v>
      </c>
      <c r="AD214" s="16">
        <f t="shared" si="254"/>
        <v>0</v>
      </c>
      <c r="AE214" s="16">
        <f t="shared" si="254"/>
        <v>9577751</v>
      </c>
      <c r="AF214" s="16">
        <f t="shared" si="254"/>
        <v>0</v>
      </c>
      <c r="AG214" s="16">
        <f t="shared" si="254"/>
        <v>1616</v>
      </c>
      <c r="AH214" s="16">
        <f t="shared" si="254"/>
        <v>3854</v>
      </c>
      <c r="AI214" s="16">
        <f t="shared" si="254"/>
        <v>0</v>
      </c>
      <c r="AJ214" s="16">
        <f t="shared" si="254"/>
        <v>1591</v>
      </c>
      <c r="AK214" s="16">
        <f t="shared" si="254"/>
        <v>0</v>
      </c>
      <c r="AL214" s="16">
        <f t="shared" si="254"/>
        <v>6358</v>
      </c>
      <c r="AM214" s="16">
        <f t="shared" si="254"/>
        <v>0</v>
      </c>
      <c r="AN214" s="16">
        <f t="shared" si="254"/>
        <v>6833</v>
      </c>
      <c r="AO214" s="16">
        <f t="shared" si="254"/>
        <v>0</v>
      </c>
      <c r="AP214" s="16">
        <f>SUM(AP215:AP216)</f>
        <v>0</v>
      </c>
      <c r="AQ214" s="16">
        <f t="shared" si="254"/>
        <v>0</v>
      </c>
      <c r="AR214" s="16">
        <f t="shared" si="254"/>
        <v>84873</v>
      </c>
      <c r="AS214" s="16">
        <f t="shared" si="254"/>
        <v>1760</v>
      </c>
      <c r="AT214" s="16">
        <f t="shared" si="254"/>
        <v>0</v>
      </c>
      <c r="AU214" s="16">
        <f t="shared" si="254"/>
        <v>0</v>
      </c>
      <c r="AV214" s="16">
        <f t="shared" si="254"/>
        <v>0</v>
      </c>
      <c r="AW214" s="16">
        <f t="shared" si="254"/>
        <v>0</v>
      </c>
      <c r="AX214" s="16">
        <f t="shared" si="254"/>
        <v>0</v>
      </c>
      <c r="AY214" s="16">
        <f t="shared" si="254"/>
        <v>0</v>
      </c>
      <c r="AZ214" s="16">
        <f t="shared" si="254"/>
        <v>9470866</v>
      </c>
      <c r="BA214" s="16">
        <f t="shared" si="254"/>
        <v>3834</v>
      </c>
      <c r="BB214" s="16">
        <f t="shared" si="254"/>
        <v>0</v>
      </c>
      <c r="BC214" s="16">
        <f t="shared" si="254"/>
        <v>0</v>
      </c>
      <c r="BD214" s="16">
        <f t="shared" si="254"/>
        <v>0</v>
      </c>
      <c r="BE214" s="16">
        <f t="shared" si="254"/>
        <v>0</v>
      </c>
      <c r="BF214" s="16">
        <f t="shared" si="254"/>
        <v>0</v>
      </c>
      <c r="BG214" s="16">
        <f t="shared" si="254"/>
        <v>0</v>
      </c>
      <c r="BH214" s="16">
        <f t="shared" si="254"/>
        <v>0</v>
      </c>
      <c r="BI214" s="16">
        <f t="shared" si="254"/>
        <v>0</v>
      </c>
      <c r="BJ214" s="16">
        <f t="shared" si="254"/>
        <v>0</v>
      </c>
      <c r="BK214" s="16">
        <f t="shared" si="254"/>
        <v>0</v>
      </c>
      <c r="BL214" s="16">
        <f t="shared" si="254"/>
        <v>0</v>
      </c>
      <c r="BM214" s="16">
        <f t="shared" si="254"/>
        <v>3834</v>
      </c>
      <c r="BN214" s="16">
        <f t="shared" si="254"/>
        <v>0</v>
      </c>
      <c r="BO214" s="16">
        <f t="shared" si="254"/>
        <v>0</v>
      </c>
      <c r="BP214" s="16">
        <f t="shared" si="254"/>
        <v>0</v>
      </c>
      <c r="BQ214" s="16">
        <f t="shared" si="254"/>
        <v>0</v>
      </c>
      <c r="BR214" s="16">
        <f t="shared" si="254"/>
        <v>0</v>
      </c>
      <c r="BS214" s="16">
        <f t="shared" si="254"/>
        <v>0</v>
      </c>
      <c r="BT214" s="16">
        <f t="shared" ref="BT214:CW214" si="255">SUM(BT215:BT216)</f>
        <v>0</v>
      </c>
      <c r="BU214" s="16">
        <f t="shared" si="255"/>
        <v>0</v>
      </c>
      <c r="BV214" s="16">
        <f t="shared" si="255"/>
        <v>0</v>
      </c>
      <c r="BW214" s="16">
        <f t="shared" si="255"/>
        <v>3834</v>
      </c>
      <c r="BX214" s="16">
        <f t="shared" si="255"/>
        <v>0</v>
      </c>
      <c r="BY214" s="16">
        <f t="shared" si="255"/>
        <v>62926</v>
      </c>
      <c r="BZ214" s="16">
        <f t="shared" si="255"/>
        <v>62926</v>
      </c>
      <c r="CA214" s="16">
        <f t="shared" si="255"/>
        <v>62926</v>
      </c>
      <c r="CB214" s="16">
        <f t="shared" si="255"/>
        <v>0</v>
      </c>
      <c r="CC214" s="16">
        <f t="shared" si="255"/>
        <v>62926</v>
      </c>
      <c r="CD214" s="16">
        <f t="shared" si="255"/>
        <v>0</v>
      </c>
      <c r="CE214" s="16">
        <f t="shared" si="255"/>
        <v>0</v>
      </c>
      <c r="CF214" s="16">
        <f>SUM(CF215:CF216)</f>
        <v>0</v>
      </c>
      <c r="CG214" s="16">
        <f t="shared" si="255"/>
        <v>0</v>
      </c>
      <c r="CH214" s="16">
        <f t="shared" si="255"/>
        <v>0</v>
      </c>
      <c r="CI214" s="16">
        <f t="shared" si="255"/>
        <v>0</v>
      </c>
      <c r="CJ214" s="16">
        <f t="shared" si="255"/>
        <v>0</v>
      </c>
      <c r="CK214" s="16">
        <f t="shared" si="255"/>
        <v>0</v>
      </c>
      <c r="CL214" s="16">
        <f t="shared" si="255"/>
        <v>0</v>
      </c>
      <c r="CM214" s="16">
        <f>SUM(CM215:CM216)</f>
        <v>0</v>
      </c>
      <c r="CN214" s="16">
        <f t="shared" si="255"/>
        <v>0</v>
      </c>
      <c r="CO214" s="16">
        <f t="shared" si="255"/>
        <v>0</v>
      </c>
      <c r="CP214" s="16">
        <f t="shared" si="255"/>
        <v>0</v>
      </c>
      <c r="CQ214" s="16">
        <f t="shared" si="255"/>
        <v>0</v>
      </c>
      <c r="CR214" s="16">
        <f t="shared" si="255"/>
        <v>0</v>
      </c>
      <c r="CS214" s="16">
        <f t="shared" si="255"/>
        <v>0</v>
      </c>
      <c r="CT214" s="16">
        <f t="shared" si="255"/>
        <v>0</v>
      </c>
      <c r="CU214" s="16">
        <f t="shared" si="255"/>
        <v>0</v>
      </c>
      <c r="CV214" s="16">
        <f t="shared" si="255"/>
        <v>0</v>
      </c>
      <c r="CW214" s="17">
        <f t="shared" si="255"/>
        <v>0</v>
      </c>
      <c r="CX214" s="40"/>
    </row>
    <row r="215" spans="1:102" ht="15.75" hidden="1" x14ac:dyDescent="0.25">
      <c r="A215" s="13" t="s">
        <v>1</v>
      </c>
      <c r="B215" s="14" t="s">
        <v>1</v>
      </c>
      <c r="C215" s="14" t="s">
        <v>251</v>
      </c>
      <c r="D215" s="30" t="s">
        <v>252</v>
      </c>
      <c r="E215" s="15">
        <f>SUM(F215+BY215+CT215)</f>
        <v>9470468</v>
      </c>
      <c r="F215" s="16">
        <f>SUM(G215+BA215)</f>
        <v>9470468</v>
      </c>
      <c r="G215" s="16">
        <f>SUM(H215+I215+J215+Q215+T215+U215+V215+AE215)</f>
        <v>9470468</v>
      </c>
      <c r="H215" s="16">
        <v>0</v>
      </c>
      <c r="I215" s="16">
        <v>0</v>
      </c>
      <c r="J215" s="16">
        <f t="shared" ref="J215:J283" si="256">SUM(K215:P215)</f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f t="shared" ref="Q215:Q283" si="257">SUM(R215:S215)</f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f>SUM(W215:AD215)</f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f>SUM(AF215:AZ215)</f>
        <v>9470468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0</v>
      </c>
      <c r="AV215" s="16">
        <v>0</v>
      </c>
      <c r="AW215" s="16">
        <v>0</v>
      </c>
      <c r="AX215" s="16">
        <v>0</v>
      </c>
      <c r="AY215" s="16">
        <v>0</v>
      </c>
      <c r="AZ215" s="16">
        <v>9470468</v>
      </c>
      <c r="BA215" s="16">
        <f>SUM(BB215+BF215+BI215+BK215+BM215)</f>
        <v>0</v>
      </c>
      <c r="BB215" s="16">
        <f>SUM(BC215:BE215)</f>
        <v>0</v>
      </c>
      <c r="BC215" s="16">
        <v>0</v>
      </c>
      <c r="BD215" s="16">
        <v>0</v>
      </c>
      <c r="BE215" s="16">
        <v>0</v>
      </c>
      <c r="BF215" s="16">
        <f t="shared" ref="BF215:BF283" si="258">SUM(BG215:BH215)</f>
        <v>0</v>
      </c>
      <c r="BG215" s="16">
        <v>0</v>
      </c>
      <c r="BH215" s="16">
        <v>0</v>
      </c>
      <c r="BI215" s="16">
        <v>0</v>
      </c>
      <c r="BJ215" s="16">
        <v>0</v>
      </c>
      <c r="BK215" s="16">
        <f t="shared" ref="BK215:BK283" si="259">SUM(BL215)</f>
        <v>0</v>
      </c>
      <c r="BL215" s="16">
        <v>0</v>
      </c>
      <c r="BM215" s="16">
        <f t="shared" ref="BM215:BM283" si="260">SUM(BN215:BX215)</f>
        <v>0</v>
      </c>
      <c r="BN215" s="16">
        <v>0</v>
      </c>
      <c r="BO215" s="16">
        <v>0</v>
      </c>
      <c r="BP215" s="16">
        <v>0</v>
      </c>
      <c r="BQ215" s="16">
        <v>0</v>
      </c>
      <c r="BR215" s="16">
        <v>0</v>
      </c>
      <c r="BS215" s="16">
        <v>0</v>
      </c>
      <c r="BT215" s="16">
        <v>0</v>
      </c>
      <c r="BU215" s="16">
        <v>0</v>
      </c>
      <c r="BV215" s="16">
        <v>0</v>
      </c>
      <c r="BW215" s="16">
        <v>0</v>
      </c>
      <c r="BX215" s="16">
        <v>0</v>
      </c>
      <c r="BY215" s="16">
        <f>SUM(BZ215+CS215)</f>
        <v>0</v>
      </c>
      <c r="BZ215" s="16">
        <f>SUM(CA215+CD215+CK215)</f>
        <v>0</v>
      </c>
      <c r="CA215" s="16">
        <f t="shared" ref="CA215:CA283" si="261">SUM(CB215:CC215)</f>
        <v>0</v>
      </c>
      <c r="CB215" s="16">
        <v>0</v>
      </c>
      <c r="CC215" s="16">
        <v>0</v>
      </c>
      <c r="CD215" s="16">
        <f t="shared" ref="CD215:CD283" si="262">SUM(CE215:CI215)</f>
        <v>0</v>
      </c>
      <c r="CE215" s="16">
        <v>0</v>
      </c>
      <c r="CF215" s="16">
        <v>0</v>
      </c>
      <c r="CG215" s="16">
        <v>0</v>
      </c>
      <c r="CH215" s="16">
        <v>0</v>
      </c>
      <c r="CI215" s="16">
        <v>0</v>
      </c>
      <c r="CJ215" s="16">
        <v>0</v>
      </c>
      <c r="CK215" s="16">
        <f t="shared" ref="CK215:CK283" si="263">SUM(CL215:CP215)</f>
        <v>0</v>
      </c>
      <c r="CL215" s="16">
        <v>0</v>
      </c>
      <c r="CM215" s="16">
        <v>0</v>
      </c>
      <c r="CN215" s="16">
        <v>0</v>
      </c>
      <c r="CO215" s="16">
        <v>0</v>
      </c>
      <c r="CP215" s="16">
        <v>0</v>
      </c>
      <c r="CQ215" s="16">
        <v>0</v>
      </c>
      <c r="CR215" s="16">
        <v>0</v>
      </c>
      <c r="CS215" s="16">
        <v>0</v>
      </c>
      <c r="CT215" s="16">
        <f t="shared" ref="CT215:CT283" si="264">SUM(CU215)</f>
        <v>0</v>
      </c>
      <c r="CU215" s="16">
        <f t="shared" ref="CU215:CU283" si="265">SUM(CV215:CW215)</f>
        <v>0</v>
      </c>
      <c r="CV215" s="16">
        <v>0</v>
      </c>
      <c r="CW215" s="17">
        <v>0</v>
      </c>
      <c r="CX215" s="40"/>
    </row>
    <row r="216" spans="1:102" ht="15.75" hidden="1" x14ac:dyDescent="0.25">
      <c r="A216" s="13" t="s">
        <v>1</v>
      </c>
      <c r="B216" s="14" t="s">
        <v>1</v>
      </c>
      <c r="C216" s="14" t="s">
        <v>251</v>
      </c>
      <c r="D216" s="30" t="s">
        <v>253</v>
      </c>
      <c r="E216" s="15">
        <f>SUM(F216+BY216+CT216)</f>
        <v>1228101</v>
      </c>
      <c r="F216" s="16">
        <f>SUM(G216+BA216)</f>
        <v>1165175</v>
      </c>
      <c r="G216" s="16">
        <f>SUM(H216+I216+J216+Q216+T216+U216+V216+AE216)</f>
        <v>1161341</v>
      </c>
      <c r="H216" s="16">
        <v>723925</v>
      </c>
      <c r="I216" s="16">
        <v>173320</v>
      </c>
      <c r="J216" s="16">
        <f t="shared" si="256"/>
        <v>87655</v>
      </c>
      <c r="K216" s="16">
        <v>0</v>
      </c>
      <c r="L216" s="16">
        <v>0</v>
      </c>
      <c r="M216" s="16">
        <v>0</v>
      </c>
      <c r="N216" s="16">
        <v>0</v>
      </c>
      <c r="O216" s="16">
        <v>80300</v>
      </c>
      <c r="P216" s="16">
        <v>7355</v>
      </c>
      <c r="Q216" s="16">
        <f t="shared" si="257"/>
        <v>16246</v>
      </c>
      <c r="R216" s="16">
        <v>0</v>
      </c>
      <c r="S216" s="16">
        <v>16246</v>
      </c>
      <c r="T216" s="16">
        <v>0</v>
      </c>
      <c r="U216" s="16">
        <v>31943</v>
      </c>
      <c r="V216" s="16">
        <f>SUM(W216:AD216)</f>
        <v>20969</v>
      </c>
      <c r="W216" s="16">
        <v>0</v>
      </c>
      <c r="X216" s="16">
        <f>13068+1986</f>
        <v>15054</v>
      </c>
      <c r="Y216" s="16">
        <f>3069+1048+1193</f>
        <v>5310</v>
      </c>
      <c r="Z216" s="16">
        <v>605</v>
      </c>
      <c r="AA216" s="16">
        <v>0</v>
      </c>
      <c r="AB216" s="16">
        <v>0</v>
      </c>
      <c r="AC216" s="16">
        <v>0</v>
      </c>
      <c r="AD216" s="16">
        <v>0</v>
      </c>
      <c r="AE216" s="16">
        <f>SUM(AF216:AZ216)</f>
        <v>107283</v>
      </c>
      <c r="AF216" s="16">
        <v>0</v>
      </c>
      <c r="AG216" s="16">
        <v>1616</v>
      </c>
      <c r="AH216" s="16">
        <v>3854</v>
      </c>
      <c r="AI216" s="16">
        <v>0</v>
      </c>
      <c r="AJ216" s="16">
        <v>1591</v>
      </c>
      <c r="AK216" s="16">
        <v>0</v>
      </c>
      <c r="AL216" s="16">
        <v>6358</v>
      </c>
      <c r="AM216" s="16">
        <v>0</v>
      </c>
      <c r="AN216" s="16">
        <v>6833</v>
      </c>
      <c r="AO216" s="16">
        <v>0</v>
      </c>
      <c r="AP216" s="16">
        <v>0</v>
      </c>
      <c r="AQ216" s="16">
        <v>0</v>
      </c>
      <c r="AR216" s="41">
        <f>56196+28677</f>
        <v>84873</v>
      </c>
      <c r="AS216" s="41">
        <v>1760</v>
      </c>
      <c r="AT216" s="41">
        <v>0</v>
      </c>
      <c r="AU216" s="41">
        <v>0</v>
      </c>
      <c r="AV216" s="41">
        <v>0</v>
      </c>
      <c r="AW216" s="41">
        <f>0</f>
        <v>0</v>
      </c>
      <c r="AX216" s="16">
        <v>0</v>
      </c>
      <c r="AY216" s="16">
        <v>0</v>
      </c>
      <c r="AZ216" s="16">
        <v>398</v>
      </c>
      <c r="BA216" s="16">
        <f>SUM(BB216+BF216+BI216+BK216+BM216)</f>
        <v>3834</v>
      </c>
      <c r="BB216" s="16">
        <f>SUM(BC216:BE216)</f>
        <v>0</v>
      </c>
      <c r="BC216" s="16">
        <v>0</v>
      </c>
      <c r="BD216" s="16">
        <v>0</v>
      </c>
      <c r="BE216" s="16">
        <v>0</v>
      </c>
      <c r="BF216" s="16">
        <f t="shared" si="258"/>
        <v>0</v>
      </c>
      <c r="BG216" s="16">
        <v>0</v>
      </c>
      <c r="BH216" s="16">
        <v>0</v>
      </c>
      <c r="BI216" s="16">
        <v>0</v>
      </c>
      <c r="BJ216" s="16">
        <v>0</v>
      </c>
      <c r="BK216" s="16">
        <f t="shared" si="259"/>
        <v>0</v>
      </c>
      <c r="BL216" s="16">
        <v>0</v>
      </c>
      <c r="BM216" s="16">
        <f t="shared" si="260"/>
        <v>3834</v>
      </c>
      <c r="BN216" s="16">
        <v>0</v>
      </c>
      <c r="BO216" s="16">
        <v>0</v>
      </c>
      <c r="BP216" s="16">
        <v>0</v>
      </c>
      <c r="BQ216" s="16">
        <v>0</v>
      </c>
      <c r="BR216" s="16">
        <v>0</v>
      </c>
      <c r="BS216" s="16">
        <v>0</v>
      </c>
      <c r="BT216" s="16">
        <v>0</v>
      </c>
      <c r="BU216" s="16">
        <v>0</v>
      </c>
      <c r="BV216" s="16">
        <v>0</v>
      </c>
      <c r="BW216" s="16">
        <v>3834</v>
      </c>
      <c r="BX216" s="16">
        <v>0</v>
      </c>
      <c r="BY216" s="16">
        <f>SUM(BZ216+CS216)</f>
        <v>62926</v>
      </c>
      <c r="BZ216" s="16">
        <f>SUM(CA216+CD216+CK216)</f>
        <v>62926</v>
      </c>
      <c r="CA216" s="16">
        <f t="shared" si="261"/>
        <v>62926</v>
      </c>
      <c r="CB216" s="16">
        <v>0</v>
      </c>
      <c r="CC216" s="16">
        <v>62926</v>
      </c>
      <c r="CD216" s="16">
        <f t="shared" si="262"/>
        <v>0</v>
      </c>
      <c r="CE216" s="16">
        <v>0</v>
      </c>
      <c r="CF216" s="16">
        <v>0</v>
      </c>
      <c r="CG216" s="16">
        <v>0</v>
      </c>
      <c r="CH216" s="16">
        <v>0</v>
      </c>
      <c r="CI216" s="16">
        <v>0</v>
      </c>
      <c r="CJ216" s="16">
        <v>0</v>
      </c>
      <c r="CK216" s="16">
        <f t="shared" si="263"/>
        <v>0</v>
      </c>
      <c r="CL216" s="16">
        <v>0</v>
      </c>
      <c r="CM216" s="16">
        <v>0</v>
      </c>
      <c r="CN216" s="16">
        <v>0</v>
      </c>
      <c r="CO216" s="16">
        <v>0</v>
      </c>
      <c r="CP216" s="16">
        <v>0</v>
      </c>
      <c r="CQ216" s="16">
        <v>0</v>
      </c>
      <c r="CR216" s="16">
        <v>0</v>
      </c>
      <c r="CS216" s="16">
        <v>0</v>
      </c>
      <c r="CT216" s="16">
        <f t="shared" si="264"/>
        <v>0</v>
      </c>
      <c r="CU216" s="16">
        <f t="shared" si="265"/>
        <v>0</v>
      </c>
      <c r="CV216" s="16">
        <v>0</v>
      </c>
      <c r="CW216" s="17">
        <v>0</v>
      </c>
      <c r="CX216" s="40"/>
    </row>
    <row r="217" spans="1:102" ht="15.75" hidden="1" x14ac:dyDescent="0.25">
      <c r="A217" s="13" t="s">
        <v>247</v>
      </c>
      <c r="B217" s="14" t="s">
        <v>100</v>
      </c>
      <c r="C217" s="14" t="s">
        <v>1</v>
      </c>
      <c r="D217" s="30" t="s">
        <v>254</v>
      </c>
      <c r="E217" s="15">
        <f t="shared" ref="E217:AJ217" si="266">SUM(E218:E237)</f>
        <v>460736540</v>
      </c>
      <c r="F217" s="16">
        <f t="shared" si="266"/>
        <v>435833379</v>
      </c>
      <c r="G217" s="16">
        <f t="shared" si="266"/>
        <v>275993022</v>
      </c>
      <c r="H217" s="16">
        <f t="shared" si="266"/>
        <v>96824574</v>
      </c>
      <c r="I217" s="16">
        <f t="shared" si="266"/>
        <v>19240097</v>
      </c>
      <c r="J217" s="16">
        <f t="shared" si="266"/>
        <v>48735265</v>
      </c>
      <c r="K217" s="16">
        <f t="shared" si="266"/>
        <v>15066346</v>
      </c>
      <c r="L217" s="16">
        <f t="shared" si="266"/>
        <v>2797489</v>
      </c>
      <c r="M217" s="16">
        <f t="shared" si="266"/>
        <v>4245236</v>
      </c>
      <c r="N217" s="16">
        <f t="shared" si="266"/>
        <v>4013</v>
      </c>
      <c r="O217" s="16">
        <f t="shared" si="266"/>
        <v>10313322</v>
      </c>
      <c r="P217" s="16">
        <f t="shared" si="266"/>
        <v>16308859</v>
      </c>
      <c r="Q217" s="16">
        <f t="shared" si="266"/>
        <v>784928</v>
      </c>
      <c r="R217" s="16">
        <f t="shared" si="266"/>
        <v>157396</v>
      </c>
      <c r="S217" s="16">
        <f t="shared" si="266"/>
        <v>627532</v>
      </c>
      <c r="T217" s="16">
        <f t="shared" si="266"/>
        <v>308024</v>
      </c>
      <c r="U217" s="16">
        <f t="shared" si="266"/>
        <v>1905446</v>
      </c>
      <c r="V217" s="16">
        <f t="shared" si="266"/>
        <v>26938808</v>
      </c>
      <c r="W217" s="16">
        <f t="shared" si="266"/>
        <v>2276448</v>
      </c>
      <c r="X217" s="16">
        <f t="shared" si="266"/>
        <v>4078583</v>
      </c>
      <c r="Y217" s="16">
        <f t="shared" si="266"/>
        <v>18264363</v>
      </c>
      <c r="Z217" s="16">
        <f t="shared" si="266"/>
        <v>1098166</v>
      </c>
      <c r="AA217" s="16">
        <f t="shared" si="266"/>
        <v>741987</v>
      </c>
      <c r="AB217" s="16">
        <f t="shared" si="266"/>
        <v>302713</v>
      </c>
      <c r="AC217" s="16">
        <f t="shared" si="266"/>
        <v>0</v>
      </c>
      <c r="AD217" s="16">
        <f t="shared" ref="AD217" si="267">SUM(AD218:AD237)</f>
        <v>176548</v>
      </c>
      <c r="AE217" s="16">
        <f t="shared" si="266"/>
        <v>81255880</v>
      </c>
      <c r="AF217" s="16">
        <f t="shared" si="266"/>
        <v>339000</v>
      </c>
      <c r="AG217" s="16">
        <f t="shared" si="266"/>
        <v>3603673</v>
      </c>
      <c r="AH217" s="16">
        <f t="shared" si="266"/>
        <v>8875356</v>
      </c>
      <c r="AI217" s="16">
        <f t="shared" si="266"/>
        <v>865379</v>
      </c>
      <c r="AJ217" s="16">
        <f t="shared" si="266"/>
        <v>1932652</v>
      </c>
      <c r="AK217" s="16">
        <f t="shared" ref="AK217:CV217" si="268">SUM(AK218:AK237)</f>
        <v>15380</v>
      </c>
      <c r="AL217" s="16">
        <f t="shared" si="268"/>
        <v>517490</v>
      </c>
      <c r="AM217" s="16">
        <f t="shared" si="268"/>
        <v>2843983</v>
      </c>
      <c r="AN217" s="16">
        <f t="shared" si="268"/>
        <v>15000</v>
      </c>
      <c r="AO217" s="16">
        <f t="shared" si="268"/>
        <v>22635</v>
      </c>
      <c r="AP217" s="16">
        <f t="shared" si="268"/>
        <v>974849</v>
      </c>
      <c r="AQ217" s="16">
        <f t="shared" si="268"/>
        <v>8055897</v>
      </c>
      <c r="AR217" s="16">
        <f t="shared" si="268"/>
        <v>752247</v>
      </c>
      <c r="AS217" s="16">
        <f t="shared" si="268"/>
        <v>435115</v>
      </c>
      <c r="AT217" s="16">
        <f t="shared" si="268"/>
        <v>0</v>
      </c>
      <c r="AU217" s="16">
        <f t="shared" si="268"/>
        <v>5888</v>
      </c>
      <c r="AV217" s="16">
        <f t="shared" si="268"/>
        <v>61706</v>
      </c>
      <c r="AW217" s="16">
        <f t="shared" si="268"/>
        <v>1600375</v>
      </c>
      <c r="AX217" s="16">
        <f t="shared" si="268"/>
        <v>0</v>
      </c>
      <c r="AY217" s="16">
        <f t="shared" si="268"/>
        <v>0</v>
      </c>
      <c r="AZ217" s="16">
        <f t="shared" si="268"/>
        <v>50339255</v>
      </c>
      <c r="BA217" s="16">
        <f t="shared" si="268"/>
        <v>159840357</v>
      </c>
      <c r="BB217" s="16">
        <f t="shared" si="268"/>
        <v>0</v>
      </c>
      <c r="BC217" s="16">
        <f t="shared" si="268"/>
        <v>0</v>
      </c>
      <c r="BD217" s="16">
        <f t="shared" si="268"/>
        <v>0</v>
      </c>
      <c r="BE217" s="16">
        <f t="shared" si="268"/>
        <v>0</v>
      </c>
      <c r="BF217" s="16">
        <f t="shared" si="268"/>
        <v>0</v>
      </c>
      <c r="BG217" s="16">
        <f t="shared" si="268"/>
        <v>0</v>
      </c>
      <c r="BH217" s="16">
        <f t="shared" si="268"/>
        <v>0</v>
      </c>
      <c r="BI217" s="16">
        <f t="shared" si="268"/>
        <v>159835357</v>
      </c>
      <c r="BJ217" s="16">
        <f t="shared" si="268"/>
        <v>4214513</v>
      </c>
      <c r="BK217" s="16">
        <f t="shared" si="268"/>
        <v>0</v>
      </c>
      <c r="BL217" s="16">
        <f t="shared" si="268"/>
        <v>0</v>
      </c>
      <c r="BM217" s="16">
        <f t="shared" si="268"/>
        <v>5000</v>
      </c>
      <c r="BN217" s="16">
        <f t="shared" si="268"/>
        <v>0</v>
      </c>
      <c r="BO217" s="16">
        <f t="shared" si="268"/>
        <v>0</v>
      </c>
      <c r="BP217" s="16">
        <f t="shared" si="268"/>
        <v>5000</v>
      </c>
      <c r="BQ217" s="16">
        <f t="shared" si="268"/>
        <v>0</v>
      </c>
      <c r="BR217" s="16">
        <f t="shared" si="268"/>
        <v>0</v>
      </c>
      <c r="BS217" s="16">
        <f t="shared" si="268"/>
        <v>0</v>
      </c>
      <c r="BT217" s="16">
        <f t="shared" si="268"/>
        <v>0</v>
      </c>
      <c r="BU217" s="16">
        <f t="shared" si="268"/>
        <v>0</v>
      </c>
      <c r="BV217" s="16">
        <f t="shared" si="268"/>
        <v>0</v>
      </c>
      <c r="BW217" s="16">
        <f t="shared" si="268"/>
        <v>0</v>
      </c>
      <c r="BX217" s="16">
        <f t="shared" si="268"/>
        <v>0</v>
      </c>
      <c r="BY217" s="16">
        <f t="shared" si="268"/>
        <v>24903161</v>
      </c>
      <c r="BZ217" s="16">
        <f t="shared" si="268"/>
        <v>24903161</v>
      </c>
      <c r="CA217" s="16">
        <f t="shared" si="268"/>
        <v>17540470</v>
      </c>
      <c r="CB217" s="16">
        <f t="shared" si="268"/>
        <v>2988565</v>
      </c>
      <c r="CC217" s="16">
        <f t="shared" si="268"/>
        <v>14551905</v>
      </c>
      <c r="CD217" s="16">
        <f t="shared" si="268"/>
        <v>800000</v>
      </c>
      <c r="CE217" s="16">
        <f t="shared" si="268"/>
        <v>0</v>
      </c>
      <c r="CF217" s="16">
        <f t="shared" si="268"/>
        <v>0</v>
      </c>
      <c r="CG217" s="16">
        <f t="shared" si="268"/>
        <v>0</v>
      </c>
      <c r="CH217" s="16">
        <f t="shared" si="268"/>
        <v>800000</v>
      </c>
      <c r="CI217" s="16">
        <f t="shared" si="268"/>
        <v>0</v>
      </c>
      <c r="CJ217" s="16">
        <f t="shared" si="268"/>
        <v>0</v>
      </c>
      <c r="CK217" s="16">
        <f t="shared" si="268"/>
        <v>6562691</v>
      </c>
      <c r="CL217" s="16">
        <f t="shared" si="268"/>
        <v>0</v>
      </c>
      <c r="CM217" s="16">
        <f t="shared" si="268"/>
        <v>0</v>
      </c>
      <c r="CN217" s="16">
        <f t="shared" si="268"/>
        <v>4598137</v>
      </c>
      <c r="CO217" s="16">
        <f t="shared" si="268"/>
        <v>1245122</v>
      </c>
      <c r="CP217" s="16">
        <f t="shared" si="268"/>
        <v>719432</v>
      </c>
      <c r="CQ217" s="16">
        <f t="shared" si="268"/>
        <v>0</v>
      </c>
      <c r="CR217" s="16">
        <f t="shared" si="268"/>
        <v>0</v>
      </c>
      <c r="CS217" s="16">
        <f t="shared" si="268"/>
        <v>0</v>
      </c>
      <c r="CT217" s="16">
        <f t="shared" si="268"/>
        <v>0</v>
      </c>
      <c r="CU217" s="16">
        <f t="shared" si="268"/>
        <v>0</v>
      </c>
      <c r="CV217" s="16">
        <f t="shared" si="268"/>
        <v>0</v>
      </c>
      <c r="CW217" s="17">
        <f t="shared" ref="CW217" si="269">SUM(CW218:CW237)</f>
        <v>0</v>
      </c>
      <c r="CX217" s="40"/>
    </row>
    <row r="218" spans="1:102" ht="15.75" hidden="1" x14ac:dyDescent="0.25">
      <c r="A218" s="13" t="s">
        <v>1</v>
      </c>
      <c r="B218" s="14" t="s">
        <v>1</v>
      </c>
      <c r="C218" s="14" t="s">
        <v>5</v>
      </c>
      <c r="D218" s="30" t="s">
        <v>255</v>
      </c>
      <c r="E218" s="15">
        <f t="shared" ref="E218:E236" si="270">SUM(F218+BY218+CT218)</f>
        <v>7954590</v>
      </c>
      <c r="F218" s="16">
        <f t="shared" ref="F218:F236" si="271">SUM(G218+BA218)</f>
        <v>7954590</v>
      </c>
      <c r="G218" s="16">
        <f t="shared" ref="G218:G236" si="272">SUM(H218+I218+J218+Q218+T218+U218+V218+AE218)</f>
        <v>7954590</v>
      </c>
      <c r="H218" s="16">
        <v>0</v>
      </c>
      <c r="I218" s="16">
        <v>0</v>
      </c>
      <c r="J218" s="16">
        <f t="shared" si="256"/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f t="shared" si="257"/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f t="shared" ref="V218:V236" si="273">SUM(W218:AD218)</f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f t="shared" ref="AE218:AE236" si="274">SUM(AF218:AZ218)</f>
        <v>7954590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f>8804590-850000</f>
        <v>7954590</v>
      </c>
      <c r="AR218" s="16">
        <v>0</v>
      </c>
      <c r="AS218" s="16">
        <v>0</v>
      </c>
      <c r="AT218" s="16">
        <v>0</v>
      </c>
      <c r="AU218" s="16">
        <v>0</v>
      </c>
      <c r="AV218" s="16">
        <v>0</v>
      </c>
      <c r="AW218" s="16">
        <v>0</v>
      </c>
      <c r="AX218" s="16">
        <v>0</v>
      </c>
      <c r="AY218" s="16">
        <v>0</v>
      </c>
      <c r="AZ218" s="16">
        <v>0</v>
      </c>
      <c r="BA218" s="16">
        <f t="shared" ref="BA218:BA236" si="275">SUM(BB218+BF218+BI218+BK218+BM218)</f>
        <v>0</v>
      </c>
      <c r="BB218" s="16">
        <f t="shared" ref="BB218:BB236" si="276">SUM(BC218:BE218)</f>
        <v>0</v>
      </c>
      <c r="BC218" s="16">
        <v>0</v>
      </c>
      <c r="BD218" s="16">
        <v>0</v>
      </c>
      <c r="BE218" s="16">
        <v>0</v>
      </c>
      <c r="BF218" s="16">
        <f t="shared" si="258"/>
        <v>0</v>
      </c>
      <c r="BG218" s="16">
        <v>0</v>
      </c>
      <c r="BH218" s="16">
        <v>0</v>
      </c>
      <c r="BI218" s="16">
        <v>0</v>
      </c>
      <c r="BJ218" s="16">
        <v>0</v>
      </c>
      <c r="BK218" s="16">
        <f t="shared" si="259"/>
        <v>0</v>
      </c>
      <c r="BL218" s="16">
        <v>0</v>
      </c>
      <c r="BM218" s="16">
        <f t="shared" si="260"/>
        <v>0</v>
      </c>
      <c r="BN218" s="16">
        <v>0</v>
      </c>
      <c r="BO218" s="16">
        <v>0</v>
      </c>
      <c r="BP218" s="16">
        <v>0</v>
      </c>
      <c r="BQ218" s="16">
        <v>0</v>
      </c>
      <c r="BR218" s="16">
        <v>0</v>
      </c>
      <c r="BS218" s="16">
        <v>0</v>
      </c>
      <c r="BT218" s="16">
        <v>0</v>
      </c>
      <c r="BU218" s="16">
        <v>0</v>
      </c>
      <c r="BV218" s="16">
        <v>0</v>
      </c>
      <c r="BW218" s="16">
        <v>0</v>
      </c>
      <c r="BX218" s="16">
        <v>0</v>
      </c>
      <c r="BY218" s="16">
        <f t="shared" ref="BY218:BY236" si="277">SUM(BZ218+CS218)</f>
        <v>0</v>
      </c>
      <c r="BZ218" s="16">
        <f t="shared" ref="BZ218:BZ236" si="278">SUM(CA218+CD218+CK218)</f>
        <v>0</v>
      </c>
      <c r="CA218" s="16">
        <f t="shared" si="261"/>
        <v>0</v>
      </c>
      <c r="CB218" s="16">
        <v>0</v>
      </c>
      <c r="CC218" s="16">
        <v>0</v>
      </c>
      <c r="CD218" s="16">
        <f t="shared" si="262"/>
        <v>0</v>
      </c>
      <c r="CE218" s="16">
        <v>0</v>
      </c>
      <c r="CF218" s="16">
        <v>0</v>
      </c>
      <c r="CG218" s="16">
        <v>0</v>
      </c>
      <c r="CH218" s="16">
        <v>0</v>
      </c>
      <c r="CI218" s="16">
        <v>0</v>
      </c>
      <c r="CJ218" s="16">
        <v>0</v>
      </c>
      <c r="CK218" s="16">
        <f t="shared" si="263"/>
        <v>0</v>
      </c>
      <c r="CL218" s="16">
        <v>0</v>
      </c>
      <c r="CM218" s="16">
        <v>0</v>
      </c>
      <c r="CN218" s="16">
        <v>0</v>
      </c>
      <c r="CO218" s="16">
        <v>0</v>
      </c>
      <c r="CP218" s="16">
        <v>0</v>
      </c>
      <c r="CQ218" s="16">
        <v>0</v>
      </c>
      <c r="CR218" s="16">
        <v>0</v>
      </c>
      <c r="CS218" s="16">
        <v>0</v>
      </c>
      <c r="CT218" s="16">
        <f t="shared" si="264"/>
        <v>0</v>
      </c>
      <c r="CU218" s="16">
        <f t="shared" si="265"/>
        <v>0</v>
      </c>
      <c r="CV218" s="16">
        <v>0</v>
      </c>
      <c r="CW218" s="17">
        <v>0</v>
      </c>
      <c r="CX218" s="40"/>
    </row>
    <row r="219" spans="1:102" ht="15.75" hidden="1" x14ac:dyDescent="0.25">
      <c r="A219" s="13" t="s">
        <v>1</v>
      </c>
      <c r="B219" s="14" t="s">
        <v>1</v>
      </c>
      <c r="C219" s="14" t="s">
        <v>17</v>
      </c>
      <c r="D219" s="30" t="s">
        <v>256</v>
      </c>
      <c r="E219" s="15">
        <f t="shared" si="270"/>
        <v>400000</v>
      </c>
      <c r="F219" s="16">
        <f t="shared" si="271"/>
        <v>0</v>
      </c>
      <c r="G219" s="16">
        <f t="shared" si="272"/>
        <v>0</v>
      </c>
      <c r="H219" s="16">
        <v>0</v>
      </c>
      <c r="I219" s="16">
        <v>0</v>
      </c>
      <c r="J219" s="16">
        <f t="shared" si="256"/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f t="shared" si="257"/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f t="shared" si="273"/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f t="shared" si="274"/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0</v>
      </c>
      <c r="AT219" s="16">
        <v>0</v>
      </c>
      <c r="AU219" s="16">
        <v>0</v>
      </c>
      <c r="AV219" s="16">
        <v>0</v>
      </c>
      <c r="AW219" s="16">
        <v>0</v>
      </c>
      <c r="AX219" s="16">
        <v>0</v>
      </c>
      <c r="AY219" s="16">
        <v>0</v>
      </c>
      <c r="AZ219" s="16">
        <v>0</v>
      </c>
      <c r="BA219" s="16">
        <f t="shared" si="275"/>
        <v>0</v>
      </c>
      <c r="BB219" s="16">
        <f t="shared" si="276"/>
        <v>0</v>
      </c>
      <c r="BC219" s="16">
        <v>0</v>
      </c>
      <c r="BD219" s="16">
        <v>0</v>
      </c>
      <c r="BE219" s="16">
        <v>0</v>
      </c>
      <c r="BF219" s="16">
        <f t="shared" si="258"/>
        <v>0</v>
      </c>
      <c r="BG219" s="16">
        <v>0</v>
      </c>
      <c r="BH219" s="16">
        <v>0</v>
      </c>
      <c r="BI219" s="16">
        <v>0</v>
      </c>
      <c r="BJ219" s="16">
        <v>0</v>
      </c>
      <c r="BK219" s="16">
        <f t="shared" si="259"/>
        <v>0</v>
      </c>
      <c r="BL219" s="16">
        <v>0</v>
      </c>
      <c r="BM219" s="16">
        <f t="shared" si="260"/>
        <v>0</v>
      </c>
      <c r="BN219" s="16">
        <v>0</v>
      </c>
      <c r="BO219" s="16">
        <v>0</v>
      </c>
      <c r="BP219" s="16">
        <v>0</v>
      </c>
      <c r="BQ219" s="16">
        <v>0</v>
      </c>
      <c r="BR219" s="16">
        <v>0</v>
      </c>
      <c r="BS219" s="16">
        <v>0</v>
      </c>
      <c r="BT219" s="16">
        <v>0</v>
      </c>
      <c r="BU219" s="16">
        <v>0</v>
      </c>
      <c r="BV219" s="16">
        <v>0</v>
      </c>
      <c r="BW219" s="16">
        <v>0</v>
      </c>
      <c r="BX219" s="16">
        <v>0</v>
      </c>
      <c r="BY219" s="16">
        <f t="shared" si="277"/>
        <v>400000</v>
      </c>
      <c r="BZ219" s="16">
        <f t="shared" si="278"/>
        <v>400000</v>
      </c>
      <c r="CA219" s="16">
        <f t="shared" si="261"/>
        <v>400000</v>
      </c>
      <c r="CB219" s="16">
        <v>0</v>
      </c>
      <c r="CC219" s="16">
        <v>400000</v>
      </c>
      <c r="CD219" s="16">
        <f t="shared" si="262"/>
        <v>0</v>
      </c>
      <c r="CE219" s="16">
        <v>0</v>
      </c>
      <c r="CF219" s="16">
        <v>0</v>
      </c>
      <c r="CG219" s="16">
        <v>0</v>
      </c>
      <c r="CH219" s="16">
        <v>0</v>
      </c>
      <c r="CI219" s="16">
        <v>0</v>
      </c>
      <c r="CJ219" s="16">
        <v>0</v>
      </c>
      <c r="CK219" s="16">
        <f t="shared" si="263"/>
        <v>0</v>
      </c>
      <c r="CL219" s="16">
        <v>0</v>
      </c>
      <c r="CM219" s="16">
        <v>0</v>
      </c>
      <c r="CN219" s="16">
        <v>0</v>
      </c>
      <c r="CO219" s="16">
        <v>0</v>
      </c>
      <c r="CP219" s="16">
        <v>0</v>
      </c>
      <c r="CQ219" s="16">
        <v>0</v>
      </c>
      <c r="CR219" s="16">
        <v>0</v>
      </c>
      <c r="CS219" s="16">
        <v>0</v>
      </c>
      <c r="CT219" s="16">
        <f t="shared" si="264"/>
        <v>0</v>
      </c>
      <c r="CU219" s="16">
        <f t="shared" si="265"/>
        <v>0</v>
      </c>
      <c r="CV219" s="16">
        <v>0</v>
      </c>
      <c r="CW219" s="17">
        <v>0</v>
      </c>
      <c r="CX219" s="40"/>
    </row>
    <row r="220" spans="1:102" s="49" customFormat="1" ht="15.75" hidden="1" x14ac:dyDescent="0.25">
      <c r="A220" s="42"/>
      <c r="B220" s="43"/>
      <c r="C220" s="44" t="s">
        <v>17</v>
      </c>
      <c r="D220" s="45" t="s">
        <v>554</v>
      </c>
      <c r="E220" s="46">
        <f t="shared" si="270"/>
        <v>0</v>
      </c>
      <c r="F220" s="41">
        <f t="shared" si="271"/>
        <v>0</v>
      </c>
      <c r="G220" s="41">
        <f t="shared" si="272"/>
        <v>0</v>
      </c>
      <c r="H220" s="41"/>
      <c r="I220" s="41"/>
      <c r="J220" s="41">
        <f t="shared" si="256"/>
        <v>0</v>
      </c>
      <c r="K220" s="41">
        <v>0</v>
      </c>
      <c r="L220" s="41"/>
      <c r="M220" s="41">
        <v>0</v>
      </c>
      <c r="N220" s="41">
        <v>0</v>
      </c>
      <c r="O220" s="41"/>
      <c r="P220" s="41"/>
      <c r="Q220" s="41">
        <f t="shared" si="257"/>
        <v>0</v>
      </c>
      <c r="R220" s="41"/>
      <c r="S220" s="41"/>
      <c r="T220" s="41">
        <v>0</v>
      </c>
      <c r="U220" s="41"/>
      <c r="V220" s="41">
        <f t="shared" si="273"/>
        <v>0</v>
      </c>
      <c r="W220" s="41"/>
      <c r="X220" s="41"/>
      <c r="Y220" s="41"/>
      <c r="Z220" s="41"/>
      <c r="AA220" s="41"/>
      <c r="AB220" s="41">
        <v>0</v>
      </c>
      <c r="AC220" s="41">
        <v>0</v>
      </c>
      <c r="AD220" s="41"/>
      <c r="AE220" s="41">
        <f>SUM(AF220:AZ220)</f>
        <v>0</v>
      </c>
      <c r="AF220" s="41">
        <v>0</v>
      </c>
      <c r="AG220" s="41"/>
      <c r="AH220" s="41"/>
      <c r="AI220" s="41">
        <v>0</v>
      </c>
      <c r="AJ220" s="41"/>
      <c r="AK220" s="41"/>
      <c r="AL220" s="41"/>
      <c r="AM220" s="41"/>
      <c r="AN220" s="41"/>
      <c r="AO220" s="41"/>
      <c r="AP220" s="41"/>
      <c r="AQ220" s="41">
        <v>0</v>
      </c>
      <c r="AR220" s="41">
        <v>0</v>
      </c>
      <c r="AS220" s="41"/>
      <c r="AT220" s="41">
        <v>0</v>
      </c>
      <c r="AU220" s="41">
        <v>0</v>
      </c>
      <c r="AV220" s="41">
        <v>0</v>
      </c>
      <c r="AW220" s="41">
        <v>0</v>
      </c>
      <c r="AX220" s="41">
        <v>0</v>
      </c>
      <c r="AY220" s="41"/>
      <c r="AZ220" s="41"/>
      <c r="BA220" s="41">
        <f t="shared" si="275"/>
        <v>0</v>
      </c>
      <c r="BB220" s="41">
        <f t="shared" si="276"/>
        <v>0</v>
      </c>
      <c r="BC220" s="41">
        <v>0</v>
      </c>
      <c r="BD220" s="41">
        <v>0</v>
      </c>
      <c r="BE220" s="41">
        <v>0</v>
      </c>
      <c r="BF220" s="41">
        <f t="shared" si="258"/>
        <v>0</v>
      </c>
      <c r="BG220" s="41">
        <v>0</v>
      </c>
      <c r="BH220" s="41">
        <v>0</v>
      </c>
      <c r="BI220" s="41">
        <v>0</v>
      </c>
      <c r="BJ220" s="41">
        <v>0</v>
      </c>
      <c r="BK220" s="41">
        <f t="shared" si="259"/>
        <v>0</v>
      </c>
      <c r="BL220" s="41">
        <v>0</v>
      </c>
      <c r="BM220" s="41">
        <f t="shared" si="260"/>
        <v>0</v>
      </c>
      <c r="BN220" s="41">
        <v>0</v>
      </c>
      <c r="BO220" s="41">
        <v>0</v>
      </c>
      <c r="BP220" s="41">
        <v>0</v>
      </c>
      <c r="BQ220" s="41">
        <v>0</v>
      </c>
      <c r="BR220" s="41">
        <v>0</v>
      </c>
      <c r="BS220" s="41">
        <v>0</v>
      </c>
      <c r="BT220" s="41">
        <v>0</v>
      </c>
      <c r="BU220" s="41">
        <v>0</v>
      </c>
      <c r="BV220" s="41">
        <v>0</v>
      </c>
      <c r="BW220" s="41"/>
      <c r="BX220" s="41">
        <v>0</v>
      </c>
      <c r="BY220" s="41">
        <f t="shared" si="277"/>
        <v>0</v>
      </c>
      <c r="BZ220" s="41">
        <f t="shared" si="278"/>
        <v>0</v>
      </c>
      <c r="CA220" s="41">
        <f t="shared" si="261"/>
        <v>0</v>
      </c>
      <c r="CB220" s="41">
        <v>0</v>
      </c>
      <c r="CC220" s="41"/>
      <c r="CD220" s="41">
        <f t="shared" si="262"/>
        <v>0</v>
      </c>
      <c r="CE220" s="41">
        <v>0</v>
      </c>
      <c r="CF220" s="41">
        <v>0</v>
      </c>
      <c r="CG220" s="41">
        <v>0</v>
      </c>
      <c r="CH220" s="41">
        <v>0</v>
      </c>
      <c r="CI220" s="41">
        <v>0</v>
      </c>
      <c r="CJ220" s="41">
        <v>0</v>
      </c>
      <c r="CK220" s="41">
        <f t="shared" si="263"/>
        <v>0</v>
      </c>
      <c r="CL220" s="41">
        <v>0</v>
      </c>
      <c r="CM220" s="41">
        <v>0</v>
      </c>
      <c r="CN220" s="41">
        <v>0</v>
      </c>
      <c r="CO220" s="41"/>
      <c r="CP220" s="41">
        <v>0</v>
      </c>
      <c r="CQ220" s="41">
        <f>SUM(CR220)</f>
        <v>0</v>
      </c>
      <c r="CR220" s="41"/>
      <c r="CS220" s="41">
        <v>0</v>
      </c>
      <c r="CT220" s="41">
        <f t="shared" ref="CT220" si="279">SUM(CU220)</f>
        <v>0</v>
      </c>
      <c r="CU220" s="41">
        <f t="shared" si="265"/>
        <v>0</v>
      </c>
      <c r="CV220" s="41">
        <v>0</v>
      </c>
      <c r="CW220" s="47">
        <v>0</v>
      </c>
      <c r="CX220" s="48"/>
    </row>
    <row r="221" spans="1:102" s="49" customFormat="1" ht="15.75" hidden="1" x14ac:dyDescent="0.25">
      <c r="A221" s="42" t="s">
        <v>1</v>
      </c>
      <c r="B221" s="43" t="s">
        <v>1</v>
      </c>
      <c r="C221" s="43" t="s">
        <v>17</v>
      </c>
      <c r="D221" s="50" t="s">
        <v>258</v>
      </c>
      <c r="E221" s="46">
        <f t="shared" si="270"/>
        <v>0</v>
      </c>
      <c r="F221" s="41">
        <f t="shared" si="271"/>
        <v>0</v>
      </c>
      <c r="G221" s="41">
        <f t="shared" si="272"/>
        <v>0</v>
      </c>
      <c r="H221" s="41">
        <v>0</v>
      </c>
      <c r="I221" s="41">
        <v>0</v>
      </c>
      <c r="J221" s="41">
        <f>SUM(K221:P221)</f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f>SUM(R221:S221)</f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f t="shared" si="273"/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0</v>
      </c>
      <c r="AD221" s="41">
        <v>0</v>
      </c>
      <c r="AE221" s="41">
        <f t="shared" si="274"/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  <c r="AU221" s="41">
        <v>0</v>
      </c>
      <c r="AV221" s="41">
        <v>0</v>
      </c>
      <c r="AW221" s="41">
        <v>0</v>
      </c>
      <c r="AX221" s="41">
        <v>0</v>
      </c>
      <c r="AY221" s="41">
        <v>0</v>
      </c>
      <c r="AZ221" s="41"/>
      <c r="BA221" s="41">
        <f t="shared" si="275"/>
        <v>0</v>
      </c>
      <c r="BB221" s="41">
        <f t="shared" si="276"/>
        <v>0</v>
      </c>
      <c r="BC221" s="41">
        <v>0</v>
      </c>
      <c r="BD221" s="41">
        <v>0</v>
      </c>
      <c r="BE221" s="41">
        <v>0</v>
      </c>
      <c r="BF221" s="41">
        <f>SUM(BG221:BH221)</f>
        <v>0</v>
      </c>
      <c r="BG221" s="41">
        <v>0</v>
      </c>
      <c r="BH221" s="41">
        <v>0</v>
      </c>
      <c r="BI221" s="41">
        <v>0</v>
      </c>
      <c r="BJ221" s="41">
        <v>0</v>
      </c>
      <c r="BK221" s="41">
        <f>SUM(BL221)</f>
        <v>0</v>
      </c>
      <c r="BL221" s="41">
        <v>0</v>
      </c>
      <c r="BM221" s="41">
        <f>SUM(BN221:BX221)</f>
        <v>0</v>
      </c>
      <c r="BN221" s="41">
        <v>0</v>
      </c>
      <c r="BO221" s="41">
        <v>0</v>
      </c>
      <c r="BP221" s="41">
        <v>0</v>
      </c>
      <c r="BQ221" s="41">
        <v>0</v>
      </c>
      <c r="BR221" s="41">
        <v>0</v>
      </c>
      <c r="BS221" s="41">
        <v>0</v>
      </c>
      <c r="BT221" s="41">
        <v>0</v>
      </c>
      <c r="BU221" s="41">
        <v>0</v>
      </c>
      <c r="BV221" s="41">
        <v>0</v>
      </c>
      <c r="BW221" s="41">
        <v>0</v>
      </c>
      <c r="BX221" s="41">
        <v>0</v>
      </c>
      <c r="BY221" s="41">
        <f t="shared" si="277"/>
        <v>0</v>
      </c>
      <c r="BZ221" s="41">
        <f t="shared" si="278"/>
        <v>0</v>
      </c>
      <c r="CA221" s="41">
        <f>SUM(CB221:CC221)</f>
        <v>0</v>
      </c>
      <c r="CB221" s="41">
        <v>0</v>
      </c>
      <c r="CC221" s="41">
        <v>0</v>
      </c>
      <c r="CD221" s="41">
        <f>SUM(CE221:CI221)</f>
        <v>0</v>
      </c>
      <c r="CE221" s="41">
        <v>0</v>
      </c>
      <c r="CF221" s="41">
        <v>0</v>
      </c>
      <c r="CG221" s="41">
        <v>0</v>
      </c>
      <c r="CH221" s="41">
        <v>0</v>
      </c>
      <c r="CI221" s="41">
        <v>0</v>
      </c>
      <c r="CJ221" s="41">
        <v>0</v>
      </c>
      <c r="CK221" s="41">
        <f>SUM(CL221:CP221)</f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f>SUM(CU221)</f>
        <v>0</v>
      </c>
      <c r="CU221" s="41">
        <f>SUM(CV221:CW221)</f>
        <v>0</v>
      </c>
      <c r="CV221" s="41">
        <v>0</v>
      </c>
      <c r="CW221" s="47">
        <v>0</v>
      </c>
      <c r="CX221" s="48"/>
    </row>
    <row r="222" spans="1:102" s="49" customFormat="1" ht="15.75" hidden="1" x14ac:dyDescent="0.25">
      <c r="A222" s="42" t="s">
        <v>1</v>
      </c>
      <c r="B222" s="43" t="s">
        <v>1</v>
      </c>
      <c r="C222" s="43" t="s">
        <v>17</v>
      </c>
      <c r="D222" s="50" t="s">
        <v>257</v>
      </c>
      <c r="E222" s="46">
        <f t="shared" si="270"/>
        <v>2798223</v>
      </c>
      <c r="F222" s="41">
        <f t="shared" si="271"/>
        <v>2798223</v>
      </c>
      <c r="G222" s="41">
        <f t="shared" si="272"/>
        <v>2798223</v>
      </c>
      <c r="H222" s="41">
        <v>0</v>
      </c>
      <c r="I222" s="41">
        <v>0</v>
      </c>
      <c r="J222" s="41">
        <f t="shared" si="256"/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f t="shared" si="257"/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f t="shared" si="273"/>
        <v>0</v>
      </c>
      <c r="W222" s="41">
        <v>0</v>
      </c>
      <c r="X222" s="41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f t="shared" si="274"/>
        <v>2798223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0</v>
      </c>
      <c r="AQ222" s="41">
        <v>0</v>
      </c>
      <c r="AR222" s="41">
        <v>0</v>
      </c>
      <c r="AS222" s="41">
        <v>0</v>
      </c>
      <c r="AT222" s="41">
        <v>0</v>
      </c>
      <c r="AU222" s="41">
        <v>0</v>
      </c>
      <c r="AV222" s="41">
        <v>0</v>
      </c>
      <c r="AW222" s="41">
        <v>0</v>
      </c>
      <c r="AX222" s="41">
        <v>0</v>
      </c>
      <c r="AY222" s="41">
        <v>0</v>
      </c>
      <c r="AZ222" s="41">
        <v>2798223</v>
      </c>
      <c r="BA222" s="41">
        <f t="shared" si="275"/>
        <v>0</v>
      </c>
      <c r="BB222" s="41">
        <f t="shared" si="276"/>
        <v>0</v>
      </c>
      <c r="BC222" s="41">
        <v>0</v>
      </c>
      <c r="BD222" s="41">
        <v>0</v>
      </c>
      <c r="BE222" s="41">
        <v>0</v>
      </c>
      <c r="BF222" s="41">
        <f t="shared" si="258"/>
        <v>0</v>
      </c>
      <c r="BG222" s="41">
        <v>0</v>
      </c>
      <c r="BH222" s="41">
        <v>0</v>
      </c>
      <c r="BI222" s="41">
        <v>0</v>
      </c>
      <c r="BJ222" s="41">
        <v>0</v>
      </c>
      <c r="BK222" s="41">
        <f t="shared" si="259"/>
        <v>0</v>
      </c>
      <c r="BL222" s="41">
        <v>0</v>
      </c>
      <c r="BM222" s="41">
        <f t="shared" si="260"/>
        <v>0</v>
      </c>
      <c r="BN222" s="41">
        <v>0</v>
      </c>
      <c r="BO222" s="41">
        <v>0</v>
      </c>
      <c r="BP222" s="41">
        <v>0</v>
      </c>
      <c r="BQ222" s="41">
        <v>0</v>
      </c>
      <c r="BR222" s="41">
        <v>0</v>
      </c>
      <c r="BS222" s="41">
        <v>0</v>
      </c>
      <c r="BT222" s="41">
        <v>0</v>
      </c>
      <c r="BU222" s="41">
        <v>0</v>
      </c>
      <c r="BV222" s="41">
        <v>0</v>
      </c>
      <c r="BW222" s="41">
        <v>0</v>
      </c>
      <c r="BX222" s="41">
        <v>0</v>
      </c>
      <c r="BY222" s="41">
        <f t="shared" si="277"/>
        <v>0</v>
      </c>
      <c r="BZ222" s="41">
        <f t="shared" si="278"/>
        <v>0</v>
      </c>
      <c r="CA222" s="41">
        <f t="shared" si="261"/>
        <v>0</v>
      </c>
      <c r="CB222" s="41">
        <v>0</v>
      </c>
      <c r="CC222" s="41">
        <v>0</v>
      </c>
      <c r="CD222" s="41">
        <f t="shared" si="262"/>
        <v>0</v>
      </c>
      <c r="CE222" s="41">
        <v>0</v>
      </c>
      <c r="CF222" s="41">
        <v>0</v>
      </c>
      <c r="CG222" s="41">
        <v>0</v>
      </c>
      <c r="CH222" s="41">
        <v>0</v>
      </c>
      <c r="CI222" s="41">
        <v>0</v>
      </c>
      <c r="CJ222" s="41">
        <v>0</v>
      </c>
      <c r="CK222" s="41">
        <f t="shared" si="263"/>
        <v>0</v>
      </c>
      <c r="CL222" s="41">
        <v>0</v>
      </c>
      <c r="CM222" s="41">
        <v>0</v>
      </c>
      <c r="CN222" s="41">
        <v>0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f t="shared" si="264"/>
        <v>0</v>
      </c>
      <c r="CU222" s="41">
        <f t="shared" si="265"/>
        <v>0</v>
      </c>
      <c r="CV222" s="41">
        <v>0</v>
      </c>
      <c r="CW222" s="47">
        <v>0</v>
      </c>
      <c r="CX222" s="48"/>
    </row>
    <row r="223" spans="1:102" s="49" customFormat="1" ht="15.75" hidden="1" x14ac:dyDescent="0.25">
      <c r="A223" s="42"/>
      <c r="B223" s="43"/>
      <c r="C223" s="44" t="s">
        <v>17</v>
      </c>
      <c r="D223" s="45" t="s">
        <v>555</v>
      </c>
      <c r="E223" s="46">
        <f t="shared" si="270"/>
        <v>11536817</v>
      </c>
      <c r="F223" s="41">
        <f t="shared" si="271"/>
        <v>11536817</v>
      </c>
      <c r="G223" s="41">
        <f t="shared" si="272"/>
        <v>11536817</v>
      </c>
      <c r="H223" s="41"/>
      <c r="I223" s="41"/>
      <c r="J223" s="41">
        <f t="shared" si="256"/>
        <v>0</v>
      </c>
      <c r="K223" s="41">
        <v>0</v>
      </c>
      <c r="L223" s="41"/>
      <c r="M223" s="41">
        <v>0</v>
      </c>
      <c r="N223" s="41">
        <v>0</v>
      </c>
      <c r="O223" s="41"/>
      <c r="P223" s="41"/>
      <c r="Q223" s="41">
        <f t="shared" si="257"/>
        <v>0</v>
      </c>
      <c r="R223" s="41"/>
      <c r="S223" s="41"/>
      <c r="T223" s="41">
        <v>0</v>
      </c>
      <c r="U223" s="41"/>
      <c r="V223" s="41">
        <f t="shared" si="273"/>
        <v>0</v>
      </c>
      <c r="W223" s="41"/>
      <c r="X223" s="41"/>
      <c r="Y223" s="41"/>
      <c r="Z223" s="41"/>
      <c r="AA223" s="41"/>
      <c r="AB223" s="41">
        <v>0</v>
      </c>
      <c r="AC223" s="41">
        <v>0</v>
      </c>
      <c r="AD223" s="41"/>
      <c r="AE223" s="41">
        <f>SUM(AF223:AZ223)</f>
        <v>11536817</v>
      </c>
      <c r="AF223" s="41">
        <v>0</v>
      </c>
      <c r="AG223" s="41"/>
      <c r="AH223" s="41"/>
      <c r="AI223" s="41">
        <v>0</v>
      </c>
      <c r="AJ223" s="41"/>
      <c r="AK223" s="41"/>
      <c r="AL223" s="41"/>
      <c r="AM223" s="41"/>
      <c r="AN223" s="41"/>
      <c r="AO223" s="41"/>
      <c r="AP223" s="41"/>
      <c r="AQ223" s="41">
        <v>0</v>
      </c>
      <c r="AR223" s="41">
        <v>0</v>
      </c>
      <c r="AS223" s="41"/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/>
      <c r="AZ223" s="41">
        <f>0+11536817</f>
        <v>11536817</v>
      </c>
      <c r="BA223" s="41">
        <f t="shared" si="275"/>
        <v>0</v>
      </c>
      <c r="BB223" s="41">
        <f t="shared" si="276"/>
        <v>0</v>
      </c>
      <c r="BC223" s="41">
        <v>0</v>
      </c>
      <c r="BD223" s="41">
        <v>0</v>
      </c>
      <c r="BE223" s="41">
        <v>0</v>
      </c>
      <c r="BF223" s="41">
        <f t="shared" si="258"/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f t="shared" si="259"/>
        <v>0</v>
      </c>
      <c r="BL223" s="41">
        <v>0</v>
      </c>
      <c r="BM223" s="41">
        <f t="shared" si="260"/>
        <v>0</v>
      </c>
      <c r="BN223" s="41">
        <v>0</v>
      </c>
      <c r="BO223" s="41">
        <v>0</v>
      </c>
      <c r="BP223" s="41">
        <v>0</v>
      </c>
      <c r="BQ223" s="41">
        <v>0</v>
      </c>
      <c r="BR223" s="41">
        <v>0</v>
      </c>
      <c r="BS223" s="41">
        <v>0</v>
      </c>
      <c r="BT223" s="41">
        <v>0</v>
      </c>
      <c r="BU223" s="41">
        <v>0</v>
      </c>
      <c r="BV223" s="41">
        <v>0</v>
      </c>
      <c r="BW223" s="41"/>
      <c r="BX223" s="41">
        <v>0</v>
      </c>
      <c r="BY223" s="41">
        <f t="shared" si="277"/>
        <v>0</v>
      </c>
      <c r="BZ223" s="41">
        <f t="shared" si="278"/>
        <v>0</v>
      </c>
      <c r="CA223" s="41">
        <f t="shared" si="261"/>
        <v>0</v>
      </c>
      <c r="CB223" s="41">
        <v>0</v>
      </c>
      <c r="CC223" s="41"/>
      <c r="CD223" s="41">
        <f t="shared" si="262"/>
        <v>0</v>
      </c>
      <c r="CE223" s="41">
        <v>0</v>
      </c>
      <c r="CF223" s="41">
        <v>0</v>
      </c>
      <c r="CG223" s="41">
        <v>0</v>
      </c>
      <c r="CH223" s="41">
        <v>0</v>
      </c>
      <c r="CI223" s="41">
        <v>0</v>
      </c>
      <c r="CJ223" s="41">
        <v>0</v>
      </c>
      <c r="CK223" s="41">
        <f t="shared" si="263"/>
        <v>0</v>
      </c>
      <c r="CL223" s="41">
        <v>0</v>
      </c>
      <c r="CM223" s="41">
        <v>0</v>
      </c>
      <c r="CN223" s="41">
        <v>0</v>
      </c>
      <c r="CO223" s="41"/>
      <c r="CP223" s="41">
        <v>0</v>
      </c>
      <c r="CQ223" s="41">
        <f>SUM(CR223)</f>
        <v>0</v>
      </c>
      <c r="CR223" s="41"/>
      <c r="CS223" s="41">
        <v>0</v>
      </c>
      <c r="CT223" s="41">
        <f t="shared" ref="CT223" si="280">SUM(CU223)</f>
        <v>0</v>
      </c>
      <c r="CU223" s="41">
        <f t="shared" si="265"/>
        <v>0</v>
      </c>
      <c r="CV223" s="41">
        <v>0</v>
      </c>
      <c r="CW223" s="47">
        <v>0</v>
      </c>
      <c r="CX223" s="48"/>
    </row>
    <row r="224" spans="1:102" ht="31.5" hidden="1" x14ac:dyDescent="0.25">
      <c r="A224" s="13" t="s">
        <v>1</v>
      </c>
      <c r="B224" s="14" t="s">
        <v>1</v>
      </c>
      <c r="C224" s="14" t="s">
        <v>17</v>
      </c>
      <c r="D224" s="30" t="s">
        <v>503</v>
      </c>
      <c r="E224" s="15">
        <f t="shared" si="270"/>
        <v>0</v>
      </c>
      <c r="F224" s="16">
        <f t="shared" si="271"/>
        <v>0</v>
      </c>
      <c r="G224" s="16">
        <f t="shared" si="272"/>
        <v>0</v>
      </c>
      <c r="H224" s="16">
        <v>0</v>
      </c>
      <c r="I224" s="16">
        <v>0</v>
      </c>
      <c r="J224" s="16">
        <f>SUM(K224:P224)</f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f>SUM(R224:S224)</f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f t="shared" si="273"/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f t="shared" si="274"/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0</v>
      </c>
      <c r="AZ224" s="16">
        <f>6495219-6495219</f>
        <v>0</v>
      </c>
      <c r="BA224" s="16">
        <f t="shared" si="275"/>
        <v>0</v>
      </c>
      <c r="BB224" s="16">
        <f t="shared" si="276"/>
        <v>0</v>
      </c>
      <c r="BC224" s="16">
        <v>0</v>
      </c>
      <c r="BD224" s="16">
        <v>0</v>
      </c>
      <c r="BE224" s="16">
        <v>0</v>
      </c>
      <c r="BF224" s="16">
        <f>SUM(BG224:BH224)</f>
        <v>0</v>
      </c>
      <c r="BG224" s="16">
        <v>0</v>
      </c>
      <c r="BH224" s="16">
        <v>0</v>
      </c>
      <c r="BI224" s="16">
        <v>0</v>
      </c>
      <c r="BJ224" s="16">
        <v>0</v>
      </c>
      <c r="BK224" s="16">
        <f>SUM(BL224)</f>
        <v>0</v>
      </c>
      <c r="BL224" s="16">
        <v>0</v>
      </c>
      <c r="BM224" s="16">
        <f>SUM(BN224:BX224)</f>
        <v>0</v>
      </c>
      <c r="BN224" s="16">
        <v>0</v>
      </c>
      <c r="BO224" s="16">
        <v>0</v>
      </c>
      <c r="BP224" s="16">
        <v>0</v>
      </c>
      <c r="BQ224" s="16">
        <v>0</v>
      </c>
      <c r="BR224" s="16">
        <v>0</v>
      </c>
      <c r="BS224" s="16">
        <v>0</v>
      </c>
      <c r="BT224" s="16">
        <v>0</v>
      </c>
      <c r="BU224" s="16">
        <v>0</v>
      </c>
      <c r="BV224" s="16">
        <v>0</v>
      </c>
      <c r="BW224" s="16">
        <v>0</v>
      </c>
      <c r="BX224" s="16">
        <v>0</v>
      </c>
      <c r="BY224" s="16">
        <f t="shared" si="277"/>
        <v>0</v>
      </c>
      <c r="BZ224" s="16">
        <f t="shared" si="278"/>
        <v>0</v>
      </c>
      <c r="CA224" s="16">
        <f>SUM(CB224:CC224)</f>
        <v>0</v>
      </c>
      <c r="CB224" s="16">
        <v>0</v>
      </c>
      <c r="CC224" s="16">
        <v>0</v>
      </c>
      <c r="CD224" s="16">
        <f>SUM(CE224:CI224)</f>
        <v>0</v>
      </c>
      <c r="CE224" s="16">
        <v>0</v>
      </c>
      <c r="CF224" s="16">
        <v>0</v>
      </c>
      <c r="CG224" s="16">
        <v>0</v>
      </c>
      <c r="CH224" s="16">
        <v>0</v>
      </c>
      <c r="CI224" s="16">
        <v>0</v>
      </c>
      <c r="CJ224" s="16">
        <v>0</v>
      </c>
      <c r="CK224" s="16">
        <f>SUM(CL224:CP224)</f>
        <v>0</v>
      </c>
      <c r="CL224" s="16">
        <v>0</v>
      </c>
      <c r="CM224" s="16">
        <v>0</v>
      </c>
      <c r="CN224" s="16">
        <v>0</v>
      </c>
      <c r="CO224" s="16">
        <v>0</v>
      </c>
      <c r="CP224" s="16">
        <v>0</v>
      </c>
      <c r="CQ224" s="16">
        <v>0</v>
      </c>
      <c r="CR224" s="16">
        <v>0</v>
      </c>
      <c r="CS224" s="16">
        <v>0</v>
      </c>
      <c r="CT224" s="16">
        <f>SUM(CU224)</f>
        <v>0</v>
      </c>
      <c r="CU224" s="16">
        <f>SUM(CV224:CW224)</f>
        <v>0</v>
      </c>
      <c r="CV224" s="16">
        <v>0</v>
      </c>
      <c r="CW224" s="17">
        <v>0</v>
      </c>
      <c r="CX224" s="40"/>
    </row>
    <row r="225" spans="1:102" ht="15.75" hidden="1" x14ac:dyDescent="0.25">
      <c r="A225" s="13" t="s">
        <v>1</v>
      </c>
      <c r="B225" s="14" t="s">
        <v>1</v>
      </c>
      <c r="C225" s="14" t="s">
        <v>17</v>
      </c>
      <c r="D225" s="30" t="s">
        <v>538</v>
      </c>
      <c r="E225" s="15">
        <f t="shared" si="270"/>
        <v>1988565</v>
      </c>
      <c r="F225" s="16">
        <f t="shared" si="271"/>
        <v>0</v>
      </c>
      <c r="G225" s="16">
        <f t="shared" si="272"/>
        <v>0</v>
      </c>
      <c r="H225" s="16">
        <v>0</v>
      </c>
      <c r="I225" s="16">
        <v>0</v>
      </c>
      <c r="J225" s="16">
        <f t="shared" si="256"/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f t="shared" si="257"/>
        <v>0</v>
      </c>
      <c r="R225" s="16">
        <v>0</v>
      </c>
      <c r="S225" s="16">
        <v>0</v>
      </c>
      <c r="T225" s="16">
        <v>0</v>
      </c>
      <c r="U225" s="16">
        <v>0</v>
      </c>
      <c r="V225" s="16">
        <f t="shared" si="273"/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f t="shared" si="274"/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  <c r="AT225" s="16">
        <v>0</v>
      </c>
      <c r="AU225" s="16">
        <v>0</v>
      </c>
      <c r="AV225" s="16">
        <v>0</v>
      </c>
      <c r="AW225" s="16">
        <v>0</v>
      </c>
      <c r="AX225" s="16">
        <v>0</v>
      </c>
      <c r="AY225" s="16">
        <v>0</v>
      </c>
      <c r="AZ225" s="16">
        <v>0</v>
      </c>
      <c r="BA225" s="16">
        <f t="shared" si="275"/>
        <v>0</v>
      </c>
      <c r="BB225" s="16">
        <f t="shared" si="276"/>
        <v>0</v>
      </c>
      <c r="BC225" s="16">
        <v>0</v>
      </c>
      <c r="BD225" s="16">
        <v>0</v>
      </c>
      <c r="BE225" s="16">
        <v>0</v>
      </c>
      <c r="BF225" s="16">
        <f t="shared" si="258"/>
        <v>0</v>
      </c>
      <c r="BG225" s="16">
        <v>0</v>
      </c>
      <c r="BH225" s="16">
        <v>0</v>
      </c>
      <c r="BI225" s="16">
        <v>0</v>
      </c>
      <c r="BJ225" s="16">
        <v>0</v>
      </c>
      <c r="BK225" s="16">
        <f t="shared" si="259"/>
        <v>0</v>
      </c>
      <c r="BL225" s="16">
        <v>0</v>
      </c>
      <c r="BM225" s="16">
        <f t="shared" si="260"/>
        <v>0</v>
      </c>
      <c r="BN225" s="16">
        <v>0</v>
      </c>
      <c r="BO225" s="16">
        <v>0</v>
      </c>
      <c r="BP225" s="16">
        <v>0</v>
      </c>
      <c r="BQ225" s="16">
        <v>0</v>
      </c>
      <c r="BR225" s="16">
        <v>0</v>
      </c>
      <c r="BS225" s="16">
        <v>0</v>
      </c>
      <c r="BT225" s="16">
        <v>0</v>
      </c>
      <c r="BU225" s="16">
        <v>0</v>
      </c>
      <c r="BV225" s="16">
        <v>0</v>
      </c>
      <c r="BW225" s="16">
        <v>0</v>
      </c>
      <c r="BX225" s="16">
        <v>0</v>
      </c>
      <c r="BY225" s="16">
        <f t="shared" si="277"/>
        <v>1988565</v>
      </c>
      <c r="BZ225" s="16">
        <f t="shared" si="278"/>
        <v>1988565</v>
      </c>
      <c r="CA225" s="16">
        <f t="shared" si="261"/>
        <v>1988565</v>
      </c>
      <c r="CB225" s="16">
        <f>2937707-949142</f>
        <v>1988565</v>
      </c>
      <c r="CC225" s="16">
        <v>0</v>
      </c>
      <c r="CD225" s="16">
        <f t="shared" si="262"/>
        <v>0</v>
      </c>
      <c r="CE225" s="16">
        <v>0</v>
      </c>
      <c r="CF225" s="16">
        <v>0</v>
      </c>
      <c r="CG225" s="16">
        <v>0</v>
      </c>
      <c r="CH225" s="16">
        <v>0</v>
      </c>
      <c r="CI225" s="16">
        <v>0</v>
      </c>
      <c r="CJ225" s="16">
        <v>0</v>
      </c>
      <c r="CK225" s="16">
        <f t="shared" si="263"/>
        <v>0</v>
      </c>
      <c r="CL225" s="16">
        <v>0</v>
      </c>
      <c r="CM225" s="16">
        <v>0</v>
      </c>
      <c r="CN225" s="16">
        <v>0</v>
      </c>
      <c r="CO225" s="16">
        <v>0</v>
      </c>
      <c r="CP225" s="16">
        <v>0</v>
      </c>
      <c r="CQ225" s="16">
        <v>0</v>
      </c>
      <c r="CR225" s="16">
        <v>0</v>
      </c>
      <c r="CS225" s="16">
        <v>0</v>
      </c>
      <c r="CT225" s="16">
        <f t="shared" si="264"/>
        <v>0</v>
      </c>
      <c r="CU225" s="16">
        <f t="shared" si="265"/>
        <v>0</v>
      </c>
      <c r="CV225" s="16">
        <v>0</v>
      </c>
      <c r="CW225" s="17">
        <v>0</v>
      </c>
      <c r="CX225" s="40"/>
    </row>
    <row r="226" spans="1:102" ht="15.75" hidden="1" x14ac:dyDescent="0.25">
      <c r="A226" s="13" t="s">
        <v>1</v>
      </c>
      <c r="B226" s="14" t="s">
        <v>1</v>
      </c>
      <c r="C226" s="14" t="s">
        <v>23</v>
      </c>
      <c r="D226" s="30" t="s">
        <v>266</v>
      </c>
      <c r="E226" s="15">
        <f t="shared" si="270"/>
        <v>6630</v>
      </c>
      <c r="F226" s="16">
        <f t="shared" si="271"/>
        <v>6630</v>
      </c>
      <c r="G226" s="16">
        <f t="shared" si="272"/>
        <v>6630</v>
      </c>
      <c r="H226" s="16">
        <v>0</v>
      </c>
      <c r="I226" s="16">
        <v>0</v>
      </c>
      <c r="J226" s="16">
        <f t="shared" ref="J226:J236" si="281">SUM(K226:P226)</f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f t="shared" ref="Q226:Q236" si="282">SUM(R226:S226)</f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f t="shared" si="273"/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f t="shared" si="274"/>
        <v>6630</v>
      </c>
      <c r="AF226" s="16">
        <v>0</v>
      </c>
      <c r="AG226" s="16">
        <v>0</v>
      </c>
      <c r="AH226" s="16">
        <v>0</v>
      </c>
      <c r="AI226" s="16">
        <v>6630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f t="shared" si="275"/>
        <v>0</v>
      </c>
      <c r="BB226" s="16">
        <f t="shared" si="276"/>
        <v>0</v>
      </c>
      <c r="BC226" s="16">
        <v>0</v>
      </c>
      <c r="BD226" s="16">
        <v>0</v>
      </c>
      <c r="BE226" s="16">
        <v>0</v>
      </c>
      <c r="BF226" s="16">
        <f t="shared" ref="BF226:BF236" si="283">SUM(BG226:BH226)</f>
        <v>0</v>
      </c>
      <c r="BG226" s="16">
        <v>0</v>
      </c>
      <c r="BH226" s="16">
        <v>0</v>
      </c>
      <c r="BI226" s="16">
        <v>0</v>
      </c>
      <c r="BJ226" s="16">
        <v>0</v>
      </c>
      <c r="BK226" s="16">
        <f t="shared" si="259"/>
        <v>0</v>
      </c>
      <c r="BL226" s="16">
        <v>0</v>
      </c>
      <c r="BM226" s="16">
        <f t="shared" ref="BM226:BM236" si="284">SUM(BN226:BX226)</f>
        <v>0</v>
      </c>
      <c r="BN226" s="16">
        <v>0</v>
      </c>
      <c r="BO226" s="16">
        <v>0</v>
      </c>
      <c r="BP226" s="16">
        <v>0</v>
      </c>
      <c r="BQ226" s="16">
        <v>0</v>
      </c>
      <c r="BR226" s="16">
        <v>0</v>
      </c>
      <c r="BS226" s="16">
        <v>0</v>
      </c>
      <c r="BT226" s="16">
        <v>0</v>
      </c>
      <c r="BU226" s="16">
        <v>0</v>
      </c>
      <c r="BV226" s="16">
        <v>0</v>
      </c>
      <c r="BW226" s="16">
        <v>0</v>
      </c>
      <c r="BX226" s="16">
        <v>0</v>
      </c>
      <c r="BY226" s="16">
        <f t="shared" si="277"/>
        <v>0</v>
      </c>
      <c r="BZ226" s="16">
        <f t="shared" si="278"/>
        <v>0</v>
      </c>
      <c r="CA226" s="16">
        <f t="shared" ref="CA226:CA236" si="285">SUM(CB226:CC226)</f>
        <v>0</v>
      </c>
      <c r="CB226" s="16">
        <v>0</v>
      </c>
      <c r="CC226" s="16">
        <v>0</v>
      </c>
      <c r="CD226" s="16">
        <f t="shared" ref="CD226:CD236" si="286">SUM(CE226:CI226)</f>
        <v>0</v>
      </c>
      <c r="CE226" s="16">
        <v>0</v>
      </c>
      <c r="CF226" s="16">
        <v>0</v>
      </c>
      <c r="CG226" s="16">
        <v>0</v>
      </c>
      <c r="CH226" s="16">
        <v>0</v>
      </c>
      <c r="CI226" s="16">
        <v>0</v>
      </c>
      <c r="CJ226" s="16">
        <v>0</v>
      </c>
      <c r="CK226" s="16">
        <f t="shared" ref="CK226:CK236" si="287">SUM(CL226:CP226)</f>
        <v>0</v>
      </c>
      <c r="CL226" s="16">
        <v>0</v>
      </c>
      <c r="CM226" s="16">
        <v>0</v>
      </c>
      <c r="CN226" s="16">
        <v>0</v>
      </c>
      <c r="CO226" s="16">
        <v>0</v>
      </c>
      <c r="CP226" s="16">
        <v>0</v>
      </c>
      <c r="CQ226" s="16">
        <v>0</v>
      </c>
      <c r="CR226" s="16">
        <v>0</v>
      </c>
      <c r="CS226" s="16">
        <v>0</v>
      </c>
      <c r="CT226" s="16">
        <f t="shared" si="264"/>
        <v>0</v>
      </c>
      <c r="CU226" s="16">
        <f t="shared" ref="CU226:CU236" si="288">SUM(CV226:CW226)</f>
        <v>0</v>
      </c>
      <c r="CV226" s="16">
        <v>0</v>
      </c>
      <c r="CW226" s="17">
        <v>0</v>
      </c>
      <c r="CX226" s="40"/>
    </row>
    <row r="227" spans="1:102" ht="31.5" hidden="1" x14ac:dyDescent="0.25">
      <c r="A227" s="13" t="s">
        <v>1</v>
      </c>
      <c r="B227" s="14" t="s">
        <v>1</v>
      </c>
      <c r="C227" s="14" t="s">
        <v>23</v>
      </c>
      <c r="D227" s="30" t="s">
        <v>504</v>
      </c>
      <c r="E227" s="15">
        <f t="shared" si="270"/>
        <v>0</v>
      </c>
      <c r="F227" s="16">
        <f t="shared" si="271"/>
        <v>0</v>
      </c>
      <c r="G227" s="16">
        <f t="shared" si="272"/>
        <v>0</v>
      </c>
      <c r="H227" s="16">
        <v>0</v>
      </c>
      <c r="I227" s="16">
        <v>0</v>
      </c>
      <c r="J227" s="16">
        <f t="shared" si="281"/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f>32507-32507</f>
        <v>0</v>
      </c>
      <c r="Q227" s="16">
        <f t="shared" si="282"/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f t="shared" si="273"/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f t="shared" si="274"/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0</v>
      </c>
      <c r="BA227" s="16">
        <f t="shared" si="275"/>
        <v>0</v>
      </c>
      <c r="BB227" s="16">
        <f t="shared" si="276"/>
        <v>0</v>
      </c>
      <c r="BC227" s="16">
        <v>0</v>
      </c>
      <c r="BD227" s="16">
        <v>0</v>
      </c>
      <c r="BE227" s="16">
        <v>0</v>
      </c>
      <c r="BF227" s="16">
        <f t="shared" si="283"/>
        <v>0</v>
      </c>
      <c r="BG227" s="16">
        <v>0</v>
      </c>
      <c r="BH227" s="16">
        <v>0</v>
      </c>
      <c r="BI227" s="16">
        <v>0</v>
      </c>
      <c r="BJ227" s="16">
        <v>0</v>
      </c>
      <c r="BK227" s="16">
        <f t="shared" si="259"/>
        <v>0</v>
      </c>
      <c r="BL227" s="16">
        <v>0</v>
      </c>
      <c r="BM227" s="16">
        <f t="shared" si="284"/>
        <v>0</v>
      </c>
      <c r="BN227" s="16">
        <v>0</v>
      </c>
      <c r="BO227" s="16">
        <v>0</v>
      </c>
      <c r="BP227" s="16">
        <v>0</v>
      </c>
      <c r="BQ227" s="16">
        <v>0</v>
      </c>
      <c r="BR227" s="16">
        <v>0</v>
      </c>
      <c r="BS227" s="16">
        <v>0</v>
      </c>
      <c r="BT227" s="16">
        <v>0</v>
      </c>
      <c r="BU227" s="16">
        <v>0</v>
      </c>
      <c r="BV227" s="16">
        <v>0</v>
      </c>
      <c r="BW227" s="16">
        <v>0</v>
      </c>
      <c r="BX227" s="16">
        <v>0</v>
      </c>
      <c r="BY227" s="16">
        <f t="shared" si="277"/>
        <v>0</v>
      </c>
      <c r="BZ227" s="16">
        <f t="shared" si="278"/>
        <v>0</v>
      </c>
      <c r="CA227" s="16">
        <f t="shared" si="285"/>
        <v>0</v>
      </c>
      <c r="CB227" s="16">
        <v>0</v>
      </c>
      <c r="CC227" s="16">
        <v>0</v>
      </c>
      <c r="CD227" s="16">
        <f t="shared" si="286"/>
        <v>0</v>
      </c>
      <c r="CE227" s="16">
        <v>0</v>
      </c>
      <c r="CF227" s="16">
        <v>0</v>
      </c>
      <c r="CG227" s="16">
        <v>0</v>
      </c>
      <c r="CH227" s="16">
        <v>0</v>
      </c>
      <c r="CI227" s="16">
        <v>0</v>
      </c>
      <c r="CJ227" s="16">
        <v>0</v>
      </c>
      <c r="CK227" s="16">
        <f t="shared" si="287"/>
        <v>0</v>
      </c>
      <c r="CL227" s="16">
        <v>0</v>
      </c>
      <c r="CM227" s="16">
        <v>0</v>
      </c>
      <c r="CN227" s="16">
        <v>0</v>
      </c>
      <c r="CO227" s="16">
        <v>0</v>
      </c>
      <c r="CP227" s="16">
        <v>0</v>
      </c>
      <c r="CQ227" s="16">
        <v>0</v>
      </c>
      <c r="CR227" s="16">
        <v>0</v>
      </c>
      <c r="CS227" s="16">
        <v>0</v>
      </c>
      <c r="CT227" s="16">
        <f t="shared" si="264"/>
        <v>0</v>
      </c>
      <c r="CU227" s="16">
        <f t="shared" si="288"/>
        <v>0</v>
      </c>
      <c r="CV227" s="16">
        <v>0</v>
      </c>
      <c r="CW227" s="17">
        <v>0</v>
      </c>
      <c r="CX227" s="40"/>
    </row>
    <row r="228" spans="1:102" ht="31.5" hidden="1" x14ac:dyDescent="0.25">
      <c r="A228" s="13" t="s">
        <v>1</v>
      </c>
      <c r="B228" s="14" t="s">
        <v>1</v>
      </c>
      <c r="C228" s="14" t="s">
        <v>23</v>
      </c>
      <c r="D228" s="30" t="s">
        <v>265</v>
      </c>
      <c r="E228" s="15">
        <f t="shared" si="270"/>
        <v>1015600</v>
      </c>
      <c r="F228" s="16">
        <f t="shared" si="271"/>
        <v>1015600</v>
      </c>
      <c r="G228" s="16">
        <f t="shared" si="272"/>
        <v>1015600</v>
      </c>
      <c r="H228" s="16">
        <v>0</v>
      </c>
      <c r="I228" s="16">
        <v>0</v>
      </c>
      <c r="J228" s="16">
        <f t="shared" si="281"/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f t="shared" si="282"/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f t="shared" si="273"/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f t="shared" si="274"/>
        <v>1015600</v>
      </c>
      <c r="AF228" s="16">
        <v>0</v>
      </c>
      <c r="AG228" s="16">
        <v>0</v>
      </c>
      <c r="AH228" s="16">
        <v>0</v>
      </c>
      <c r="AI228" s="16">
        <v>0</v>
      </c>
      <c r="AJ228" s="16">
        <v>1015600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16">
        <v>0</v>
      </c>
      <c r="AU228" s="16">
        <v>0</v>
      </c>
      <c r="AV228" s="16">
        <v>0</v>
      </c>
      <c r="AW228" s="16">
        <v>0</v>
      </c>
      <c r="AX228" s="16">
        <v>0</v>
      </c>
      <c r="AY228" s="16">
        <v>0</v>
      </c>
      <c r="AZ228" s="16">
        <v>0</v>
      </c>
      <c r="BA228" s="16">
        <f t="shared" si="275"/>
        <v>0</v>
      </c>
      <c r="BB228" s="16">
        <f t="shared" si="276"/>
        <v>0</v>
      </c>
      <c r="BC228" s="16">
        <v>0</v>
      </c>
      <c r="BD228" s="16">
        <v>0</v>
      </c>
      <c r="BE228" s="16">
        <v>0</v>
      </c>
      <c r="BF228" s="16">
        <f t="shared" si="283"/>
        <v>0</v>
      </c>
      <c r="BG228" s="16">
        <v>0</v>
      </c>
      <c r="BH228" s="16">
        <v>0</v>
      </c>
      <c r="BI228" s="16">
        <v>0</v>
      </c>
      <c r="BJ228" s="16">
        <v>0</v>
      </c>
      <c r="BK228" s="16">
        <f t="shared" si="259"/>
        <v>0</v>
      </c>
      <c r="BL228" s="16">
        <v>0</v>
      </c>
      <c r="BM228" s="16">
        <f t="shared" si="284"/>
        <v>0</v>
      </c>
      <c r="BN228" s="16">
        <v>0</v>
      </c>
      <c r="BO228" s="16">
        <v>0</v>
      </c>
      <c r="BP228" s="16">
        <v>0</v>
      </c>
      <c r="BQ228" s="16">
        <v>0</v>
      </c>
      <c r="BR228" s="16">
        <v>0</v>
      </c>
      <c r="BS228" s="16">
        <v>0</v>
      </c>
      <c r="BT228" s="16">
        <v>0</v>
      </c>
      <c r="BU228" s="16">
        <v>0</v>
      </c>
      <c r="BV228" s="16">
        <v>0</v>
      </c>
      <c r="BW228" s="16">
        <v>0</v>
      </c>
      <c r="BX228" s="16">
        <v>0</v>
      </c>
      <c r="BY228" s="16">
        <f t="shared" si="277"/>
        <v>0</v>
      </c>
      <c r="BZ228" s="16">
        <f t="shared" si="278"/>
        <v>0</v>
      </c>
      <c r="CA228" s="16">
        <f t="shared" si="285"/>
        <v>0</v>
      </c>
      <c r="CB228" s="16">
        <v>0</v>
      </c>
      <c r="CC228" s="16">
        <v>0</v>
      </c>
      <c r="CD228" s="16">
        <f t="shared" si="286"/>
        <v>0</v>
      </c>
      <c r="CE228" s="16">
        <v>0</v>
      </c>
      <c r="CF228" s="16">
        <v>0</v>
      </c>
      <c r="CG228" s="16">
        <v>0</v>
      </c>
      <c r="CH228" s="16">
        <v>0</v>
      </c>
      <c r="CI228" s="16">
        <v>0</v>
      </c>
      <c r="CJ228" s="16">
        <v>0</v>
      </c>
      <c r="CK228" s="16">
        <f t="shared" si="287"/>
        <v>0</v>
      </c>
      <c r="CL228" s="16">
        <v>0</v>
      </c>
      <c r="CM228" s="16">
        <v>0</v>
      </c>
      <c r="CN228" s="16">
        <v>0</v>
      </c>
      <c r="CO228" s="16">
        <v>0</v>
      </c>
      <c r="CP228" s="16">
        <v>0</v>
      </c>
      <c r="CQ228" s="16">
        <v>0</v>
      </c>
      <c r="CR228" s="16">
        <v>0</v>
      </c>
      <c r="CS228" s="16">
        <v>0</v>
      </c>
      <c r="CT228" s="16">
        <f t="shared" si="264"/>
        <v>0</v>
      </c>
      <c r="CU228" s="16">
        <f t="shared" si="288"/>
        <v>0</v>
      </c>
      <c r="CV228" s="16">
        <v>0</v>
      </c>
      <c r="CW228" s="17">
        <v>0</v>
      </c>
      <c r="CX228" s="40"/>
    </row>
    <row r="229" spans="1:102" ht="31.5" hidden="1" x14ac:dyDescent="0.25">
      <c r="A229" s="13" t="s">
        <v>1</v>
      </c>
      <c r="B229" s="14" t="s">
        <v>1</v>
      </c>
      <c r="C229" s="14" t="s">
        <v>29</v>
      </c>
      <c r="D229" s="30" t="s">
        <v>270</v>
      </c>
      <c r="E229" s="15">
        <f t="shared" si="270"/>
        <v>2000000</v>
      </c>
      <c r="F229" s="16">
        <f t="shared" si="271"/>
        <v>2000000</v>
      </c>
      <c r="G229" s="16">
        <f t="shared" si="272"/>
        <v>2000000</v>
      </c>
      <c r="H229" s="16">
        <v>0</v>
      </c>
      <c r="I229" s="16">
        <v>0</v>
      </c>
      <c r="J229" s="16">
        <f t="shared" si="281"/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f t="shared" si="282"/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f t="shared" si="273"/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f t="shared" si="274"/>
        <v>2000000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2000000</v>
      </c>
      <c r="BA229" s="16">
        <f t="shared" si="275"/>
        <v>0</v>
      </c>
      <c r="BB229" s="16">
        <f t="shared" si="276"/>
        <v>0</v>
      </c>
      <c r="BC229" s="16">
        <v>0</v>
      </c>
      <c r="BD229" s="16">
        <v>0</v>
      </c>
      <c r="BE229" s="16">
        <v>0</v>
      </c>
      <c r="BF229" s="16">
        <f t="shared" si="283"/>
        <v>0</v>
      </c>
      <c r="BG229" s="16">
        <v>0</v>
      </c>
      <c r="BH229" s="16">
        <v>0</v>
      </c>
      <c r="BI229" s="16">
        <v>0</v>
      </c>
      <c r="BJ229" s="16">
        <v>0</v>
      </c>
      <c r="BK229" s="16">
        <f t="shared" si="259"/>
        <v>0</v>
      </c>
      <c r="BL229" s="16">
        <v>0</v>
      </c>
      <c r="BM229" s="16">
        <f t="shared" si="284"/>
        <v>0</v>
      </c>
      <c r="BN229" s="16">
        <v>0</v>
      </c>
      <c r="BO229" s="16">
        <v>0</v>
      </c>
      <c r="BP229" s="16">
        <v>0</v>
      </c>
      <c r="BQ229" s="16">
        <v>0</v>
      </c>
      <c r="BR229" s="16">
        <v>0</v>
      </c>
      <c r="BS229" s="16">
        <v>0</v>
      </c>
      <c r="BT229" s="16">
        <v>0</v>
      </c>
      <c r="BU229" s="16">
        <v>0</v>
      </c>
      <c r="BV229" s="16">
        <v>0</v>
      </c>
      <c r="BW229" s="16">
        <v>0</v>
      </c>
      <c r="BX229" s="16">
        <v>0</v>
      </c>
      <c r="BY229" s="16">
        <f t="shared" si="277"/>
        <v>0</v>
      </c>
      <c r="BZ229" s="16">
        <f t="shared" si="278"/>
        <v>0</v>
      </c>
      <c r="CA229" s="16">
        <f t="shared" si="285"/>
        <v>0</v>
      </c>
      <c r="CB229" s="16">
        <v>0</v>
      </c>
      <c r="CC229" s="16">
        <v>0</v>
      </c>
      <c r="CD229" s="16">
        <f t="shared" si="286"/>
        <v>0</v>
      </c>
      <c r="CE229" s="16">
        <v>0</v>
      </c>
      <c r="CF229" s="16">
        <v>0</v>
      </c>
      <c r="CG229" s="16">
        <v>0</v>
      </c>
      <c r="CH229" s="16">
        <v>0</v>
      </c>
      <c r="CI229" s="16">
        <v>0</v>
      </c>
      <c r="CJ229" s="16">
        <v>0</v>
      </c>
      <c r="CK229" s="16">
        <f t="shared" si="287"/>
        <v>0</v>
      </c>
      <c r="CL229" s="16">
        <v>0</v>
      </c>
      <c r="CM229" s="16">
        <v>0</v>
      </c>
      <c r="CN229" s="16">
        <v>0</v>
      </c>
      <c r="CO229" s="16">
        <v>0</v>
      </c>
      <c r="CP229" s="16">
        <v>0</v>
      </c>
      <c r="CQ229" s="16">
        <v>0</v>
      </c>
      <c r="CR229" s="16">
        <v>0</v>
      </c>
      <c r="CS229" s="16">
        <v>0</v>
      </c>
      <c r="CT229" s="16">
        <f t="shared" si="264"/>
        <v>0</v>
      </c>
      <c r="CU229" s="16">
        <f t="shared" si="288"/>
        <v>0</v>
      </c>
      <c r="CV229" s="16">
        <v>0</v>
      </c>
      <c r="CW229" s="17">
        <v>0</v>
      </c>
      <c r="CX229" s="40"/>
    </row>
    <row r="230" spans="1:102" s="49" customFormat="1" ht="31.5" hidden="1" x14ac:dyDescent="0.25">
      <c r="A230" s="42"/>
      <c r="B230" s="43"/>
      <c r="C230" s="44" t="s">
        <v>29</v>
      </c>
      <c r="D230" s="45" t="s">
        <v>557</v>
      </c>
      <c r="E230" s="46">
        <f t="shared" si="270"/>
        <v>1000000</v>
      </c>
      <c r="F230" s="41">
        <f t="shared" si="271"/>
        <v>1000000</v>
      </c>
      <c r="G230" s="41">
        <f t="shared" si="272"/>
        <v>1000000</v>
      </c>
      <c r="H230" s="41"/>
      <c r="I230" s="41"/>
      <c r="J230" s="41">
        <f t="shared" si="281"/>
        <v>0</v>
      </c>
      <c r="K230" s="41">
        <v>0</v>
      </c>
      <c r="L230" s="41"/>
      <c r="M230" s="41">
        <v>0</v>
      </c>
      <c r="N230" s="41">
        <v>0</v>
      </c>
      <c r="O230" s="41"/>
      <c r="P230" s="41"/>
      <c r="Q230" s="41">
        <f t="shared" si="282"/>
        <v>0</v>
      </c>
      <c r="R230" s="41"/>
      <c r="S230" s="41"/>
      <c r="T230" s="41">
        <v>0</v>
      </c>
      <c r="U230" s="41"/>
      <c r="V230" s="41">
        <f t="shared" si="273"/>
        <v>0</v>
      </c>
      <c r="W230" s="41"/>
      <c r="X230" s="41"/>
      <c r="Y230" s="41"/>
      <c r="Z230" s="41"/>
      <c r="AA230" s="41"/>
      <c r="AB230" s="41">
        <v>0</v>
      </c>
      <c r="AC230" s="41">
        <v>0</v>
      </c>
      <c r="AD230" s="41"/>
      <c r="AE230" s="41">
        <f>SUM(AF230:AZ230)</f>
        <v>1000000</v>
      </c>
      <c r="AF230" s="41">
        <v>0</v>
      </c>
      <c r="AG230" s="41"/>
      <c r="AH230" s="41"/>
      <c r="AI230" s="41">
        <v>0</v>
      </c>
      <c r="AJ230" s="41"/>
      <c r="AK230" s="41"/>
      <c r="AL230" s="41"/>
      <c r="AM230" s="41"/>
      <c r="AN230" s="41"/>
      <c r="AO230" s="41"/>
      <c r="AP230" s="41"/>
      <c r="AQ230" s="41">
        <v>0</v>
      </c>
      <c r="AR230" s="41">
        <v>0</v>
      </c>
      <c r="AS230" s="41"/>
      <c r="AT230" s="41">
        <v>0</v>
      </c>
      <c r="AU230" s="41">
        <v>0</v>
      </c>
      <c r="AV230" s="41">
        <v>0</v>
      </c>
      <c r="AW230" s="41">
        <v>0</v>
      </c>
      <c r="AX230" s="41">
        <v>0</v>
      </c>
      <c r="AY230" s="41"/>
      <c r="AZ230" s="41">
        <f>0+1000000</f>
        <v>1000000</v>
      </c>
      <c r="BA230" s="41">
        <f t="shared" si="275"/>
        <v>0</v>
      </c>
      <c r="BB230" s="41">
        <f t="shared" si="276"/>
        <v>0</v>
      </c>
      <c r="BC230" s="41">
        <v>0</v>
      </c>
      <c r="BD230" s="41">
        <v>0</v>
      </c>
      <c r="BE230" s="41">
        <v>0</v>
      </c>
      <c r="BF230" s="41">
        <f t="shared" si="283"/>
        <v>0</v>
      </c>
      <c r="BG230" s="41">
        <v>0</v>
      </c>
      <c r="BH230" s="41">
        <v>0</v>
      </c>
      <c r="BI230" s="41">
        <v>0</v>
      </c>
      <c r="BJ230" s="41">
        <v>0</v>
      </c>
      <c r="BK230" s="41">
        <f t="shared" si="259"/>
        <v>0</v>
      </c>
      <c r="BL230" s="41">
        <v>0</v>
      </c>
      <c r="BM230" s="41">
        <f t="shared" si="284"/>
        <v>0</v>
      </c>
      <c r="BN230" s="41">
        <v>0</v>
      </c>
      <c r="BO230" s="41">
        <v>0</v>
      </c>
      <c r="BP230" s="41">
        <v>0</v>
      </c>
      <c r="BQ230" s="41">
        <v>0</v>
      </c>
      <c r="BR230" s="41">
        <v>0</v>
      </c>
      <c r="BS230" s="41">
        <v>0</v>
      </c>
      <c r="BT230" s="41">
        <v>0</v>
      </c>
      <c r="BU230" s="41">
        <v>0</v>
      </c>
      <c r="BV230" s="41">
        <v>0</v>
      </c>
      <c r="BW230" s="41"/>
      <c r="BX230" s="41">
        <v>0</v>
      </c>
      <c r="BY230" s="41">
        <f t="shared" si="277"/>
        <v>0</v>
      </c>
      <c r="BZ230" s="41">
        <f t="shared" si="278"/>
        <v>0</v>
      </c>
      <c r="CA230" s="41">
        <f t="shared" si="285"/>
        <v>0</v>
      </c>
      <c r="CB230" s="41">
        <v>0</v>
      </c>
      <c r="CC230" s="41"/>
      <c r="CD230" s="41">
        <f t="shared" si="286"/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f t="shared" si="287"/>
        <v>0</v>
      </c>
      <c r="CL230" s="41">
        <v>0</v>
      </c>
      <c r="CM230" s="41">
        <v>0</v>
      </c>
      <c r="CN230" s="41">
        <v>0</v>
      </c>
      <c r="CO230" s="41"/>
      <c r="CP230" s="41">
        <v>0</v>
      </c>
      <c r="CQ230" s="41">
        <f>SUM(CR230)</f>
        <v>0</v>
      </c>
      <c r="CR230" s="41"/>
      <c r="CS230" s="41">
        <v>0</v>
      </c>
      <c r="CT230" s="41">
        <f t="shared" ref="CT230" si="289">SUM(CU230)</f>
        <v>0</v>
      </c>
      <c r="CU230" s="41">
        <f t="shared" si="288"/>
        <v>0</v>
      </c>
      <c r="CV230" s="41">
        <v>0</v>
      </c>
      <c r="CW230" s="47">
        <v>0</v>
      </c>
      <c r="CX230" s="48"/>
    </row>
    <row r="231" spans="1:102" s="49" customFormat="1" ht="31.5" hidden="1" x14ac:dyDescent="0.25">
      <c r="A231" s="42" t="s">
        <v>1</v>
      </c>
      <c r="B231" s="43" t="s">
        <v>1</v>
      </c>
      <c r="C231" s="43" t="s">
        <v>287</v>
      </c>
      <c r="D231" s="50" t="s">
        <v>505</v>
      </c>
      <c r="E231" s="46">
        <f t="shared" si="270"/>
        <v>0</v>
      </c>
      <c r="F231" s="41">
        <f t="shared" si="271"/>
        <v>0</v>
      </c>
      <c r="G231" s="41">
        <f t="shared" si="272"/>
        <v>0</v>
      </c>
      <c r="H231" s="41">
        <v>0</v>
      </c>
      <c r="I231" s="41">
        <v>0</v>
      </c>
      <c r="J231" s="41">
        <f t="shared" si="281"/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f t="shared" si="282"/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f t="shared" si="273"/>
        <v>0</v>
      </c>
      <c r="W231" s="41">
        <v>0</v>
      </c>
      <c r="X231" s="41">
        <v>0</v>
      </c>
      <c r="Y231" s="41">
        <v>0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f t="shared" si="274"/>
        <v>0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0</v>
      </c>
      <c r="AR231" s="41">
        <v>0</v>
      </c>
      <c r="AS231" s="41">
        <v>0</v>
      </c>
      <c r="AT231" s="41">
        <v>0</v>
      </c>
      <c r="AU231" s="41">
        <v>0</v>
      </c>
      <c r="AV231" s="41">
        <v>0</v>
      </c>
      <c r="AW231" s="41">
        <v>0</v>
      </c>
      <c r="AX231" s="41">
        <v>0</v>
      </c>
      <c r="AY231" s="41">
        <v>0</v>
      </c>
      <c r="AZ231" s="41">
        <v>0</v>
      </c>
      <c r="BA231" s="41">
        <f t="shared" si="275"/>
        <v>0</v>
      </c>
      <c r="BB231" s="41">
        <f t="shared" si="276"/>
        <v>0</v>
      </c>
      <c r="BC231" s="41">
        <v>0</v>
      </c>
      <c r="BD231" s="41">
        <v>0</v>
      </c>
      <c r="BE231" s="41">
        <v>0</v>
      </c>
      <c r="BF231" s="41">
        <f t="shared" si="283"/>
        <v>0</v>
      </c>
      <c r="BG231" s="41">
        <v>0</v>
      </c>
      <c r="BH231" s="41">
        <v>0</v>
      </c>
      <c r="BI231" s="41">
        <v>0</v>
      </c>
      <c r="BJ231" s="41">
        <v>0</v>
      </c>
      <c r="BK231" s="41">
        <f t="shared" si="259"/>
        <v>0</v>
      </c>
      <c r="BL231" s="41">
        <v>0</v>
      </c>
      <c r="BM231" s="41">
        <f t="shared" si="284"/>
        <v>0</v>
      </c>
      <c r="BN231" s="41">
        <v>0</v>
      </c>
      <c r="BO231" s="41">
        <v>0</v>
      </c>
      <c r="BP231" s="41">
        <v>0</v>
      </c>
      <c r="BQ231" s="41">
        <v>0</v>
      </c>
      <c r="BR231" s="41">
        <v>0</v>
      </c>
      <c r="BS231" s="41">
        <v>0</v>
      </c>
      <c r="BT231" s="41">
        <v>0</v>
      </c>
      <c r="BU231" s="41">
        <v>0</v>
      </c>
      <c r="BV231" s="41">
        <v>0</v>
      </c>
      <c r="BW231" s="41">
        <v>0</v>
      </c>
      <c r="BX231" s="41">
        <v>0</v>
      </c>
      <c r="BY231" s="41">
        <f t="shared" si="277"/>
        <v>0</v>
      </c>
      <c r="BZ231" s="41">
        <f t="shared" si="278"/>
        <v>0</v>
      </c>
      <c r="CA231" s="41">
        <f t="shared" si="285"/>
        <v>0</v>
      </c>
      <c r="CB231" s="41">
        <v>0</v>
      </c>
      <c r="CC231" s="41">
        <f>352055-352055</f>
        <v>0</v>
      </c>
      <c r="CD231" s="41">
        <f t="shared" si="286"/>
        <v>0</v>
      </c>
      <c r="CE231" s="41">
        <v>0</v>
      </c>
      <c r="CF231" s="41">
        <v>0</v>
      </c>
      <c r="CG231" s="41">
        <v>0</v>
      </c>
      <c r="CH231" s="41">
        <v>0</v>
      </c>
      <c r="CI231" s="41">
        <v>0</v>
      </c>
      <c r="CJ231" s="41">
        <v>0</v>
      </c>
      <c r="CK231" s="41">
        <f t="shared" si="287"/>
        <v>0</v>
      </c>
      <c r="CL231" s="41">
        <v>0</v>
      </c>
      <c r="CM231" s="41">
        <v>0</v>
      </c>
      <c r="CN231" s="41">
        <v>0</v>
      </c>
      <c r="CO231" s="41">
        <v>0</v>
      </c>
      <c r="CP231" s="41">
        <v>0</v>
      </c>
      <c r="CQ231" s="41">
        <v>0</v>
      </c>
      <c r="CR231" s="41">
        <v>0</v>
      </c>
      <c r="CS231" s="41">
        <v>0</v>
      </c>
      <c r="CT231" s="41">
        <f t="shared" si="264"/>
        <v>0</v>
      </c>
      <c r="CU231" s="41">
        <f t="shared" si="288"/>
        <v>0</v>
      </c>
      <c r="CV231" s="41">
        <v>0</v>
      </c>
      <c r="CW231" s="47">
        <v>0</v>
      </c>
      <c r="CX231" s="48"/>
    </row>
    <row r="232" spans="1:102" s="49" customFormat="1" ht="31.5" hidden="1" x14ac:dyDescent="0.25">
      <c r="A232" s="42" t="s">
        <v>1</v>
      </c>
      <c r="B232" s="43" t="s">
        <v>1</v>
      </c>
      <c r="C232" s="43" t="s">
        <v>287</v>
      </c>
      <c r="D232" s="50" t="s">
        <v>506</v>
      </c>
      <c r="E232" s="46">
        <f t="shared" si="270"/>
        <v>0</v>
      </c>
      <c r="F232" s="41">
        <f t="shared" si="271"/>
        <v>0</v>
      </c>
      <c r="G232" s="41">
        <f t="shared" si="272"/>
        <v>0</v>
      </c>
      <c r="H232" s="41">
        <v>0</v>
      </c>
      <c r="I232" s="41">
        <v>0</v>
      </c>
      <c r="J232" s="41">
        <f t="shared" si="281"/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f t="shared" si="282"/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f t="shared" si="273"/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f t="shared" si="274"/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0</v>
      </c>
      <c r="AX232" s="41">
        <v>0</v>
      </c>
      <c r="AY232" s="41">
        <v>0</v>
      </c>
      <c r="AZ232" s="41">
        <v>0</v>
      </c>
      <c r="BA232" s="41">
        <f t="shared" si="275"/>
        <v>0</v>
      </c>
      <c r="BB232" s="41">
        <f t="shared" si="276"/>
        <v>0</v>
      </c>
      <c r="BC232" s="41">
        <v>0</v>
      </c>
      <c r="BD232" s="41">
        <v>0</v>
      </c>
      <c r="BE232" s="41">
        <v>0</v>
      </c>
      <c r="BF232" s="41">
        <f t="shared" si="283"/>
        <v>0</v>
      </c>
      <c r="BG232" s="41">
        <v>0</v>
      </c>
      <c r="BH232" s="41">
        <v>0</v>
      </c>
      <c r="BI232" s="41">
        <v>0</v>
      </c>
      <c r="BJ232" s="41">
        <v>0</v>
      </c>
      <c r="BK232" s="41">
        <f t="shared" si="259"/>
        <v>0</v>
      </c>
      <c r="BL232" s="41">
        <v>0</v>
      </c>
      <c r="BM232" s="41">
        <f t="shared" si="284"/>
        <v>0</v>
      </c>
      <c r="BN232" s="41">
        <v>0</v>
      </c>
      <c r="BO232" s="41">
        <v>0</v>
      </c>
      <c r="BP232" s="41">
        <v>0</v>
      </c>
      <c r="BQ232" s="41">
        <v>0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0</v>
      </c>
      <c r="BY232" s="41">
        <f t="shared" si="277"/>
        <v>0</v>
      </c>
      <c r="BZ232" s="41">
        <f t="shared" si="278"/>
        <v>0</v>
      </c>
      <c r="CA232" s="41">
        <f t="shared" si="285"/>
        <v>0</v>
      </c>
      <c r="CB232" s="41">
        <v>0</v>
      </c>
      <c r="CC232" s="41">
        <f>183254-183254</f>
        <v>0</v>
      </c>
      <c r="CD232" s="41">
        <f t="shared" si="286"/>
        <v>0</v>
      </c>
      <c r="CE232" s="41">
        <v>0</v>
      </c>
      <c r="CF232" s="41">
        <v>0</v>
      </c>
      <c r="CG232" s="41">
        <v>0</v>
      </c>
      <c r="CH232" s="41">
        <v>0</v>
      </c>
      <c r="CI232" s="41">
        <v>0</v>
      </c>
      <c r="CJ232" s="41">
        <v>0</v>
      </c>
      <c r="CK232" s="41">
        <f t="shared" si="287"/>
        <v>0</v>
      </c>
      <c r="CL232" s="41">
        <v>0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f t="shared" si="264"/>
        <v>0</v>
      </c>
      <c r="CU232" s="41">
        <f t="shared" si="288"/>
        <v>0</v>
      </c>
      <c r="CV232" s="41">
        <v>0</v>
      </c>
      <c r="CW232" s="47">
        <v>0</v>
      </c>
      <c r="CX232" s="48"/>
    </row>
    <row r="233" spans="1:102" s="49" customFormat="1" ht="31.5" hidden="1" x14ac:dyDescent="0.25">
      <c r="A233" s="42" t="s">
        <v>1</v>
      </c>
      <c r="B233" s="43" t="s">
        <v>1</v>
      </c>
      <c r="C233" s="43" t="s">
        <v>43</v>
      </c>
      <c r="D233" s="50" t="s">
        <v>508</v>
      </c>
      <c r="E233" s="46">
        <f t="shared" si="270"/>
        <v>4214513</v>
      </c>
      <c r="F233" s="41">
        <f t="shared" si="271"/>
        <v>4214513</v>
      </c>
      <c r="G233" s="41">
        <f t="shared" si="272"/>
        <v>0</v>
      </c>
      <c r="H233" s="41">
        <v>0</v>
      </c>
      <c r="I233" s="41">
        <v>0</v>
      </c>
      <c r="J233" s="41">
        <f t="shared" si="281"/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f t="shared" si="282"/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f t="shared" si="273"/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f t="shared" si="274"/>
        <v>0</v>
      </c>
      <c r="AF233" s="41">
        <v>0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0</v>
      </c>
      <c r="AR233" s="41">
        <v>0</v>
      </c>
      <c r="AS233" s="41">
        <v>0</v>
      </c>
      <c r="AT233" s="41">
        <v>0</v>
      </c>
      <c r="AU233" s="41">
        <v>0</v>
      </c>
      <c r="AV233" s="41">
        <v>0</v>
      </c>
      <c r="AW233" s="41">
        <v>0</v>
      </c>
      <c r="AX233" s="41">
        <v>0</v>
      </c>
      <c r="AY233" s="41">
        <v>0</v>
      </c>
      <c r="AZ233" s="41">
        <v>0</v>
      </c>
      <c r="BA233" s="41">
        <f t="shared" si="275"/>
        <v>4214513</v>
      </c>
      <c r="BB233" s="41">
        <f t="shared" si="276"/>
        <v>0</v>
      </c>
      <c r="BC233" s="41">
        <v>0</v>
      </c>
      <c r="BD233" s="41">
        <v>0</v>
      </c>
      <c r="BE233" s="41">
        <v>0</v>
      </c>
      <c r="BF233" s="41">
        <f t="shared" si="283"/>
        <v>0</v>
      </c>
      <c r="BG233" s="41">
        <v>0</v>
      </c>
      <c r="BH233" s="41">
        <v>0</v>
      </c>
      <c r="BI233" s="41">
        <f>1770000+2444513</f>
        <v>4214513</v>
      </c>
      <c r="BJ233" s="41">
        <f>1770000+2444513</f>
        <v>4214513</v>
      </c>
      <c r="BK233" s="41">
        <f t="shared" si="259"/>
        <v>0</v>
      </c>
      <c r="BL233" s="41">
        <v>0</v>
      </c>
      <c r="BM233" s="41">
        <f t="shared" si="284"/>
        <v>0</v>
      </c>
      <c r="BN233" s="41">
        <v>0</v>
      </c>
      <c r="BO233" s="41">
        <v>0</v>
      </c>
      <c r="BP233" s="41">
        <v>0</v>
      </c>
      <c r="BQ233" s="41">
        <v>0</v>
      </c>
      <c r="BR233" s="41">
        <v>0</v>
      </c>
      <c r="BS233" s="41">
        <v>0</v>
      </c>
      <c r="BT233" s="41">
        <v>0</v>
      </c>
      <c r="BU233" s="41">
        <v>0</v>
      </c>
      <c r="BV233" s="41">
        <v>0</v>
      </c>
      <c r="BW233" s="41">
        <v>0</v>
      </c>
      <c r="BX233" s="41">
        <v>0</v>
      </c>
      <c r="BY233" s="41">
        <f t="shared" si="277"/>
        <v>0</v>
      </c>
      <c r="BZ233" s="41">
        <f t="shared" si="278"/>
        <v>0</v>
      </c>
      <c r="CA233" s="41">
        <f t="shared" si="285"/>
        <v>0</v>
      </c>
      <c r="CB233" s="41">
        <v>0</v>
      </c>
      <c r="CC233" s="41">
        <v>0</v>
      </c>
      <c r="CD233" s="41">
        <f t="shared" si="286"/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f t="shared" si="287"/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f t="shared" si="264"/>
        <v>0</v>
      </c>
      <c r="CU233" s="41">
        <f t="shared" si="288"/>
        <v>0</v>
      </c>
      <c r="CV233" s="41">
        <v>0</v>
      </c>
      <c r="CW233" s="47">
        <v>0</v>
      </c>
      <c r="CX233" s="48"/>
    </row>
    <row r="234" spans="1:102" s="49" customFormat="1" ht="31.5" hidden="1" x14ac:dyDescent="0.25">
      <c r="A234" s="42"/>
      <c r="B234" s="43"/>
      <c r="C234" s="44" t="s">
        <v>43</v>
      </c>
      <c r="D234" s="45" t="s">
        <v>558</v>
      </c>
      <c r="E234" s="46">
        <f t="shared" si="270"/>
        <v>5549486</v>
      </c>
      <c r="F234" s="41">
        <f t="shared" si="271"/>
        <v>5549486</v>
      </c>
      <c r="G234" s="41">
        <f t="shared" si="272"/>
        <v>5549486</v>
      </c>
      <c r="H234" s="41"/>
      <c r="I234" s="41"/>
      <c r="J234" s="41">
        <f t="shared" si="281"/>
        <v>0</v>
      </c>
      <c r="K234" s="41">
        <v>0</v>
      </c>
      <c r="L234" s="41"/>
      <c r="M234" s="41">
        <v>0</v>
      </c>
      <c r="N234" s="41">
        <v>0</v>
      </c>
      <c r="O234" s="41"/>
      <c r="P234" s="41"/>
      <c r="Q234" s="41">
        <f t="shared" si="282"/>
        <v>0</v>
      </c>
      <c r="R234" s="41"/>
      <c r="S234" s="41"/>
      <c r="T234" s="41">
        <v>0</v>
      </c>
      <c r="U234" s="41"/>
      <c r="V234" s="41">
        <f t="shared" si="273"/>
        <v>0</v>
      </c>
      <c r="W234" s="41"/>
      <c r="X234" s="41"/>
      <c r="Y234" s="41"/>
      <c r="Z234" s="41"/>
      <c r="AA234" s="41"/>
      <c r="AB234" s="41">
        <v>0</v>
      </c>
      <c r="AC234" s="41">
        <v>0</v>
      </c>
      <c r="AD234" s="41"/>
      <c r="AE234" s="41">
        <f>SUM(AF234:AZ234)</f>
        <v>5549486</v>
      </c>
      <c r="AF234" s="41">
        <v>0</v>
      </c>
      <c r="AG234" s="41"/>
      <c r="AH234" s="41"/>
      <c r="AI234" s="41">
        <v>0</v>
      </c>
      <c r="AJ234" s="41"/>
      <c r="AK234" s="41"/>
      <c r="AL234" s="41"/>
      <c r="AM234" s="41"/>
      <c r="AN234" s="41"/>
      <c r="AO234" s="41"/>
      <c r="AP234" s="41"/>
      <c r="AQ234" s="41">
        <v>0</v>
      </c>
      <c r="AR234" s="41">
        <v>0</v>
      </c>
      <c r="AS234" s="41"/>
      <c r="AT234" s="41">
        <v>0</v>
      </c>
      <c r="AU234" s="41">
        <v>0</v>
      </c>
      <c r="AV234" s="41">
        <v>0</v>
      </c>
      <c r="AW234" s="41">
        <v>0</v>
      </c>
      <c r="AX234" s="41">
        <v>0</v>
      </c>
      <c r="AY234" s="41"/>
      <c r="AZ234" s="41">
        <f>0+5549486</f>
        <v>5549486</v>
      </c>
      <c r="BA234" s="41">
        <f t="shared" si="275"/>
        <v>0</v>
      </c>
      <c r="BB234" s="41">
        <f t="shared" si="276"/>
        <v>0</v>
      </c>
      <c r="BC234" s="41">
        <v>0</v>
      </c>
      <c r="BD234" s="41">
        <v>0</v>
      </c>
      <c r="BE234" s="41">
        <v>0</v>
      </c>
      <c r="BF234" s="41">
        <f t="shared" si="283"/>
        <v>0</v>
      </c>
      <c r="BG234" s="41">
        <v>0</v>
      </c>
      <c r="BH234" s="41">
        <v>0</v>
      </c>
      <c r="BI234" s="41">
        <v>0</v>
      </c>
      <c r="BJ234" s="41">
        <v>0</v>
      </c>
      <c r="BK234" s="41">
        <f t="shared" si="259"/>
        <v>0</v>
      </c>
      <c r="BL234" s="41">
        <v>0</v>
      </c>
      <c r="BM234" s="41">
        <f t="shared" si="284"/>
        <v>0</v>
      </c>
      <c r="BN234" s="41">
        <v>0</v>
      </c>
      <c r="BO234" s="41">
        <v>0</v>
      </c>
      <c r="BP234" s="41">
        <v>0</v>
      </c>
      <c r="BQ234" s="41">
        <v>0</v>
      </c>
      <c r="BR234" s="41">
        <v>0</v>
      </c>
      <c r="BS234" s="41">
        <v>0</v>
      </c>
      <c r="BT234" s="41">
        <v>0</v>
      </c>
      <c r="BU234" s="41">
        <v>0</v>
      </c>
      <c r="BV234" s="41">
        <v>0</v>
      </c>
      <c r="BW234" s="41"/>
      <c r="BX234" s="41">
        <v>0</v>
      </c>
      <c r="BY234" s="41">
        <f t="shared" si="277"/>
        <v>0</v>
      </c>
      <c r="BZ234" s="41">
        <f t="shared" si="278"/>
        <v>0</v>
      </c>
      <c r="CA234" s="41">
        <f t="shared" si="285"/>
        <v>0</v>
      </c>
      <c r="CB234" s="41">
        <v>0</v>
      </c>
      <c r="CC234" s="41"/>
      <c r="CD234" s="41">
        <f t="shared" si="286"/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f t="shared" si="287"/>
        <v>0</v>
      </c>
      <c r="CL234" s="41">
        <v>0</v>
      </c>
      <c r="CM234" s="41">
        <v>0</v>
      </c>
      <c r="CN234" s="41">
        <v>0</v>
      </c>
      <c r="CO234" s="41"/>
      <c r="CP234" s="41">
        <v>0</v>
      </c>
      <c r="CQ234" s="41">
        <f>SUM(CR234)</f>
        <v>0</v>
      </c>
      <c r="CR234" s="41"/>
      <c r="CS234" s="41">
        <v>0</v>
      </c>
      <c r="CT234" s="41">
        <f t="shared" ref="CT234" si="290">SUM(CU234)</f>
        <v>0</v>
      </c>
      <c r="CU234" s="41">
        <f t="shared" si="288"/>
        <v>0</v>
      </c>
      <c r="CV234" s="41">
        <v>0</v>
      </c>
      <c r="CW234" s="47">
        <v>0</v>
      </c>
      <c r="CX234" s="48"/>
    </row>
    <row r="235" spans="1:102" ht="31.5" hidden="1" x14ac:dyDescent="0.25">
      <c r="A235" s="13" t="s">
        <v>1</v>
      </c>
      <c r="B235" s="14" t="s">
        <v>1</v>
      </c>
      <c r="C235" s="14" t="s">
        <v>43</v>
      </c>
      <c r="D235" s="30" t="s">
        <v>507</v>
      </c>
      <c r="E235" s="15">
        <f t="shared" si="270"/>
        <v>400000</v>
      </c>
      <c r="F235" s="16">
        <f t="shared" si="271"/>
        <v>0</v>
      </c>
      <c r="G235" s="16">
        <f t="shared" si="272"/>
        <v>0</v>
      </c>
      <c r="H235" s="16">
        <v>0</v>
      </c>
      <c r="I235" s="16">
        <v>0</v>
      </c>
      <c r="J235" s="16">
        <f t="shared" si="281"/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f t="shared" si="282"/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f t="shared" si="273"/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f t="shared" si="274"/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0</v>
      </c>
      <c r="AM235" s="16">
        <v>0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  <c r="AT235" s="16">
        <v>0</v>
      </c>
      <c r="AU235" s="16">
        <v>0</v>
      </c>
      <c r="AV235" s="16">
        <v>0</v>
      </c>
      <c r="AW235" s="16">
        <v>0</v>
      </c>
      <c r="AX235" s="16">
        <v>0</v>
      </c>
      <c r="AY235" s="16">
        <v>0</v>
      </c>
      <c r="AZ235" s="16">
        <v>0</v>
      </c>
      <c r="BA235" s="16">
        <f t="shared" si="275"/>
        <v>0</v>
      </c>
      <c r="BB235" s="16">
        <f t="shared" si="276"/>
        <v>0</v>
      </c>
      <c r="BC235" s="16">
        <v>0</v>
      </c>
      <c r="BD235" s="16">
        <v>0</v>
      </c>
      <c r="BE235" s="16">
        <v>0</v>
      </c>
      <c r="BF235" s="16">
        <f t="shared" si="283"/>
        <v>0</v>
      </c>
      <c r="BG235" s="16">
        <v>0</v>
      </c>
      <c r="BH235" s="16">
        <v>0</v>
      </c>
      <c r="BI235" s="16">
        <v>0</v>
      </c>
      <c r="BJ235" s="16">
        <v>0</v>
      </c>
      <c r="BK235" s="16">
        <f t="shared" si="259"/>
        <v>0</v>
      </c>
      <c r="BL235" s="16">
        <v>0</v>
      </c>
      <c r="BM235" s="16">
        <f t="shared" si="284"/>
        <v>0</v>
      </c>
      <c r="BN235" s="16">
        <v>0</v>
      </c>
      <c r="BO235" s="16">
        <v>0</v>
      </c>
      <c r="BP235" s="16">
        <v>0</v>
      </c>
      <c r="BQ235" s="16">
        <v>0</v>
      </c>
      <c r="BR235" s="16">
        <v>0</v>
      </c>
      <c r="BS235" s="16">
        <v>0</v>
      </c>
      <c r="BT235" s="16">
        <v>0</v>
      </c>
      <c r="BU235" s="16">
        <v>0</v>
      </c>
      <c r="BV235" s="16">
        <v>0</v>
      </c>
      <c r="BW235" s="16">
        <v>0</v>
      </c>
      <c r="BX235" s="16">
        <v>0</v>
      </c>
      <c r="BY235" s="16">
        <f t="shared" si="277"/>
        <v>400000</v>
      </c>
      <c r="BZ235" s="16">
        <f t="shared" si="278"/>
        <v>400000</v>
      </c>
      <c r="CA235" s="16">
        <f t="shared" si="285"/>
        <v>400000</v>
      </c>
      <c r="CB235" s="16">
        <v>0</v>
      </c>
      <c r="CC235" s="16">
        <v>400000</v>
      </c>
      <c r="CD235" s="16">
        <f t="shared" si="286"/>
        <v>0</v>
      </c>
      <c r="CE235" s="16">
        <v>0</v>
      </c>
      <c r="CF235" s="16">
        <v>0</v>
      </c>
      <c r="CG235" s="16">
        <v>0</v>
      </c>
      <c r="CH235" s="16">
        <v>0</v>
      </c>
      <c r="CI235" s="16">
        <v>0</v>
      </c>
      <c r="CJ235" s="16">
        <v>0</v>
      </c>
      <c r="CK235" s="16">
        <f t="shared" si="287"/>
        <v>0</v>
      </c>
      <c r="CL235" s="16">
        <v>0</v>
      </c>
      <c r="CM235" s="16">
        <v>0</v>
      </c>
      <c r="CN235" s="16">
        <v>0</v>
      </c>
      <c r="CO235" s="16">
        <v>0</v>
      </c>
      <c r="CP235" s="16">
        <v>0</v>
      </c>
      <c r="CQ235" s="16">
        <v>0</v>
      </c>
      <c r="CR235" s="16">
        <v>0</v>
      </c>
      <c r="CS235" s="16">
        <v>0</v>
      </c>
      <c r="CT235" s="16">
        <f t="shared" si="264"/>
        <v>0</v>
      </c>
      <c r="CU235" s="16">
        <f t="shared" si="288"/>
        <v>0</v>
      </c>
      <c r="CV235" s="16">
        <v>0</v>
      </c>
      <c r="CW235" s="17">
        <v>0</v>
      </c>
      <c r="CX235" s="40"/>
    </row>
    <row r="236" spans="1:102" ht="15.75" hidden="1" x14ac:dyDescent="0.25">
      <c r="A236" s="13" t="s">
        <v>1</v>
      </c>
      <c r="B236" s="14" t="s">
        <v>1</v>
      </c>
      <c r="C236" s="14" t="s">
        <v>43</v>
      </c>
      <c r="D236" s="30" t="s">
        <v>288</v>
      </c>
      <c r="E236" s="15">
        <f t="shared" si="270"/>
        <v>155620844</v>
      </c>
      <c r="F236" s="16">
        <f t="shared" si="271"/>
        <v>155620844</v>
      </c>
      <c r="G236" s="16">
        <f t="shared" si="272"/>
        <v>0</v>
      </c>
      <c r="H236" s="16">
        <v>0</v>
      </c>
      <c r="I236" s="16">
        <v>0</v>
      </c>
      <c r="J236" s="16">
        <f t="shared" si="281"/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f t="shared" si="282"/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f t="shared" si="273"/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f t="shared" si="274"/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6">
        <v>0</v>
      </c>
      <c r="AW236" s="16">
        <v>0</v>
      </c>
      <c r="AX236" s="16">
        <v>0</v>
      </c>
      <c r="AY236" s="16">
        <v>0</v>
      </c>
      <c r="AZ236" s="16">
        <v>0</v>
      </c>
      <c r="BA236" s="16">
        <f t="shared" si="275"/>
        <v>155620844</v>
      </c>
      <c r="BB236" s="16">
        <f t="shared" si="276"/>
        <v>0</v>
      </c>
      <c r="BC236" s="16">
        <v>0</v>
      </c>
      <c r="BD236" s="16">
        <v>0</v>
      </c>
      <c r="BE236" s="16">
        <v>0</v>
      </c>
      <c r="BF236" s="16">
        <f t="shared" si="283"/>
        <v>0</v>
      </c>
      <c r="BG236" s="16">
        <v>0</v>
      </c>
      <c r="BH236" s="16">
        <v>0</v>
      </c>
      <c r="BI236" s="16">
        <f>184190878+6235844-34805878</f>
        <v>155620844</v>
      </c>
      <c r="BJ236" s="16">
        <v>0</v>
      </c>
      <c r="BK236" s="16">
        <f t="shared" si="259"/>
        <v>0</v>
      </c>
      <c r="BL236" s="16">
        <v>0</v>
      </c>
      <c r="BM236" s="16">
        <f t="shared" si="284"/>
        <v>0</v>
      </c>
      <c r="BN236" s="16">
        <v>0</v>
      </c>
      <c r="BO236" s="16">
        <v>0</v>
      </c>
      <c r="BP236" s="16">
        <v>0</v>
      </c>
      <c r="BQ236" s="16">
        <v>0</v>
      </c>
      <c r="BR236" s="16">
        <v>0</v>
      </c>
      <c r="BS236" s="16">
        <v>0</v>
      </c>
      <c r="BT236" s="16">
        <v>0</v>
      </c>
      <c r="BU236" s="16">
        <v>0</v>
      </c>
      <c r="BV236" s="16">
        <v>0</v>
      </c>
      <c r="BW236" s="16">
        <v>0</v>
      </c>
      <c r="BX236" s="16">
        <v>0</v>
      </c>
      <c r="BY236" s="16">
        <f t="shared" si="277"/>
        <v>0</v>
      </c>
      <c r="BZ236" s="16">
        <f t="shared" si="278"/>
        <v>0</v>
      </c>
      <c r="CA236" s="16">
        <f t="shared" si="285"/>
        <v>0</v>
      </c>
      <c r="CB236" s="16">
        <v>0</v>
      </c>
      <c r="CC236" s="16">
        <v>0</v>
      </c>
      <c r="CD236" s="16">
        <f t="shared" si="286"/>
        <v>0</v>
      </c>
      <c r="CE236" s="16">
        <v>0</v>
      </c>
      <c r="CF236" s="16">
        <v>0</v>
      </c>
      <c r="CG236" s="16">
        <v>0</v>
      </c>
      <c r="CH236" s="16">
        <v>0</v>
      </c>
      <c r="CI236" s="16">
        <v>0</v>
      </c>
      <c r="CJ236" s="16">
        <v>0</v>
      </c>
      <c r="CK236" s="16">
        <f t="shared" si="287"/>
        <v>0</v>
      </c>
      <c r="CL236" s="16">
        <v>0</v>
      </c>
      <c r="CM236" s="16">
        <v>0</v>
      </c>
      <c r="CN236" s="16">
        <v>0</v>
      </c>
      <c r="CO236" s="16">
        <v>0</v>
      </c>
      <c r="CP236" s="16">
        <v>0</v>
      </c>
      <c r="CQ236" s="16">
        <v>0</v>
      </c>
      <c r="CR236" s="16">
        <v>0</v>
      </c>
      <c r="CS236" s="16">
        <v>0</v>
      </c>
      <c r="CT236" s="16">
        <f t="shared" si="264"/>
        <v>0</v>
      </c>
      <c r="CU236" s="16">
        <f t="shared" si="288"/>
        <v>0</v>
      </c>
      <c r="CV236" s="16">
        <v>0</v>
      </c>
      <c r="CW236" s="17">
        <v>0</v>
      </c>
      <c r="CX236" s="40"/>
    </row>
    <row r="237" spans="1:102" ht="15.75" hidden="1" x14ac:dyDescent="0.25">
      <c r="A237" s="13"/>
      <c r="B237" s="14"/>
      <c r="C237" s="14"/>
      <c r="D237" s="30" t="s">
        <v>488</v>
      </c>
      <c r="E237" s="15">
        <f>SUM(E238:E264)</f>
        <v>266251272</v>
      </c>
      <c r="F237" s="15">
        <f t="shared" ref="F237:BS237" si="291">SUM(F238:F264)</f>
        <v>244136676</v>
      </c>
      <c r="G237" s="15">
        <f t="shared" si="291"/>
        <v>244131676</v>
      </c>
      <c r="H237" s="15">
        <f t="shared" si="291"/>
        <v>96824574</v>
      </c>
      <c r="I237" s="15">
        <f t="shared" si="291"/>
        <v>19240097</v>
      </c>
      <c r="J237" s="15">
        <f t="shared" si="291"/>
        <v>48735265</v>
      </c>
      <c r="K237" s="15">
        <f t="shared" si="291"/>
        <v>15066346</v>
      </c>
      <c r="L237" s="15">
        <f t="shared" si="291"/>
        <v>2797489</v>
      </c>
      <c r="M237" s="15">
        <f t="shared" si="291"/>
        <v>4245236</v>
      </c>
      <c r="N237" s="15">
        <f t="shared" si="291"/>
        <v>4013</v>
      </c>
      <c r="O237" s="15">
        <f t="shared" si="291"/>
        <v>10313322</v>
      </c>
      <c r="P237" s="15">
        <f t="shared" si="291"/>
        <v>16308859</v>
      </c>
      <c r="Q237" s="15">
        <f t="shared" si="291"/>
        <v>784928</v>
      </c>
      <c r="R237" s="15">
        <f t="shared" si="291"/>
        <v>157396</v>
      </c>
      <c r="S237" s="15">
        <f t="shared" si="291"/>
        <v>627532</v>
      </c>
      <c r="T237" s="15">
        <f t="shared" si="291"/>
        <v>308024</v>
      </c>
      <c r="U237" s="15">
        <f t="shared" si="291"/>
        <v>1905446</v>
      </c>
      <c r="V237" s="15">
        <f t="shared" si="291"/>
        <v>26938808</v>
      </c>
      <c r="W237" s="15">
        <f t="shared" si="291"/>
        <v>2276448</v>
      </c>
      <c r="X237" s="15">
        <f t="shared" si="291"/>
        <v>4078583</v>
      </c>
      <c r="Y237" s="15">
        <f t="shared" si="291"/>
        <v>18264363</v>
      </c>
      <c r="Z237" s="15">
        <f t="shared" si="291"/>
        <v>1098166</v>
      </c>
      <c r="AA237" s="15">
        <f t="shared" si="291"/>
        <v>741987</v>
      </c>
      <c r="AB237" s="15">
        <f t="shared" si="291"/>
        <v>302713</v>
      </c>
      <c r="AC237" s="15">
        <f t="shared" si="291"/>
        <v>0</v>
      </c>
      <c r="AD237" s="15">
        <f t="shared" si="291"/>
        <v>176548</v>
      </c>
      <c r="AE237" s="15">
        <f t="shared" si="291"/>
        <v>49394534</v>
      </c>
      <c r="AF237" s="15">
        <f t="shared" si="291"/>
        <v>339000</v>
      </c>
      <c r="AG237" s="15">
        <f t="shared" si="291"/>
        <v>3603673</v>
      </c>
      <c r="AH237" s="15">
        <f t="shared" si="291"/>
        <v>8875356</v>
      </c>
      <c r="AI237" s="15">
        <f t="shared" si="291"/>
        <v>858749</v>
      </c>
      <c r="AJ237" s="15">
        <f t="shared" si="291"/>
        <v>917052</v>
      </c>
      <c r="AK237" s="15">
        <f t="shared" si="291"/>
        <v>15380</v>
      </c>
      <c r="AL237" s="15">
        <f t="shared" si="291"/>
        <v>517490</v>
      </c>
      <c r="AM237" s="15">
        <f t="shared" si="291"/>
        <v>2843983</v>
      </c>
      <c r="AN237" s="15">
        <f t="shared" si="291"/>
        <v>15000</v>
      </c>
      <c r="AO237" s="15">
        <f t="shared" si="291"/>
        <v>22635</v>
      </c>
      <c r="AP237" s="15">
        <f>SUM(AP238:AP264)</f>
        <v>974849</v>
      </c>
      <c r="AQ237" s="15">
        <f t="shared" si="291"/>
        <v>101307</v>
      </c>
      <c r="AR237" s="15">
        <f t="shared" si="291"/>
        <v>752247</v>
      </c>
      <c r="AS237" s="15">
        <f t="shared" si="291"/>
        <v>435115</v>
      </c>
      <c r="AT237" s="15">
        <f t="shared" si="291"/>
        <v>0</v>
      </c>
      <c r="AU237" s="15">
        <f t="shared" si="291"/>
        <v>5888</v>
      </c>
      <c r="AV237" s="15">
        <f t="shared" si="291"/>
        <v>61706</v>
      </c>
      <c r="AW237" s="15">
        <f t="shared" si="291"/>
        <v>1600375</v>
      </c>
      <c r="AX237" s="15">
        <f t="shared" si="291"/>
        <v>0</v>
      </c>
      <c r="AY237" s="15">
        <f t="shared" si="291"/>
        <v>0</v>
      </c>
      <c r="AZ237" s="15">
        <f t="shared" si="291"/>
        <v>27454729</v>
      </c>
      <c r="BA237" s="15">
        <f t="shared" si="291"/>
        <v>5000</v>
      </c>
      <c r="BB237" s="15">
        <f t="shared" si="291"/>
        <v>0</v>
      </c>
      <c r="BC237" s="15">
        <f t="shared" si="291"/>
        <v>0</v>
      </c>
      <c r="BD237" s="15">
        <f t="shared" si="291"/>
        <v>0</v>
      </c>
      <c r="BE237" s="15">
        <f t="shared" si="291"/>
        <v>0</v>
      </c>
      <c r="BF237" s="15">
        <f t="shared" si="291"/>
        <v>0</v>
      </c>
      <c r="BG237" s="15">
        <f t="shared" si="291"/>
        <v>0</v>
      </c>
      <c r="BH237" s="15">
        <f t="shared" si="291"/>
        <v>0</v>
      </c>
      <c r="BI237" s="15">
        <f t="shared" si="291"/>
        <v>0</v>
      </c>
      <c r="BJ237" s="15">
        <f t="shared" si="291"/>
        <v>0</v>
      </c>
      <c r="BK237" s="15">
        <f t="shared" si="291"/>
        <v>0</v>
      </c>
      <c r="BL237" s="15">
        <f t="shared" si="291"/>
        <v>0</v>
      </c>
      <c r="BM237" s="15">
        <f t="shared" si="291"/>
        <v>5000</v>
      </c>
      <c r="BN237" s="15">
        <f t="shared" si="291"/>
        <v>0</v>
      </c>
      <c r="BO237" s="15">
        <f t="shared" si="291"/>
        <v>0</v>
      </c>
      <c r="BP237" s="15">
        <f t="shared" si="291"/>
        <v>5000</v>
      </c>
      <c r="BQ237" s="15">
        <f t="shared" si="291"/>
        <v>0</v>
      </c>
      <c r="BR237" s="15">
        <f t="shared" si="291"/>
        <v>0</v>
      </c>
      <c r="BS237" s="15">
        <f t="shared" si="291"/>
        <v>0</v>
      </c>
      <c r="BT237" s="15">
        <f t="shared" ref="BT237:CW237" si="292">SUM(BT238:BT264)</f>
        <v>0</v>
      </c>
      <c r="BU237" s="15">
        <f t="shared" si="292"/>
        <v>0</v>
      </c>
      <c r="BV237" s="15">
        <f t="shared" si="292"/>
        <v>0</v>
      </c>
      <c r="BW237" s="15">
        <f t="shared" si="292"/>
        <v>0</v>
      </c>
      <c r="BX237" s="15">
        <f t="shared" si="292"/>
        <v>0</v>
      </c>
      <c r="BY237" s="15">
        <f t="shared" si="292"/>
        <v>22114596</v>
      </c>
      <c r="BZ237" s="15">
        <f t="shared" si="292"/>
        <v>22114596</v>
      </c>
      <c r="CA237" s="15">
        <f t="shared" si="292"/>
        <v>14751905</v>
      </c>
      <c r="CB237" s="15">
        <f t="shared" si="292"/>
        <v>1000000</v>
      </c>
      <c r="CC237" s="15">
        <f t="shared" si="292"/>
        <v>13751905</v>
      </c>
      <c r="CD237" s="15">
        <f t="shared" si="292"/>
        <v>800000</v>
      </c>
      <c r="CE237" s="15">
        <f t="shared" si="292"/>
        <v>0</v>
      </c>
      <c r="CF237" s="15">
        <f>SUM(CF238:CF264)</f>
        <v>0</v>
      </c>
      <c r="CG237" s="15">
        <f t="shared" si="292"/>
        <v>0</v>
      </c>
      <c r="CH237" s="15">
        <f t="shared" si="292"/>
        <v>800000</v>
      </c>
      <c r="CI237" s="15">
        <f t="shared" si="292"/>
        <v>0</v>
      </c>
      <c r="CJ237" s="15">
        <f t="shared" si="292"/>
        <v>0</v>
      </c>
      <c r="CK237" s="15">
        <f t="shared" si="292"/>
        <v>6562691</v>
      </c>
      <c r="CL237" s="15">
        <f t="shared" si="292"/>
        <v>0</v>
      </c>
      <c r="CM237" s="15">
        <f>SUM(CM238:CM264)</f>
        <v>0</v>
      </c>
      <c r="CN237" s="15">
        <f t="shared" si="292"/>
        <v>4598137</v>
      </c>
      <c r="CO237" s="15">
        <f t="shared" si="292"/>
        <v>1245122</v>
      </c>
      <c r="CP237" s="15">
        <f t="shared" si="292"/>
        <v>719432</v>
      </c>
      <c r="CQ237" s="15">
        <f t="shared" si="292"/>
        <v>0</v>
      </c>
      <c r="CR237" s="15">
        <f t="shared" si="292"/>
        <v>0</v>
      </c>
      <c r="CS237" s="15">
        <f t="shared" si="292"/>
        <v>0</v>
      </c>
      <c r="CT237" s="15">
        <f t="shared" si="292"/>
        <v>0</v>
      </c>
      <c r="CU237" s="15">
        <f t="shared" si="292"/>
        <v>0</v>
      </c>
      <c r="CV237" s="15">
        <f t="shared" si="292"/>
        <v>0</v>
      </c>
      <c r="CW237" s="23">
        <f t="shared" si="292"/>
        <v>0</v>
      </c>
      <c r="CX237" s="40"/>
    </row>
    <row r="238" spans="1:102" ht="31.5" hidden="1" x14ac:dyDescent="0.25">
      <c r="A238" s="13" t="s">
        <v>1</v>
      </c>
      <c r="B238" s="14" t="s">
        <v>1</v>
      </c>
      <c r="C238" s="14" t="s">
        <v>17</v>
      </c>
      <c r="D238" s="30" t="s">
        <v>259</v>
      </c>
      <c r="E238" s="15">
        <f t="shared" ref="E238:E264" si="293">SUM(F238+BY238+CT238)</f>
        <v>102355</v>
      </c>
      <c r="F238" s="16">
        <f t="shared" ref="F238:F264" si="294">SUM(G238+BA238)</f>
        <v>102355</v>
      </c>
      <c r="G238" s="16">
        <f t="shared" ref="G238:G264" si="295">SUM(H238+I238+J238+Q238+T238+U238+V238+AE238)</f>
        <v>102355</v>
      </c>
      <c r="H238" s="16">
        <v>0</v>
      </c>
      <c r="I238" s="16">
        <v>0</v>
      </c>
      <c r="J238" s="16">
        <f t="shared" si="256"/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f t="shared" si="257"/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f t="shared" ref="V238:V264" si="296">SUM(W238:AD238)</f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f t="shared" ref="AE238:AE264" si="297">SUM(AF238:AZ238)</f>
        <v>102355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80000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0</v>
      </c>
      <c r="AV238" s="16">
        <v>0</v>
      </c>
      <c r="AW238" s="16">
        <v>0</v>
      </c>
      <c r="AX238" s="16">
        <v>0</v>
      </c>
      <c r="AY238" s="16">
        <v>0</v>
      </c>
      <c r="AZ238" s="16">
        <f>22000+355</f>
        <v>22355</v>
      </c>
      <c r="BA238" s="16">
        <f t="shared" ref="BA238:BA264" si="298">SUM(BB238+BF238+BI238+BK238+BM238)</f>
        <v>0</v>
      </c>
      <c r="BB238" s="16">
        <f t="shared" ref="BB238:BB264" si="299">SUM(BC238:BE238)</f>
        <v>0</v>
      </c>
      <c r="BC238" s="16">
        <v>0</v>
      </c>
      <c r="BD238" s="16">
        <v>0</v>
      </c>
      <c r="BE238" s="16">
        <v>0</v>
      </c>
      <c r="BF238" s="16">
        <f t="shared" si="258"/>
        <v>0</v>
      </c>
      <c r="BG238" s="16">
        <v>0</v>
      </c>
      <c r="BH238" s="16">
        <v>0</v>
      </c>
      <c r="BI238" s="16">
        <v>0</v>
      </c>
      <c r="BJ238" s="16">
        <v>0</v>
      </c>
      <c r="BK238" s="16">
        <f t="shared" si="259"/>
        <v>0</v>
      </c>
      <c r="BL238" s="16">
        <v>0</v>
      </c>
      <c r="BM238" s="16">
        <f t="shared" si="260"/>
        <v>0</v>
      </c>
      <c r="BN238" s="16">
        <v>0</v>
      </c>
      <c r="BO238" s="16">
        <v>0</v>
      </c>
      <c r="BP238" s="16">
        <v>0</v>
      </c>
      <c r="BQ238" s="16">
        <v>0</v>
      </c>
      <c r="BR238" s="16">
        <v>0</v>
      </c>
      <c r="BS238" s="16">
        <v>0</v>
      </c>
      <c r="BT238" s="16">
        <v>0</v>
      </c>
      <c r="BU238" s="16">
        <v>0</v>
      </c>
      <c r="BV238" s="16">
        <v>0</v>
      </c>
      <c r="BW238" s="16">
        <v>0</v>
      </c>
      <c r="BX238" s="16">
        <v>0</v>
      </c>
      <c r="BY238" s="16">
        <f t="shared" ref="BY238:BY264" si="300">SUM(BZ238+CS238)</f>
        <v>0</v>
      </c>
      <c r="BZ238" s="16">
        <f t="shared" ref="BZ238:BZ264" si="301">SUM(CA238+CD238+CK238)</f>
        <v>0</v>
      </c>
      <c r="CA238" s="16">
        <f t="shared" si="261"/>
        <v>0</v>
      </c>
      <c r="CB238" s="16">
        <v>0</v>
      </c>
      <c r="CC238" s="16">
        <v>0</v>
      </c>
      <c r="CD238" s="16">
        <f t="shared" si="262"/>
        <v>0</v>
      </c>
      <c r="CE238" s="16">
        <v>0</v>
      </c>
      <c r="CF238" s="16">
        <v>0</v>
      </c>
      <c r="CG238" s="16">
        <v>0</v>
      </c>
      <c r="CH238" s="16">
        <v>0</v>
      </c>
      <c r="CI238" s="16">
        <v>0</v>
      </c>
      <c r="CJ238" s="16">
        <v>0</v>
      </c>
      <c r="CK238" s="16">
        <f t="shared" si="263"/>
        <v>0</v>
      </c>
      <c r="CL238" s="16">
        <v>0</v>
      </c>
      <c r="CM238" s="16">
        <v>0</v>
      </c>
      <c r="CN238" s="16">
        <v>0</v>
      </c>
      <c r="CO238" s="16">
        <v>0</v>
      </c>
      <c r="CP238" s="16">
        <v>0</v>
      </c>
      <c r="CQ238" s="16">
        <v>0</v>
      </c>
      <c r="CR238" s="16">
        <v>0</v>
      </c>
      <c r="CS238" s="16">
        <v>0</v>
      </c>
      <c r="CT238" s="16">
        <f t="shared" si="264"/>
        <v>0</v>
      </c>
      <c r="CU238" s="16">
        <f t="shared" si="265"/>
        <v>0</v>
      </c>
      <c r="CV238" s="16">
        <v>0</v>
      </c>
      <c r="CW238" s="17">
        <v>0</v>
      </c>
      <c r="CX238" s="40"/>
    </row>
    <row r="239" spans="1:102" ht="31.5" hidden="1" x14ac:dyDescent="0.25">
      <c r="A239" s="13" t="s">
        <v>1</v>
      </c>
      <c r="B239" s="14" t="s">
        <v>1</v>
      </c>
      <c r="C239" s="14" t="s">
        <v>19</v>
      </c>
      <c r="D239" s="30" t="s">
        <v>260</v>
      </c>
      <c r="E239" s="15">
        <f t="shared" si="293"/>
        <v>307734</v>
      </c>
      <c r="F239" s="16">
        <f t="shared" si="294"/>
        <v>307734</v>
      </c>
      <c r="G239" s="16">
        <f t="shared" si="295"/>
        <v>307734</v>
      </c>
      <c r="H239" s="16">
        <v>0</v>
      </c>
      <c r="I239" s="16">
        <v>0</v>
      </c>
      <c r="J239" s="16">
        <f t="shared" si="256"/>
        <v>95300</v>
      </c>
      <c r="K239" s="16">
        <v>0</v>
      </c>
      <c r="L239" s="16">
        <v>0</v>
      </c>
      <c r="M239" s="16">
        <v>46000</v>
      </c>
      <c r="N239" s="16">
        <v>0</v>
      </c>
      <c r="O239" s="16">
        <v>13000</v>
      </c>
      <c r="P239" s="16">
        <v>36300</v>
      </c>
      <c r="Q239" s="16">
        <f t="shared" si="257"/>
        <v>0</v>
      </c>
      <c r="R239" s="16">
        <v>0</v>
      </c>
      <c r="S239" s="16">
        <v>0</v>
      </c>
      <c r="T239" s="16">
        <v>0</v>
      </c>
      <c r="U239" s="16">
        <v>0</v>
      </c>
      <c r="V239" s="16">
        <f t="shared" si="296"/>
        <v>0</v>
      </c>
      <c r="W239" s="16">
        <v>0</v>
      </c>
      <c r="X239" s="16">
        <v>0</v>
      </c>
      <c r="Y239" s="16">
        <v>0</v>
      </c>
      <c r="Z239" s="16">
        <v>0</v>
      </c>
      <c r="AA239" s="16">
        <v>0</v>
      </c>
      <c r="AB239" s="16">
        <v>0</v>
      </c>
      <c r="AC239" s="16">
        <v>0</v>
      </c>
      <c r="AD239" s="16">
        <v>0</v>
      </c>
      <c r="AE239" s="16">
        <f t="shared" si="297"/>
        <v>212434</v>
      </c>
      <c r="AF239" s="16">
        <v>0</v>
      </c>
      <c r="AG239" s="16">
        <v>2750</v>
      </c>
      <c r="AH239" s="16">
        <v>2750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0</v>
      </c>
      <c r="AV239" s="16">
        <v>0</v>
      </c>
      <c r="AW239" s="16">
        <v>0</v>
      </c>
      <c r="AX239" s="16">
        <v>0</v>
      </c>
      <c r="AY239" s="16">
        <v>0</v>
      </c>
      <c r="AZ239" s="16">
        <f>110842+96092</f>
        <v>206934</v>
      </c>
      <c r="BA239" s="16">
        <f t="shared" si="298"/>
        <v>0</v>
      </c>
      <c r="BB239" s="16">
        <f t="shared" si="299"/>
        <v>0</v>
      </c>
      <c r="BC239" s="16">
        <v>0</v>
      </c>
      <c r="BD239" s="16">
        <v>0</v>
      </c>
      <c r="BE239" s="16">
        <v>0</v>
      </c>
      <c r="BF239" s="16">
        <f t="shared" si="258"/>
        <v>0</v>
      </c>
      <c r="BG239" s="16">
        <v>0</v>
      </c>
      <c r="BH239" s="16">
        <v>0</v>
      </c>
      <c r="BI239" s="16">
        <v>0</v>
      </c>
      <c r="BJ239" s="16">
        <v>0</v>
      </c>
      <c r="BK239" s="16">
        <f t="shared" si="259"/>
        <v>0</v>
      </c>
      <c r="BL239" s="16">
        <v>0</v>
      </c>
      <c r="BM239" s="16">
        <f t="shared" si="260"/>
        <v>0</v>
      </c>
      <c r="BN239" s="16">
        <v>0</v>
      </c>
      <c r="BO239" s="16">
        <v>0</v>
      </c>
      <c r="BP239" s="16">
        <v>0</v>
      </c>
      <c r="BQ239" s="16">
        <v>0</v>
      </c>
      <c r="BR239" s="16">
        <v>0</v>
      </c>
      <c r="BS239" s="16">
        <v>0</v>
      </c>
      <c r="BT239" s="16">
        <v>0</v>
      </c>
      <c r="BU239" s="16">
        <v>0</v>
      </c>
      <c r="BV239" s="16">
        <v>0</v>
      </c>
      <c r="BW239" s="16">
        <v>0</v>
      </c>
      <c r="BX239" s="16">
        <v>0</v>
      </c>
      <c r="BY239" s="16">
        <f t="shared" si="300"/>
        <v>0</v>
      </c>
      <c r="BZ239" s="16">
        <f t="shared" si="301"/>
        <v>0</v>
      </c>
      <c r="CA239" s="16">
        <f t="shared" si="261"/>
        <v>0</v>
      </c>
      <c r="CB239" s="16">
        <v>0</v>
      </c>
      <c r="CC239" s="16">
        <v>0</v>
      </c>
      <c r="CD239" s="16">
        <f t="shared" si="262"/>
        <v>0</v>
      </c>
      <c r="CE239" s="16">
        <v>0</v>
      </c>
      <c r="CF239" s="16">
        <v>0</v>
      </c>
      <c r="CG239" s="16">
        <v>0</v>
      </c>
      <c r="CH239" s="16">
        <v>0</v>
      </c>
      <c r="CI239" s="16">
        <v>0</v>
      </c>
      <c r="CJ239" s="16">
        <v>0</v>
      </c>
      <c r="CK239" s="16">
        <f t="shared" si="263"/>
        <v>0</v>
      </c>
      <c r="CL239" s="16">
        <v>0</v>
      </c>
      <c r="CM239" s="16">
        <v>0</v>
      </c>
      <c r="CN239" s="16">
        <v>0</v>
      </c>
      <c r="CO239" s="16">
        <v>0</v>
      </c>
      <c r="CP239" s="16">
        <v>0</v>
      </c>
      <c r="CQ239" s="16">
        <v>0</v>
      </c>
      <c r="CR239" s="16">
        <v>0</v>
      </c>
      <c r="CS239" s="16">
        <v>0</v>
      </c>
      <c r="CT239" s="16">
        <f t="shared" si="264"/>
        <v>0</v>
      </c>
      <c r="CU239" s="16">
        <f t="shared" si="265"/>
        <v>0</v>
      </c>
      <c r="CV239" s="16">
        <v>0</v>
      </c>
      <c r="CW239" s="17">
        <v>0</v>
      </c>
      <c r="CX239" s="40"/>
    </row>
    <row r="240" spans="1:102" ht="31.5" hidden="1" x14ac:dyDescent="0.25">
      <c r="A240" s="13" t="s">
        <v>1</v>
      </c>
      <c r="B240" s="14" t="s">
        <v>1</v>
      </c>
      <c r="C240" s="14" t="s">
        <v>21</v>
      </c>
      <c r="D240" s="30" t="s">
        <v>262</v>
      </c>
      <c r="E240" s="15">
        <f t="shared" si="293"/>
        <v>6029622</v>
      </c>
      <c r="F240" s="16">
        <f t="shared" si="294"/>
        <v>5989622</v>
      </c>
      <c r="G240" s="16">
        <f t="shared" si="295"/>
        <v>5989622</v>
      </c>
      <c r="H240" s="16">
        <v>3909509</v>
      </c>
      <c r="I240" s="16">
        <v>930232</v>
      </c>
      <c r="J240" s="16">
        <f>SUM(K240:P240)</f>
        <v>276137</v>
      </c>
      <c r="K240" s="16">
        <v>2000</v>
      </c>
      <c r="L240" s="16">
        <v>3340</v>
      </c>
      <c r="M240" s="16">
        <v>114690</v>
      </c>
      <c r="N240" s="16">
        <v>0</v>
      </c>
      <c r="O240" s="16">
        <v>21809</v>
      </c>
      <c r="P240" s="16">
        <v>134298</v>
      </c>
      <c r="Q240" s="16">
        <f>SUM(R240:S240)</f>
        <v>7720</v>
      </c>
      <c r="R240" s="16">
        <v>4120</v>
      </c>
      <c r="S240" s="16">
        <v>3600</v>
      </c>
      <c r="T240" s="16">
        <v>0</v>
      </c>
      <c r="U240" s="16">
        <v>35732</v>
      </c>
      <c r="V240" s="16">
        <f t="shared" si="296"/>
        <v>355563</v>
      </c>
      <c r="W240" s="16">
        <v>11250</v>
      </c>
      <c r="X240" s="16">
        <f>237697+9295</f>
        <v>246992</v>
      </c>
      <c r="Y240" s="16">
        <f>66516+3971</f>
        <v>70487</v>
      </c>
      <c r="Z240" s="16">
        <f>16746+2920</f>
        <v>19666</v>
      </c>
      <c r="AA240" s="16">
        <v>7168</v>
      </c>
      <c r="AB240" s="16">
        <v>0</v>
      </c>
      <c r="AC240" s="16">
        <v>0</v>
      </c>
      <c r="AD240" s="16">
        <v>0</v>
      </c>
      <c r="AE240" s="16">
        <f t="shared" si="297"/>
        <v>474729</v>
      </c>
      <c r="AF240" s="16">
        <v>0</v>
      </c>
      <c r="AG240" s="16">
        <f>15955+17000</f>
        <v>32955</v>
      </c>
      <c r="AH240" s="16">
        <f>105000+75000</f>
        <v>180000</v>
      </c>
      <c r="AI240" s="16">
        <v>2880</v>
      </c>
      <c r="AJ240" s="16">
        <v>22460</v>
      </c>
      <c r="AK240" s="16">
        <v>0</v>
      </c>
      <c r="AL240" s="16">
        <v>2480</v>
      </c>
      <c r="AM240" s="16">
        <v>21240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f>24000+19325</f>
        <v>43325</v>
      </c>
      <c r="AT240" s="16">
        <v>0</v>
      </c>
      <c r="AU240" s="16">
        <v>0</v>
      </c>
      <c r="AV240" s="16">
        <v>0</v>
      </c>
      <c r="AW240" s="16">
        <v>0</v>
      </c>
      <c r="AX240" s="16">
        <v>0</v>
      </c>
      <c r="AY240" s="16">
        <v>0</v>
      </c>
      <c r="AZ240" s="16">
        <f>94103+75286</f>
        <v>169389</v>
      </c>
      <c r="BA240" s="16">
        <f t="shared" si="298"/>
        <v>0</v>
      </c>
      <c r="BB240" s="16">
        <f t="shared" si="299"/>
        <v>0</v>
      </c>
      <c r="BC240" s="16">
        <v>0</v>
      </c>
      <c r="BD240" s="16">
        <v>0</v>
      </c>
      <c r="BE240" s="16">
        <v>0</v>
      </c>
      <c r="BF240" s="16">
        <f>SUM(BG240:BH240)</f>
        <v>0</v>
      </c>
      <c r="BG240" s="16">
        <v>0</v>
      </c>
      <c r="BH240" s="16">
        <v>0</v>
      </c>
      <c r="BI240" s="16">
        <v>0</v>
      </c>
      <c r="BJ240" s="16">
        <v>0</v>
      </c>
      <c r="BK240" s="16">
        <f>SUM(BL240)</f>
        <v>0</v>
      </c>
      <c r="BL240" s="16">
        <v>0</v>
      </c>
      <c r="BM240" s="16">
        <f>SUM(BN240:BX240)</f>
        <v>0</v>
      </c>
      <c r="BN240" s="16">
        <v>0</v>
      </c>
      <c r="BO240" s="16">
        <v>0</v>
      </c>
      <c r="BP240" s="16">
        <v>0</v>
      </c>
      <c r="BQ240" s="16">
        <v>0</v>
      </c>
      <c r="BR240" s="16">
        <v>0</v>
      </c>
      <c r="BS240" s="16">
        <v>0</v>
      </c>
      <c r="BT240" s="16">
        <v>0</v>
      </c>
      <c r="BU240" s="16">
        <v>0</v>
      </c>
      <c r="BV240" s="16">
        <v>0</v>
      </c>
      <c r="BW240" s="16">
        <v>0</v>
      </c>
      <c r="BX240" s="16">
        <v>0</v>
      </c>
      <c r="BY240" s="16">
        <f t="shared" si="300"/>
        <v>40000</v>
      </c>
      <c r="BZ240" s="16">
        <f t="shared" si="301"/>
        <v>40000</v>
      </c>
      <c r="CA240" s="16">
        <f>SUM(CB240:CC240)</f>
        <v>40000</v>
      </c>
      <c r="CB240" s="16">
        <v>0</v>
      </c>
      <c r="CC240" s="16">
        <v>40000</v>
      </c>
      <c r="CD240" s="16">
        <f>SUM(CE240:CI240)</f>
        <v>0</v>
      </c>
      <c r="CE240" s="16">
        <v>0</v>
      </c>
      <c r="CF240" s="16">
        <v>0</v>
      </c>
      <c r="CG240" s="16">
        <v>0</v>
      </c>
      <c r="CH240" s="16">
        <v>0</v>
      </c>
      <c r="CI240" s="16">
        <v>0</v>
      </c>
      <c r="CJ240" s="16">
        <v>0</v>
      </c>
      <c r="CK240" s="16">
        <f>SUM(CL240:CP240)</f>
        <v>0</v>
      </c>
      <c r="CL240" s="16">
        <v>0</v>
      </c>
      <c r="CM240" s="16">
        <v>0</v>
      </c>
      <c r="CN240" s="16">
        <v>0</v>
      </c>
      <c r="CO240" s="16">
        <v>0</v>
      </c>
      <c r="CP240" s="16">
        <v>0</v>
      </c>
      <c r="CQ240" s="16">
        <v>0</v>
      </c>
      <c r="CR240" s="16">
        <v>0</v>
      </c>
      <c r="CS240" s="16">
        <v>0</v>
      </c>
      <c r="CT240" s="16">
        <f>SUM(CU240)</f>
        <v>0</v>
      </c>
      <c r="CU240" s="16">
        <f>SUM(CV240:CW240)</f>
        <v>0</v>
      </c>
      <c r="CV240" s="16">
        <v>0</v>
      </c>
      <c r="CW240" s="17">
        <v>0</v>
      </c>
      <c r="CX240" s="40"/>
    </row>
    <row r="241" spans="1:102" ht="31.5" hidden="1" x14ac:dyDescent="0.25">
      <c r="A241" s="13" t="s">
        <v>1</v>
      </c>
      <c r="B241" s="14" t="s">
        <v>1</v>
      </c>
      <c r="C241" s="14" t="s">
        <v>21</v>
      </c>
      <c r="D241" s="30" t="s">
        <v>261</v>
      </c>
      <c r="E241" s="15">
        <f t="shared" si="293"/>
        <v>32987440</v>
      </c>
      <c r="F241" s="16">
        <f t="shared" si="294"/>
        <v>30469362</v>
      </c>
      <c r="G241" s="16">
        <f t="shared" si="295"/>
        <v>30469362</v>
      </c>
      <c r="H241" s="16">
        <f>9950832+18000</f>
        <v>9968832</v>
      </c>
      <c r="I241" s="16">
        <f>2487648+4500</f>
        <v>2492148</v>
      </c>
      <c r="J241" s="16">
        <f t="shared" si="256"/>
        <v>11021339</v>
      </c>
      <c r="K241" s="16">
        <f>6731749+1000</f>
        <v>6732749</v>
      </c>
      <c r="L241" s="16">
        <f>251252+42000</f>
        <v>293252</v>
      </c>
      <c r="M241" s="16">
        <f>246092</f>
        <v>246092</v>
      </c>
      <c r="N241" s="16">
        <v>0</v>
      </c>
      <c r="O241" s="16">
        <f>912768+50000</f>
        <v>962768</v>
      </c>
      <c r="P241" s="16">
        <f>2444377+342101</f>
        <v>2786478</v>
      </c>
      <c r="Q241" s="16">
        <f t="shared" si="257"/>
        <v>64279</v>
      </c>
      <c r="R241" s="16">
        <v>10511</v>
      </c>
      <c r="S241" s="16">
        <v>53768</v>
      </c>
      <c r="T241" s="16">
        <v>6295</v>
      </c>
      <c r="U241" s="16">
        <f>175315+3000</f>
        <v>178315</v>
      </c>
      <c r="V241" s="16">
        <f t="shared" si="296"/>
        <v>1860441</v>
      </c>
      <c r="W241" s="16">
        <f>767266+80827</f>
        <v>848093</v>
      </c>
      <c r="X241" s="16">
        <f>346304+4350</f>
        <v>350654</v>
      </c>
      <c r="Y241" s="16">
        <f>195538+28811</f>
        <v>224349</v>
      </c>
      <c r="Z241" s="16">
        <f>170191+30688</f>
        <v>200879</v>
      </c>
      <c r="AA241" s="16">
        <v>226278</v>
      </c>
      <c r="AB241" s="16">
        <v>0</v>
      </c>
      <c r="AC241" s="16">
        <v>0</v>
      </c>
      <c r="AD241" s="16">
        <f>9306+882</f>
        <v>10188</v>
      </c>
      <c r="AE241" s="16">
        <f t="shared" si="297"/>
        <v>4877713</v>
      </c>
      <c r="AF241" s="16">
        <v>0</v>
      </c>
      <c r="AG241" s="16">
        <f>1237499+1000</f>
        <v>1238499</v>
      </c>
      <c r="AH241" s="16">
        <f>1293026+54055</f>
        <v>1347081</v>
      </c>
      <c r="AI241" s="16">
        <v>0</v>
      </c>
      <c r="AJ241" s="16">
        <f>106294+2000</f>
        <v>108294</v>
      </c>
      <c r="AK241" s="16">
        <v>0</v>
      </c>
      <c r="AL241" s="16">
        <f>63041+3000</f>
        <v>66041</v>
      </c>
      <c r="AM241" s="16">
        <f>662212+2900</f>
        <v>665112</v>
      </c>
      <c r="AN241" s="16">
        <v>0</v>
      </c>
      <c r="AO241" s="16">
        <v>0</v>
      </c>
      <c r="AP241" s="16">
        <v>0</v>
      </c>
      <c r="AQ241" s="16">
        <v>0</v>
      </c>
      <c r="AR241" s="16">
        <v>535767</v>
      </c>
      <c r="AS241" s="16">
        <f>35235+14250</f>
        <v>49485</v>
      </c>
      <c r="AT241" s="16">
        <v>0</v>
      </c>
      <c r="AU241" s="16">
        <v>5888</v>
      </c>
      <c r="AV241" s="16">
        <v>41060</v>
      </c>
      <c r="AW241" s="16">
        <v>0</v>
      </c>
      <c r="AX241" s="16">
        <v>0</v>
      </c>
      <c r="AY241" s="16">
        <v>0</v>
      </c>
      <c r="AZ241" s="16">
        <f>798955+21531</f>
        <v>820486</v>
      </c>
      <c r="BA241" s="16">
        <f t="shared" si="298"/>
        <v>0</v>
      </c>
      <c r="BB241" s="16">
        <f t="shared" si="299"/>
        <v>0</v>
      </c>
      <c r="BC241" s="16">
        <v>0</v>
      </c>
      <c r="BD241" s="16">
        <v>0</v>
      </c>
      <c r="BE241" s="16">
        <v>0</v>
      </c>
      <c r="BF241" s="16">
        <f t="shared" si="258"/>
        <v>0</v>
      </c>
      <c r="BG241" s="16">
        <v>0</v>
      </c>
      <c r="BH241" s="16">
        <v>0</v>
      </c>
      <c r="BI241" s="16">
        <v>0</v>
      </c>
      <c r="BJ241" s="16">
        <v>0</v>
      </c>
      <c r="BK241" s="16">
        <f t="shared" si="259"/>
        <v>0</v>
      </c>
      <c r="BL241" s="16">
        <v>0</v>
      </c>
      <c r="BM241" s="16">
        <f t="shared" si="260"/>
        <v>0</v>
      </c>
      <c r="BN241" s="16">
        <v>0</v>
      </c>
      <c r="BO241" s="16">
        <v>0</v>
      </c>
      <c r="BP241" s="16">
        <v>0</v>
      </c>
      <c r="BQ241" s="16">
        <v>0</v>
      </c>
      <c r="BR241" s="16">
        <v>0</v>
      </c>
      <c r="BS241" s="16">
        <v>0</v>
      </c>
      <c r="BT241" s="16">
        <v>0</v>
      </c>
      <c r="BU241" s="16">
        <v>0</v>
      </c>
      <c r="BV241" s="16">
        <v>0</v>
      </c>
      <c r="BW241" s="16">
        <v>0</v>
      </c>
      <c r="BX241" s="16">
        <v>0</v>
      </c>
      <c r="BY241" s="16">
        <f t="shared" si="300"/>
        <v>2518078</v>
      </c>
      <c r="BZ241" s="16">
        <f t="shared" si="301"/>
        <v>2518078</v>
      </c>
      <c r="CA241" s="16">
        <f t="shared" si="261"/>
        <v>2046484</v>
      </c>
      <c r="CB241" s="16">
        <v>0</v>
      </c>
      <c r="CC241" s="16">
        <f>1666417+380067</f>
        <v>2046484</v>
      </c>
      <c r="CD241" s="16">
        <f t="shared" si="262"/>
        <v>0</v>
      </c>
      <c r="CE241" s="16">
        <v>0</v>
      </c>
      <c r="CF241" s="16">
        <v>0</v>
      </c>
      <c r="CG241" s="16">
        <v>0</v>
      </c>
      <c r="CH241" s="16">
        <v>0</v>
      </c>
      <c r="CI241" s="16">
        <v>0</v>
      </c>
      <c r="CJ241" s="16">
        <v>0</v>
      </c>
      <c r="CK241" s="16">
        <f t="shared" si="263"/>
        <v>471594</v>
      </c>
      <c r="CL241" s="16">
        <v>0</v>
      </c>
      <c r="CM241" s="16">
        <v>0</v>
      </c>
      <c r="CN241" s="16">
        <v>471594</v>
      </c>
      <c r="CO241" s="16">
        <v>0</v>
      </c>
      <c r="CP241" s="16">
        <v>0</v>
      </c>
      <c r="CQ241" s="16">
        <v>0</v>
      </c>
      <c r="CR241" s="16">
        <v>0</v>
      </c>
      <c r="CS241" s="16">
        <v>0</v>
      </c>
      <c r="CT241" s="16">
        <f t="shared" si="264"/>
        <v>0</v>
      </c>
      <c r="CU241" s="16">
        <f t="shared" si="265"/>
        <v>0</v>
      </c>
      <c r="CV241" s="16">
        <v>0</v>
      </c>
      <c r="CW241" s="17">
        <v>0</v>
      </c>
      <c r="CX241" s="40"/>
    </row>
    <row r="242" spans="1:102" ht="31.5" hidden="1" x14ac:dyDescent="0.25">
      <c r="A242" s="13" t="s">
        <v>1</v>
      </c>
      <c r="B242" s="14" t="s">
        <v>1</v>
      </c>
      <c r="C242" s="14" t="s">
        <v>21</v>
      </c>
      <c r="D242" s="30" t="s">
        <v>263</v>
      </c>
      <c r="E242" s="15">
        <f t="shared" si="293"/>
        <v>26005156</v>
      </c>
      <c r="F242" s="16">
        <f t="shared" si="294"/>
        <v>23330802</v>
      </c>
      <c r="G242" s="16">
        <f t="shared" si="295"/>
        <v>23330802</v>
      </c>
      <c r="H242" s="16">
        <v>7572198</v>
      </c>
      <c r="I242" s="16">
        <v>1893051</v>
      </c>
      <c r="J242" s="16">
        <f t="shared" si="256"/>
        <v>8713503</v>
      </c>
      <c r="K242" s="16">
        <v>6019041</v>
      </c>
      <c r="L242" s="16">
        <v>95217</v>
      </c>
      <c r="M242" s="16">
        <v>13000</v>
      </c>
      <c r="N242" s="16">
        <v>1500</v>
      </c>
      <c r="O242" s="16">
        <f>327530+3392</f>
        <v>330922</v>
      </c>
      <c r="P242" s="16">
        <f>1897394+356429</f>
        <v>2253823</v>
      </c>
      <c r="Q242" s="16">
        <f t="shared" si="257"/>
        <v>6345</v>
      </c>
      <c r="R242" s="16">
        <v>5745</v>
      </c>
      <c r="S242" s="16">
        <v>600</v>
      </c>
      <c r="T242" s="16">
        <v>43200</v>
      </c>
      <c r="U242" s="16">
        <f>119645+6915</f>
        <v>126560</v>
      </c>
      <c r="V242" s="16">
        <f t="shared" si="296"/>
        <v>1316266</v>
      </c>
      <c r="W242" s="16">
        <v>530276</v>
      </c>
      <c r="X242" s="16">
        <f>311559+16572</f>
        <v>328131</v>
      </c>
      <c r="Y242" s="16">
        <f>170636+25618</f>
        <v>196254</v>
      </c>
      <c r="Z242" s="16">
        <f>80437+15974</f>
        <v>96411</v>
      </c>
      <c r="AA242" s="16">
        <f>84886+5000</f>
        <v>89886</v>
      </c>
      <c r="AB242" s="16">
        <v>70000</v>
      </c>
      <c r="AC242" s="16">
        <v>0</v>
      </c>
      <c r="AD242" s="16">
        <f>5267+41</f>
        <v>5308</v>
      </c>
      <c r="AE242" s="16">
        <f t="shared" si="297"/>
        <v>3659679</v>
      </c>
      <c r="AF242" s="16">
        <v>0</v>
      </c>
      <c r="AG242" s="16">
        <v>432496</v>
      </c>
      <c r="AH242" s="16">
        <f>1248233+326637</f>
        <v>1574870</v>
      </c>
      <c r="AI242" s="16">
        <v>0</v>
      </c>
      <c r="AJ242" s="16">
        <f>78910+150</f>
        <v>79060</v>
      </c>
      <c r="AK242" s="16">
        <v>0</v>
      </c>
      <c r="AL242" s="16">
        <v>28900</v>
      </c>
      <c r="AM242" s="16">
        <f>322400+2310</f>
        <v>324710</v>
      </c>
      <c r="AN242" s="16">
        <v>0</v>
      </c>
      <c r="AO242" s="16">
        <v>2000</v>
      </c>
      <c r="AP242" s="16"/>
      <c r="AQ242" s="16">
        <v>0</v>
      </c>
      <c r="AR242" s="16">
        <v>68306</v>
      </c>
      <c r="AS242" s="16">
        <f>105845+10000</f>
        <v>115845</v>
      </c>
      <c r="AT242" s="16">
        <v>0</v>
      </c>
      <c r="AU242" s="16">
        <v>0</v>
      </c>
      <c r="AV242" s="16">
        <v>20646</v>
      </c>
      <c r="AW242" s="16">
        <v>0</v>
      </c>
      <c r="AX242" s="16">
        <v>0</v>
      </c>
      <c r="AY242" s="16"/>
      <c r="AZ242" s="16">
        <f>848689+164157</f>
        <v>1012846</v>
      </c>
      <c r="BA242" s="16">
        <f t="shared" si="298"/>
        <v>0</v>
      </c>
      <c r="BB242" s="16">
        <f t="shared" si="299"/>
        <v>0</v>
      </c>
      <c r="BC242" s="16">
        <v>0</v>
      </c>
      <c r="BD242" s="16">
        <v>0</v>
      </c>
      <c r="BE242" s="16">
        <v>0</v>
      </c>
      <c r="BF242" s="16">
        <f t="shared" si="258"/>
        <v>0</v>
      </c>
      <c r="BG242" s="16">
        <v>0</v>
      </c>
      <c r="BH242" s="16">
        <v>0</v>
      </c>
      <c r="BI242" s="16">
        <v>0</v>
      </c>
      <c r="BJ242" s="16">
        <v>0</v>
      </c>
      <c r="BK242" s="16">
        <f t="shared" si="259"/>
        <v>0</v>
      </c>
      <c r="BL242" s="16">
        <v>0</v>
      </c>
      <c r="BM242" s="16">
        <f t="shared" si="260"/>
        <v>0</v>
      </c>
      <c r="BN242" s="16">
        <v>0</v>
      </c>
      <c r="BO242" s="16">
        <v>0</v>
      </c>
      <c r="BP242" s="16">
        <v>0</v>
      </c>
      <c r="BQ242" s="16">
        <v>0</v>
      </c>
      <c r="BR242" s="16">
        <v>0</v>
      </c>
      <c r="BS242" s="16">
        <v>0</v>
      </c>
      <c r="BT242" s="16">
        <v>0</v>
      </c>
      <c r="BU242" s="16">
        <v>0</v>
      </c>
      <c r="BV242" s="16">
        <v>0</v>
      </c>
      <c r="BW242" s="16">
        <v>0</v>
      </c>
      <c r="BX242" s="16">
        <v>0</v>
      </c>
      <c r="BY242" s="16">
        <f t="shared" si="300"/>
        <v>2674354</v>
      </c>
      <c r="BZ242" s="16">
        <f t="shared" si="301"/>
        <v>2674354</v>
      </c>
      <c r="CA242" s="16">
        <f t="shared" si="261"/>
        <v>2658354</v>
      </c>
      <c r="CB242" s="16">
        <v>0</v>
      </c>
      <c r="CC242" s="16">
        <f>1736965+921389</f>
        <v>2658354</v>
      </c>
      <c r="CD242" s="16">
        <f t="shared" si="262"/>
        <v>0</v>
      </c>
      <c r="CE242" s="16">
        <v>0</v>
      </c>
      <c r="CF242" s="16">
        <v>0</v>
      </c>
      <c r="CG242" s="16">
        <v>0</v>
      </c>
      <c r="CH242" s="16">
        <v>0</v>
      </c>
      <c r="CI242" s="16">
        <v>0</v>
      </c>
      <c r="CJ242" s="16">
        <v>0</v>
      </c>
      <c r="CK242" s="16">
        <f t="shared" si="263"/>
        <v>16000</v>
      </c>
      <c r="CL242" s="16">
        <v>0</v>
      </c>
      <c r="CM242" s="16">
        <v>0</v>
      </c>
      <c r="CN242" s="16">
        <v>16000</v>
      </c>
      <c r="CO242" s="16">
        <v>0</v>
      </c>
      <c r="CP242" s="16">
        <v>0</v>
      </c>
      <c r="CQ242" s="16"/>
      <c r="CR242" s="16"/>
      <c r="CS242" s="16">
        <v>0</v>
      </c>
      <c r="CT242" s="16">
        <f t="shared" si="264"/>
        <v>0</v>
      </c>
      <c r="CU242" s="16">
        <f t="shared" si="265"/>
        <v>0</v>
      </c>
      <c r="CV242" s="16">
        <v>0</v>
      </c>
      <c r="CW242" s="17">
        <v>0</v>
      </c>
      <c r="CX242" s="40"/>
    </row>
    <row r="243" spans="1:102" ht="15.75" hidden="1" x14ac:dyDescent="0.25">
      <c r="A243" s="13" t="s">
        <v>1</v>
      </c>
      <c r="B243" s="14" t="s">
        <v>1</v>
      </c>
      <c r="C243" s="14" t="s">
        <v>21</v>
      </c>
      <c r="D243" s="30" t="s">
        <v>264</v>
      </c>
      <c r="E243" s="15">
        <f t="shared" si="293"/>
        <v>4518750</v>
      </c>
      <c r="F243" s="16">
        <f t="shared" si="294"/>
        <v>4132904</v>
      </c>
      <c r="G243" s="16">
        <f t="shared" si="295"/>
        <v>4132904</v>
      </c>
      <c r="H243" s="16">
        <f>1171057+3642</f>
        <v>1174699</v>
      </c>
      <c r="I243" s="16">
        <f>292764+910</f>
        <v>293674</v>
      </c>
      <c r="J243" s="16">
        <f t="shared" si="256"/>
        <v>1392500</v>
      </c>
      <c r="K243" s="16">
        <f>503769+23000</f>
        <v>526769</v>
      </c>
      <c r="L243" s="16">
        <v>34492</v>
      </c>
      <c r="M243" s="16">
        <v>68680</v>
      </c>
      <c r="N243" s="16">
        <v>0</v>
      </c>
      <c r="O243" s="16">
        <f>169370+30000</f>
        <v>199370</v>
      </c>
      <c r="P243" s="16">
        <f>346964+216225</f>
        <v>563189</v>
      </c>
      <c r="Q243" s="16">
        <f t="shared" si="257"/>
        <v>31296</v>
      </c>
      <c r="R243" s="16">
        <v>26736</v>
      </c>
      <c r="S243" s="16">
        <v>4560</v>
      </c>
      <c r="T243" s="16">
        <v>0</v>
      </c>
      <c r="U243" s="16">
        <v>40606</v>
      </c>
      <c r="V243" s="16">
        <f t="shared" si="296"/>
        <v>301970</v>
      </c>
      <c r="W243" s="16">
        <v>29360</v>
      </c>
      <c r="X243" s="16">
        <f>75384+1384</f>
        <v>76768</v>
      </c>
      <c r="Y243" s="16">
        <f>135225+8073</f>
        <v>143298</v>
      </c>
      <c r="Z243" s="16">
        <f>33857+5904</f>
        <v>39761</v>
      </c>
      <c r="AA243" s="16">
        <v>8629</v>
      </c>
      <c r="AB243" s="16">
        <v>0</v>
      </c>
      <c r="AC243" s="16">
        <v>0</v>
      </c>
      <c r="AD243" s="16">
        <f>3967+187</f>
        <v>4154</v>
      </c>
      <c r="AE243" s="16">
        <f t="shared" si="297"/>
        <v>898159</v>
      </c>
      <c r="AF243" s="16">
        <v>0</v>
      </c>
      <c r="AG243" s="16">
        <v>70238</v>
      </c>
      <c r="AH243" s="16">
        <f>245938+50000</f>
        <v>295938</v>
      </c>
      <c r="AI243" s="16">
        <v>0</v>
      </c>
      <c r="AJ243" s="16">
        <v>43388</v>
      </c>
      <c r="AK243" s="16">
        <v>0</v>
      </c>
      <c r="AL243" s="16">
        <v>1848</v>
      </c>
      <c r="AM243" s="16">
        <v>22400</v>
      </c>
      <c r="AN243" s="16">
        <v>0</v>
      </c>
      <c r="AO243" s="16">
        <v>0</v>
      </c>
      <c r="AP243" s="16"/>
      <c r="AQ243" s="16">
        <v>0</v>
      </c>
      <c r="AR243" s="16">
        <v>5000</v>
      </c>
      <c r="AS243" s="16">
        <v>78000</v>
      </c>
      <c r="AT243" s="16">
        <v>0</v>
      </c>
      <c r="AU243" s="16">
        <v>0</v>
      </c>
      <c r="AV243" s="16">
        <v>0</v>
      </c>
      <c r="AW243" s="16">
        <v>0</v>
      </c>
      <c r="AX243" s="16">
        <v>0</v>
      </c>
      <c r="AY243" s="16"/>
      <c r="AZ243" s="16">
        <f>254907+126440</f>
        <v>381347</v>
      </c>
      <c r="BA243" s="16">
        <f t="shared" si="298"/>
        <v>0</v>
      </c>
      <c r="BB243" s="16">
        <f t="shared" si="299"/>
        <v>0</v>
      </c>
      <c r="BC243" s="16">
        <v>0</v>
      </c>
      <c r="BD243" s="16">
        <v>0</v>
      </c>
      <c r="BE243" s="16">
        <v>0</v>
      </c>
      <c r="BF243" s="16">
        <f t="shared" si="258"/>
        <v>0</v>
      </c>
      <c r="BG243" s="16">
        <v>0</v>
      </c>
      <c r="BH243" s="16">
        <v>0</v>
      </c>
      <c r="BI243" s="16">
        <v>0</v>
      </c>
      <c r="BJ243" s="16">
        <v>0</v>
      </c>
      <c r="BK243" s="16">
        <f t="shared" si="259"/>
        <v>0</v>
      </c>
      <c r="BL243" s="16">
        <v>0</v>
      </c>
      <c r="BM243" s="16">
        <f t="shared" si="260"/>
        <v>0</v>
      </c>
      <c r="BN243" s="16">
        <v>0</v>
      </c>
      <c r="BO243" s="16">
        <v>0</v>
      </c>
      <c r="BP243" s="16">
        <v>0</v>
      </c>
      <c r="BQ243" s="16">
        <v>0</v>
      </c>
      <c r="BR243" s="16">
        <v>0</v>
      </c>
      <c r="BS243" s="16">
        <v>0</v>
      </c>
      <c r="BT243" s="16">
        <v>0</v>
      </c>
      <c r="BU243" s="16">
        <v>0</v>
      </c>
      <c r="BV243" s="16">
        <v>0</v>
      </c>
      <c r="BW243" s="16">
        <v>0</v>
      </c>
      <c r="BX243" s="16">
        <v>0</v>
      </c>
      <c r="BY243" s="16">
        <f t="shared" si="300"/>
        <v>385846</v>
      </c>
      <c r="BZ243" s="16">
        <f t="shared" si="301"/>
        <v>385846</v>
      </c>
      <c r="CA243" s="16">
        <f t="shared" si="261"/>
        <v>385846</v>
      </c>
      <c r="CB243" s="16">
        <v>0</v>
      </c>
      <c r="CC243" s="16">
        <f>209311+176535</f>
        <v>385846</v>
      </c>
      <c r="CD243" s="16">
        <f t="shared" si="262"/>
        <v>0</v>
      </c>
      <c r="CE243" s="16">
        <v>0</v>
      </c>
      <c r="CF243" s="16">
        <v>0</v>
      </c>
      <c r="CG243" s="16">
        <v>0</v>
      </c>
      <c r="CH243" s="16">
        <v>0</v>
      </c>
      <c r="CI243" s="16">
        <v>0</v>
      </c>
      <c r="CJ243" s="16">
        <v>0</v>
      </c>
      <c r="CK243" s="16">
        <f t="shared" si="263"/>
        <v>0</v>
      </c>
      <c r="CL243" s="16">
        <v>0</v>
      </c>
      <c r="CM243" s="16">
        <v>0</v>
      </c>
      <c r="CN243" s="16">
        <v>0</v>
      </c>
      <c r="CO243" s="16">
        <v>0</v>
      </c>
      <c r="CP243" s="16">
        <v>0</v>
      </c>
      <c r="CQ243" s="16"/>
      <c r="CR243" s="16"/>
      <c r="CS243" s="16">
        <v>0</v>
      </c>
      <c r="CT243" s="16">
        <f t="shared" si="264"/>
        <v>0</v>
      </c>
      <c r="CU243" s="16">
        <f t="shared" si="265"/>
        <v>0</v>
      </c>
      <c r="CV243" s="16">
        <v>0</v>
      </c>
      <c r="CW243" s="17">
        <v>0</v>
      </c>
      <c r="CX243" s="40"/>
    </row>
    <row r="244" spans="1:102" ht="31.5" hidden="1" x14ac:dyDescent="0.25">
      <c r="A244" s="13" t="s">
        <v>1</v>
      </c>
      <c r="B244" s="14" t="s">
        <v>1</v>
      </c>
      <c r="C244" s="14" t="s">
        <v>23</v>
      </c>
      <c r="D244" s="30" t="s">
        <v>267</v>
      </c>
      <c r="E244" s="15">
        <f t="shared" si="293"/>
        <v>10239290</v>
      </c>
      <c r="F244" s="16">
        <f t="shared" si="294"/>
        <v>9767597</v>
      </c>
      <c r="G244" s="16">
        <f t="shared" si="295"/>
        <v>9767597</v>
      </c>
      <c r="H244" s="16">
        <f>3201919-87022</f>
        <v>3114897</v>
      </c>
      <c r="I244" s="16">
        <f>785595-21756</f>
        <v>763839</v>
      </c>
      <c r="J244" s="16">
        <f t="shared" si="256"/>
        <v>2660682</v>
      </c>
      <c r="K244" s="16">
        <v>22772</v>
      </c>
      <c r="L244" s="16">
        <v>64233</v>
      </c>
      <c r="M244" s="16">
        <v>1170842</v>
      </c>
      <c r="N244" s="16">
        <v>0</v>
      </c>
      <c r="O244" s="16">
        <f>656316-20000</f>
        <v>636316</v>
      </c>
      <c r="P244" s="16">
        <f>813679-47160</f>
        <v>766519</v>
      </c>
      <c r="Q244" s="16">
        <f t="shared" si="257"/>
        <v>34044</v>
      </c>
      <c r="R244" s="16">
        <f>35894-1850</f>
        <v>34044</v>
      </c>
      <c r="S244" s="16">
        <v>0</v>
      </c>
      <c r="T244" s="16">
        <v>0</v>
      </c>
      <c r="U244" s="16">
        <f>223302-10080</f>
        <v>213222</v>
      </c>
      <c r="V244" s="16">
        <f t="shared" si="296"/>
        <v>1820593</v>
      </c>
      <c r="W244" s="16">
        <f>39783-3142</f>
        <v>36641</v>
      </c>
      <c r="X244" s="16">
        <f>971707-71062</f>
        <v>900645</v>
      </c>
      <c r="Y244" s="16">
        <f>545053+1549</f>
        <v>546602</v>
      </c>
      <c r="Z244" s="16">
        <f>221669+13109</f>
        <v>234778</v>
      </c>
      <c r="AA244" s="16">
        <f>100678-1436</f>
        <v>99242</v>
      </c>
      <c r="AB244" s="16">
        <v>0</v>
      </c>
      <c r="AC244" s="16">
        <v>0</v>
      </c>
      <c r="AD244" s="16">
        <f>2671+14</f>
        <v>2685</v>
      </c>
      <c r="AE244" s="16">
        <f t="shared" si="297"/>
        <v>1160320</v>
      </c>
      <c r="AF244" s="16">
        <v>0</v>
      </c>
      <c r="AG244" s="16">
        <f>47708-6500</f>
        <v>41208</v>
      </c>
      <c r="AH244" s="16">
        <v>310338</v>
      </c>
      <c r="AI244" s="16">
        <v>60048</v>
      </c>
      <c r="AJ244" s="16">
        <f>117612-7208</f>
        <v>110404</v>
      </c>
      <c r="AK244" s="16">
        <v>0</v>
      </c>
      <c r="AL244" s="16">
        <f>17009-1000</f>
        <v>16009</v>
      </c>
      <c r="AM244" s="16">
        <f>52987-5000</f>
        <v>47987</v>
      </c>
      <c r="AN244" s="16">
        <v>0</v>
      </c>
      <c r="AO244" s="16">
        <v>1076</v>
      </c>
      <c r="AP244" s="16"/>
      <c r="AQ244" s="16">
        <v>0</v>
      </c>
      <c r="AR244" s="16">
        <v>0</v>
      </c>
      <c r="AS244" s="16">
        <v>0</v>
      </c>
      <c r="AT244" s="16">
        <v>0</v>
      </c>
      <c r="AU244" s="16">
        <v>0</v>
      </c>
      <c r="AV244" s="16">
        <v>0</v>
      </c>
      <c r="AW244" s="16">
        <v>0</v>
      </c>
      <c r="AX244" s="16">
        <v>0</v>
      </c>
      <c r="AY244" s="16"/>
      <c r="AZ244" s="16">
        <f>610507-37257</f>
        <v>573250</v>
      </c>
      <c r="BA244" s="16">
        <f t="shared" si="298"/>
        <v>0</v>
      </c>
      <c r="BB244" s="16">
        <f t="shared" si="299"/>
        <v>0</v>
      </c>
      <c r="BC244" s="16">
        <v>0</v>
      </c>
      <c r="BD244" s="16">
        <v>0</v>
      </c>
      <c r="BE244" s="16">
        <v>0</v>
      </c>
      <c r="BF244" s="16">
        <f t="shared" si="258"/>
        <v>0</v>
      </c>
      <c r="BG244" s="16">
        <v>0</v>
      </c>
      <c r="BH244" s="16">
        <v>0</v>
      </c>
      <c r="BI244" s="16">
        <v>0</v>
      </c>
      <c r="BJ244" s="16">
        <v>0</v>
      </c>
      <c r="BK244" s="16">
        <f t="shared" si="259"/>
        <v>0</v>
      </c>
      <c r="BL244" s="16">
        <v>0</v>
      </c>
      <c r="BM244" s="16">
        <f t="shared" si="260"/>
        <v>0</v>
      </c>
      <c r="BN244" s="16">
        <v>0</v>
      </c>
      <c r="BO244" s="16">
        <v>0</v>
      </c>
      <c r="BP244" s="16">
        <v>0</v>
      </c>
      <c r="BQ244" s="16">
        <v>0</v>
      </c>
      <c r="BR244" s="16">
        <v>0</v>
      </c>
      <c r="BS244" s="16">
        <v>0</v>
      </c>
      <c r="BT244" s="16">
        <v>0</v>
      </c>
      <c r="BU244" s="16">
        <v>0</v>
      </c>
      <c r="BV244" s="16">
        <v>0</v>
      </c>
      <c r="BW244" s="16">
        <v>0</v>
      </c>
      <c r="BX244" s="16">
        <v>0</v>
      </c>
      <c r="BY244" s="16">
        <f t="shared" si="300"/>
        <v>471693</v>
      </c>
      <c r="BZ244" s="16">
        <f t="shared" si="301"/>
        <v>471693</v>
      </c>
      <c r="CA244" s="16">
        <f t="shared" si="261"/>
        <v>330420</v>
      </c>
      <c r="CB244" s="16">
        <v>0</v>
      </c>
      <c r="CC244" s="16">
        <v>330420</v>
      </c>
      <c r="CD244" s="16">
        <f t="shared" si="262"/>
        <v>0</v>
      </c>
      <c r="CE244" s="16">
        <v>0</v>
      </c>
      <c r="CF244" s="16">
        <v>0</v>
      </c>
      <c r="CG244" s="16">
        <v>0</v>
      </c>
      <c r="CH244" s="16">
        <v>0</v>
      </c>
      <c r="CI244" s="16">
        <v>0</v>
      </c>
      <c r="CJ244" s="16">
        <v>0</v>
      </c>
      <c r="CK244" s="16">
        <f t="shared" si="263"/>
        <v>141273</v>
      </c>
      <c r="CL244" s="16">
        <v>0</v>
      </c>
      <c r="CM244" s="16">
        <v>0</v>
      </c>
      <c r="CN244" s="16">
        <f>156273-15000</f>
        <v>141273</v>
      </c>
      <c r="CO244" s="16">
        <v>0</v>
      </c>
      <c r="CP244" s="16">
        <v>0</v>
      </c>
      <c r="CQ244" s="16"/>
      <c r="CR244" s="16"/>
      <c r="CS244" s="16">
        <v>0</v>
      </c>
      <c r="CT244" s="16">
        <f t="shared" si="264"/>
        <v>0</v>
      </c>
      <c r="CU244" s="16">
        <f t="shared" si="265"/>
        <v>0</v>
      </c>
      <c r="CV244" s="16">
        <v>0</v>
      </c>
      <c r="CW244" s="17">
        <v>0</v>
      </c>
      <c r="CX244" s="40"/>
    </row>
    <row r="245" spans="1:102" ht="31.5" hidden="1" x14ac:dyDescent="0.25">
      <c r="A245" s="13" t="s">
        <v>1</v>
      </c>
      <c r="B245" s="14" t="s">
        <v>1</v>
      </c>
      <c r="C245" s="14" t="s">
        <v>25</v>
      </c>
      <c r="D245" s="30" t="s">
        <v>268</v>
      </c>
      <c r="E245" s="15">
        <f t="shared" si="293"/>
        <v>1250000</v>
      </c>
      <c r="F245" s="16">
        <f t="shared" si="294"/>
        <v>1222651</v>
      </c>
      <c r="G245" s="16">
        <f t="shared" si="295"/>
        <v>1222651</v>
      </c>
      <c r="H245" s="16">
        <v>309757</v>
      </c>
      <c r="I245" s="16">
        <v>73246</v>
      </c>
      <c r="J245" s="16">
        <f t="shared" si="256"/>
        <v>3057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f>3235-178</f>
        <v>3057</v>
      </c>
      <c r="Q245" s="16">
        <f t="shared" si="257"/>
        <v>0</v>
      </c>
      <c r="R245" s="16">
        <v>0</v>
      </c>
      <c r="S245" s="16">
        <v>0</v>
      </c>
      <c r="T245" s="16">
        <v>0</v>
      </c>
      <c r="U245" s="16">
        <v>8860</v>
      </c>
      <c r="V245" s="16">
        <f t="shared" si="296"/>
        <v>5082</v>
      </c>
      <c r="W245" s="16">
        <v>688</v>
      </c>
      <c r="X245" s="16">
        <f>2133+24</f>
        <v>2157</v>
      </c>
      <c r="Y245" s="16">
        <f>1821+109</f>
        <v>1930</v>
      </c>
      <c r="Z245" s="16">
        <f>262+45</f>
        <v>307</v>
      </c>
      <c r="AA245" s="16">
        <v>0</v>
      </c>
      <c r="AB245" s="16">
        <v>0</v>
      </c>
      <c r="AC245" s="16">
        <v>0</v>
      </c>
      <c r="AD245" s="16">
        <v>0</v>
      </c>
      <c r="AE245" s="16">
        <f t="shared" si="297"/>
        <v>822649</v>
      </c>
      <c r="AF245" s="16">
        <v>0</v>
      </c>
      <c r="AG245" s="16">
        <v>0</v>
      </c>
      <c r="AH245" s="16">
        <v>322</v>
      </c>
      <c r="AI245" s="16">
        <v>0</v>
      </c>
      <c r="AJ245" s="16">
        <v>0</v>
      </c>
      <c r="AK245" s="16">
        <v>0</v>
      </c>
      <c r="AL245" s="16">
        <v>1585</v>
      </c>
      <c r="AM245" s="16">
        <v>820582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160</v>
      </c>
      <c r="AT245" s="16">
        <v>0</v>
      </c>
      <c r="AU245" s="16">
        <v>0</v>
      </c>
      <c r="AV245" s="16">
        <v>0</v>
      </c>
      <c r="AW245" s="16">
        <v>0</v>
      </c>
      <c r="AX245" s="16">
        <v>0</v>
      </c>
      <c r="AY245" s="16">
        <v>0</v>
      </c>
      <c r="AZ245" s="16">
        <v>0</v>
      </c>
      <c r="BA245" s="16">
        <f t="shared" si="298"/>
        <v>0</v>
      </c>
      <c r="BB245" s="16">
        <f t="shared" si="299"/>
        <v>0</v>
      </c>
      <c r="BC245" s="16">
        <v>0</v>
      </c>
      <c r="BD245" s="16">
        <v>0</v>
      </c>
      <c r="BE245" s="16">
        <v>0</v>
      </c>
      <c r="BF245" s="16">
        <f t="shared" si="258"/>
        <v>0</v>
      </c>
      <c r="BG245" s="16">
        <v>0</v>
      </c>
      <c r="BH245" s="16">
        <v>0</v>
      </c>
      <c r="BI245" s="16">
        <v>0</v>
      </c>
      <c r="BJ245" s="16">
        <v>0</v>
      </c>
      <c r="BK245" s="16">
        <f t="shared" si="259"/>
        <v>0</v>
      </c>
      <c r="BL245" s="16">
        <v>0</v>
      </c>
      <c r="BM245" s="16">
        <f t="shared" si="260"/>
        <v>0</v>
      </c>
      <c r="BN245" s="16">
        <v>0</v>
      </c>
      <c r="BO245" s="16">
        <v>0</v>
      </c>
      <c r="BP245" s="16">
        <v>0</v>
      </c>
      <c r="BQ245" s="16">
        <v>0</v>
      </c>
      <c r="BR245" s="16">
        <v>0</v>
      </c>
      <c r="BS245" s="16">
        <v>0</v>
      </c>
      <c r="BT245" s="16">
        <v>0</v>
      </c>
      <c r="BU245" s="16">
        <v>0</v>
      </c>
      <c r="BV245" s="16">
        <v>0</v>
      </c>
      <c r="BW245" s="16">
        <v>0</v>
      </c>
      <c r="BX245" s="16">
        <v>0</v>
      </c>
      <c r="BY245" s="16">
        <f t="shared" si="300"/>
        <v>27349</v>
      </c>
      <c r="BZ245" s="16">
        <f t="shared" si="301"/>
        <v>27349</v>
      </c>
      <c r="CA245" s="16">
        <f t="shared" si="261"/>
        <v>27349</v>
      </c>
      <c r="CB245" s="16">
        <v>0</v>
      </c>
      <c r="CC245" s="16">
        <v>27349</v>
      </c>
      <c r="CD245" s="16">
        <f t="shared" si="262"/>
        <v>0</v>
      </c>
      <c r="CE245" s="16">
        <v>0</v>
      </c>
      <c r="CF245" s="16">
        <v>0</v>
      </c>
      <c r="CG245" s="16">
        <v>0</v>
      </c>
      <c r="CH245" s="16">
        <v>0</v>
      </c>
      <c r="CI245" s="16">
        <v>0</v>
      </c>
      <c r="CJ245" s="16">
        <v>0</v>
      </c>
      <c r="CK245" s="16">
        <f t="shared" si="263"/>
        <v>0</v>
      </c>
      <c r="CL245" s="16">
        <v>0</v>
      </c>
      <c r="CM245" s="16">
        <v>0</v>
      </c>
      <c r="CN245" s="16">
        <v>0</v>
      </c>
      <c r="CO245" s="16">
        <v>0</v>
      </c>
      <c r="CP245" s="16">
        <v>0</v>
      </c>
      <c r="CQ245" s="16">
        <v>0</v>
      </c>
      <c r="CR245" s="16">
        <v>0</v>
      </c>
      <c r="CS245" s="16">
        <v>0</v>
      </c>
      <c r="CT245" s="16">
        <f t="shared" si="264"/>
        <v>0</v>
      </c>
      <c r="CU245" s="16">
        <f t="shared" si="265"/>
        <v>0</v>
      </c>
      <c r="CV245" s="16">
        <v>0</v>
      </c>
      <c r="CW245" s="17">
        <v>0</v>
      </c>
      <c r="CX245" s="40"/>
    </row>
    <row r="246" spans="1:102" ht="15.75" hidden="1" x14ac:dyDescent="0.25">
      <c r="A246" s="13" t="s">
        <v>1</v>
      </c>
      <c r="B246" s="14" t="s">
        <v>1</v>
      </c>
      <c r="C246" s="14" t="s">
        <v>91</v>
      </c>
      <c r="D246" s="30" t="s">
        <v>269</v>
      </c>
      <c r="E246" s="15">
        <f t="shared" si="293"/>
        <v>51341867</v>
      </c>
      <c r="F246" s="16">
        <f t="shared" si="294"/>
        <v>47482995</v>
      </c>
      <c r="G246" s="16">
        <f t="shared" si="295"/>
        <v>47482995</v>
      </c>
      <c r="H246" s="16">
        <f>30643991+470263</f>
        <v>31114254</v>
      </c>
      <c r="I246" s="16">
        <f>2871781+128195</f>
        <v>2999976</v>
      </c>
      <c r="J246" s="16">
        <f t="shared" si="256"/>
        <v>8203757</v>
      </c>
      <c r="K246" s="16">
        <f>111332+50000</f>
        <v>161332</v>
      </c>
      <c r="L246" s="16">
        <f>1681337+30000+100000</f>
        <v>1811337</v>
      </c>
      <c r="M246" s="16">
        <v>410434</v>
      </c>
      <c r="N246" s="16">
        <v>0</v>
      </c>
      <c r="O246" s="16">
        <f>2630665-14082</f>
        <v>2616583</v>
      </c>
      <c r="P246" s="16">
        <f>3082387+21684+100000</f>
        <v>3204071</v>
      </c>
      <c r="Q246" s="16">
        <f t="shared" si="257"/>
        <v>151230</v>
      </c>
      <c r="R246" s="16">
        <v>31230</v>
      </c>
      <c r="S246" s="16">
        <v>120000</v>
      </c>
      <c r="T246" s="16">
        <v>0</v>
      </c>
      <c r="U246" s="16">
        <f>367942+50000</f>
        <v>417942</v>
      </c>
      <c r="V246" s="16">
        <f t="shared" si="296"/>
        <v>499610</v>
      </c>
      <c r="W246" s="16">
        <f>68156+6000</f>
        <v>74156</v>
      </c>
      <c r="X246" s="16">
        <f>193659-62552</f>
        <v>131107</v>
      </c>
      <c r="Y246" s="16">
        <f>146584-3011</f>
        <v>143573</v>
      </c>
      <c r="Z246" s="16">
        <f>81199+14207</f>
        <v>95406</v>
      </c>
      <c r="AA246" s="16">
        <v>26040</v>
      </c>
      <c r="AB246" s="16">
        <v>16724</v>
      </c>
      <c r="AC246" s="16">
        <v>0</v>
      </c>
      <c r="AD246" s="16">
        <f>8536+4068</f>
        <v>12604</v>
      </c>
      <c r="AE246" s="16">
        <f t="shared" si="297"/>
        <v>4096226</v>
      </c>
      <c r="AF246" s="16">
        <v>0</v>
      </c>
      <c r="AG246" s="16">
        <f>225498+40000</f>
        <v>265498</v>
      </c>
      <c r="AH246" s="16">
        <f>701512+589106</f>
        <v>1290618</v>
      </c>
      <c r="AI246" s="16">
        <v>49914</v>
      </c>
      <c r="AJ246" s="16">
        <f>46162+13776</f>
        <v>59938</v>
      </c>
      <c r="AK246" s="16">
        <v>7380</v>
      </c>
      <c r="AL246" s="16">
        <v>8868</v>
      </c>
      <c r="AM246" s="16">
        <v>34163</v>
      </c>
      <c r="AN246" s="16">
        <v>0</v>
      </c>
      <c r="AO246" s="16">
        <v>0</v>
      </c>
      <c r="AP246" s="16">
        <v>0</v>
      </c>
      <c r="AQ246" s="16">
        <f>72307+17000</f>
        <v>89307</v>
      </c>
      <c r="AR246" s="16">
        <v>0</v>
      </c>
      <c r="AS246" s="16">
        <f>109300+10000</f>
        <v>119300</v>
      </c>
      <c r="AT246" s="16">
        <v>0</v>
      </c>
      <c r="AU246" s="16">
        <v>0</v>
      </c>
      <c r="AV246" s="16">
        <v>0</v>
      </c>
      <c r="AW246" s="16">
        <v>1588691</v>
      </c>
      <c r="AX246" s="16">
        <v>0</v>
      </c>
      <c r="AY246" s="16">
        <v>0</v>
      </c>
      <c r="AZ246" s="16">
        <f>532526+20023+30000</f>
        <v>582549</v>
      </c>
      <c r="BA246" s="16">
        <f t="shared" si="298"/>
        <v>0</v>
      </c>
      <c r="BB246" s="16">
        <f t="shared" si="299"/>
        <v>0</v>
      </c>
      <c r="BC246" s="16">
        <v>0</v>
      </c>
      <c r="BD246" s="16">
        <v>0</v>
      </c>
      <c r="BE246" s="16">
        <v>0</v>
      </c>
      <c r="BF246" s="16">
        <f t="shared" si="258"/>
        <v>0</v>
      </c>
      <c r="BG246" s="16">
        <v>0</v>
      </c>
      <c r="BH246" s="16">
        <v>0</v>
      </c>
      <c r="BI246" s="16">
        <v>0</v>
      </c>
      <c r="BJ246" s="16">
        <v>0</v>
      </c>
      <c r="BK246" s="16">
        <f t="shared" si="259"/>
        <v>0</v>
      </c>
      <c r="BL246" s="16">
        <v>0</v>
      </c>
      <c r="BM246" s="16">
        <f t="shared" si="260"/>
        <v>0</v>
      </c>
      <c r="BN246" s="16">
        <v>0</v>
      </c>
      <c r="BO246" s="16">
        <v>0</v>
      </c>
      <c r="BP246" s="16">
        <v>0</v>
      </c>
      <c r="BQ246" s="16">
        <v>0</v>
      </c>
      <c r="BR246" s="16">
        <v>0</v>
      </c>
      <c r="BS246" s="16">
        <v>0</v>
      </c>
      <c r="BT246" s="16">
        <v>0</v>
      </c>
      <c r="BU246" s="16">
        <v>0</v>
      </c>
      <c r="BV246" s="16">
        <v>0</v>
      </c>
      <c r="BW246" s="16">
        <v>0</v>
      </c>
      <c r="BX246" s="16">
        <v>0</v>
      </c>
      <c r="BY246" s="16">
        <f t="shared" si="300"/>
        <v>3858872</v>
      </c>
      <c r="BZ246" s="16">
        <f t="shared" si="301"/>
        <v>3858872</v>
      </c>
      <c r="CA246" s="16">
        <f t="shared" si="261"/>
        <v>1813750</v>
      </c>
      <c r="CB246" s="16">
        <v>0</v>
      </c>
      <c r="CC246" s="16">
        <f>1228526+585224</f>
        <v>1813750</v>
      </c>
      <c r="CD246" s="16">
        <f t="shared" si="262"/>
        <v>800000</v>
      </c>
      <c r="CE246" s="16">
        <v>0</v>
      </c>
      <c r="CF246" s="16">
        <v>0</v>
      </c>
      <c r="CG246" s="16">
        <v>0</v>
      </c>
      <c r="CH246" s="16">
        <v>800000</v>
      </c>
      <c r="CI246" s="16">
        <v>0</v>
      </c>
      <c r="CJ246" s="16">
        <v>0</v>
      </c>
      <c r="CK246" s="16">
        <f t="shared" si="263"/>
        <v>1245122</v>
      </c>
      <c r="CL246" s="16">
        <v>0</v>
      </c>
      <c r="CM246" s="16">
        <v>0</v>
      </c>
      <c r="CN246" s="16">
        <v>0</v>
      </c>
      <c r="CO246" s="16">
        <f>987827-12705+270000</f>
        <v>1245122</v>
      </c>
      <c r="CP246" s="16">
        <v>0</v>
      </c>
      <c r="CQ246" s="16">
        <v>0</v>
      </c>
      <c r="CR246" s="16">
        <v>0</v>
      </c>
      <c r="CS246" s="16">
        <v>0</v>
      </c>
      <c r="CT246" s="16">
        <f t="shared" si="264"/>
        <v>0</v>
      </c>
      <c r="CU246" s="16">
        <f t="shared" si="265"/>
        <v>0</v>
      </c>
      <c r="CV246" s="16">
        <v>0</v>
      </c>
      <c r="CW246" s="17">
        <v>0</v>
      </c>
      <c r="CX246" s="40"/>
    </row>
    <row r="247" spans="1:102" ht="31.5" hidden="1" x14ac:dyDescent="0.25">
      <c r="A247" s="13" t="s">
        <v>1</v>
      </c>
      <c r="B247" s="14" t="s">
        <v>1</v>
      </c>
      <c r="C247" s="14" t="s">
        <v>29</v>
      </c>
      <c r="D247" s="30" t="s">
        <v>273</v>
      </c>
      <c r="E247" s="15">
        <f t="shared" si="293"/>
        <v>3140489</v>
      </c>
      <c r="F247" s="16">
        <f t="shared" si="294"/>
        <v>3050489</v>
      </c>
      <c r="G247" s="16">
        <f t="shared" si="295"/>
        <v>3050489</v>
      </c>
      <c r="H247" s="16">
        <f>899765+77314</f>
        <v>977079</v>
      </c>
      <c r="I247" s="16">
        <f>224941+19328</f>
        <v>244269</v>
      </c>
      <c r="J247" s="16">
        <f>SUM(K247:P247)</f>
        <v>793444</v>
      </c>
      <c r="K247" s="16">
        <v>0</v>
      </c>
      <c r="L247" s="16">
        <v>0</v>
      </c>
      <c r="M247" s="16">
        <v>0</v>
      </c>
      <c r="N247" s="16">
        <v>0</v>
      </c>
      <c r="O247" s="16">
        <f>480000+5000</f>
        <v>485000</v>
      </c>
      <c r="P247" s="16">
        <f>259500+48944</f>
        <v>308444</v>
      </c>
      <c r="Q247" s="16">
        <f>SUM(R247:S247)</f>
        <v>55000</v>
      </c>
      <c r="R247" s="16">
        <v>0</v>
      </c>
      <c r="S247" s="16">
        <v>55000</v>
      </c>
      <c r="T247" s="16">
        <f>25000+1800</f>
        <v>26800</v>
      </c>
      <c r="U247" s="16">
        <v>32000</v>
      </c>
      <c r="V247" s="16">
        <f t="shared" si="296"/>
        <v>51821</v>
      </c>
      <c r="W247" s="16">
        <v>0</v>
      </c>
      <c r="X247" s="16">
        <v>0</v>
      </c>
      <c r="Y247" s="16">
        <f>0+10000</f>
        <v>10000</v>
      </c>
      <c r="Z247" s="16">
        <f>0+11500</f>
        <v>11500</v>
      </c>
      <c r="AA247" s="16">
        <v>23200</v>
      </c>
      <c r="AB247" s="16">
        <f>2000+2400</f>
        <v>4400</v>
      </c>
      <c r="AC247" s="16">
        <v>0</v>
      </c>
      <c r="AD247" s="16">
        <f>2178+543</f>
        <v>2721</v>
      </c>
      <c r="AE247" s="16">
        <f>SUM(AF247:AZ247)</f>
        <v>870076</v>
      </c>
      <c r="AF247" s="16">
        <v>335000</v>
      </c>
      <c r="AG247" s="16">
        <f>12300+11320</f>
        <v>23620</v>
      </c>
      <c r="AH247" s="16">
        <f>55200+30000</f>
        <v>85200</v>
      </c>
      <c r="AI247" s="16">
        <v>0</v>
      </c>
      <c r="AJ247" s="16">
        <v>20268</v>
      </c>
      <c r="AK247" s="16">
        <v>0</v>
      </c>
      <c r="AL247" s="16">
        <f>13400+1500</f>
        <v>14900</v>
      </c>
      <c r="AM247" s="16">
        <v>23000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f>0+4000</f>
        <v>4000</v>
      </c>
      <c r="AT247" s="16">
        <v>0</v>
      </c>
      <c r="AU247" s="16">
        <v>0</v>
      </c>
      <c r="AV247" s="16">
        <v>0</v>
      </c>
      <c r="AW247" s="16">
        <v>0</v>
      </c>
      <c r="AX247" s="16">
        <v>0</v>
      </c>
      <c r="AY247" s="16">
        <v>0</v>
      </c>
      <c r="AZ247" s="16">
        <f>354088+10000</f>
        <v>364088</v>
      </c>
      <c r="BA247" s="16">
        <f t="shared" si="298"/>
        <v>0</v>
      </c>
      <c r="BB247" s="16">
        <f t="shared" si="299"/>
        <v>0</v>
      </c>
      <c r="BC247" s="16">
        <v>0</v>
      </c>
      <c r="BD247" s="16">
        <v>0</v>
      </c>
      <c r="BE247" s="16">
        <v>0</v>
      </c>
      <c r="BF247" s="16">
        <f>SUM(BG247:BH247)</f>
        <v>0</v>
      </c>
      <c r="BG247" s="16">
        <v>0</v>
      </c>
      <c r="BH247" s="16">
        <v>0</v>
      </c>
      <c r="BI247" s="16">
        <v>0</v>
      </c>
      <c r="BJ247" s="16">
        <v>0</v>
      </c>
      <c r="BK247" s="16">
        <f>SUM(BL247)</f>
        <v>0</v>
      </c>
      <c r="BL247" s="16">
        <v>0</v>
      </c>
      <c r="BM247" s="16">
        <f>SUM(BN247:BX247)</f>
        <v>0</v>
      </c>
      <c r="BN247" s="16">
        <v>0</v>
      </c>
      <c r="BO247" s="16">
        <v>0</v>
      </c>
      <c r="BP247" s="16">
        <v>0</v>
      </c>
      <c r="BQ247" s="16">
        <v>0</v>
      </c>
      <c r="BR247" s="16">
        <v>0</v>
      </c>
      <c r="BS247" s="16">
        <v>0</v>
      </c>
      <c r="BT247" s="16">
        <v>0</v>
      </c>
      <c r="BU247" s="16">
        <v>0</v>
      </c>
      <c r="BV247" s="16">
        <v>0</v>
      </c>
      <c r="BW247" s="16">
        <v>0</v>
      </c>
      <c r="BX247" s="16">
        <v>0</v>
      </c>
      <c r="BY247" s="16">
        <f t="shared" si="300"/>
        <v>90000</v>
      </c>
      <c r="BZ247" s="16">
        <f t="shared" si="301"/>
        <v>90000</v>
      </c>
      <c r="CA247" s="16">
        <f>SUM(CB247:CC247)</f>
        <v>90000</v>
      </c>
      <c r="CB247" s="16">
        <v>0</v>
      </c>
      <c r="CC247" s="16">
        <f>60000+30000</f>
        <v>90000</v>
      </c>
      <c r="CD247" s="16">
        <f>SUM(CE247:CI247)</f>
        <v>0</v>
      </c>
      <c r="CE247" s="16">
        <v>0</v>
      </c>
      <c r="CF247" s="16">
        <v>0</v>
      </c>
      <c r="CG247" s="16">
        <v>0</v>
      </c>
      <c r="CH247" s="16">
        <v>0</v>
      </c>
      <c r="CI247" s="16">
        <v>0</v>
      </c>
      <c r="CJ247" s="16">
        <v>0</v>
      </c>
      <c r="CK247" s="16">
        <f>SUM(CL247:CP247)</f>
        <v>0</v>
      </c>
      <c r="CL247" s="16">
        <v>0</v>
      </c>
      <c r="CM247" s="16">
        <v>0</v>
      </c>
      <c r="CN247" s="16">
        <v>0</v>
      </c>
      <c r="CO247" s="16">
        <v>0</v>
      </c>
      <c r="CP247" s="16">
        <v>0</v>
      </c>
      <c r="CQ247" s="16">
        <v>0</v>
      </c>
      <c r="CR247" s="16">
        <v>0</v>
      </c>
      <c r="CS247" s="16">
        <v>0</v>
      </c>
      <c r="CT247" s="16">
        <f>SUM(CU247)</f>
        <v>0</v>
      </c>
      <c r="CU247" s="16">
        <f>SUM(CV247:CW247)</f>
        <v>0</v>
      </c>
      <c r="CV247" s="16">
        <v>0</v>
      </c>
      <c r="CW247" s="17">
        <v>0</v>
      </c>
      <c r="CX247" s="40"/>
    </row>
    <row r="248" spans="1:102" ht="31.5" hidden="1" x14ac:dyDescent="0.25">
      <c r="A248" s="13" t="s">
        <v>1</v>
      </c>
      <c r="B248" s="14" t="s">
        <v>1</v>
      </c>
      <c r="C248" s="14" t="s">
        <v>29</v>
      </c>
      <c r="D248" s="30" t="s">
        <v>274</v>
      </c>
      <c r="E248" s="15">
        <f t="shared" si="293"/>
        <v>26456167</v>
      </c>
      <c r="F248" s="16">
        <f t="shared" si="294"/>
        <v>23981735</v>
      </c>
      <c r="G248" s="16">
        <f t="shared" si="295"/>
        <v>23981735</v>
      </c>
      <c r="H248" s="16">
        <f>2500000+1134995</f>
        <v>3634995</v>
      </c>
      <c r="I248" s="16">
        <f>625000+283748</f>
        <v>908748</v>
      </c>
      <c r="J248" s="16">
        <f>SUM(K248:P248)</f>
        <v>1857226</v>
      </c>
      <c r="K248" s="16">
        <v>0</v>
      </c>
      <c r="L248" s="16">
        <v>200000</v>
      </c>
      <c r="M248" s="16">
        <v>0</v>
      </c>
      <c r="N248" s="16">
        <v>0</v>
      </c>
      <c r="O248" s="16">
        <v>952226</v>
      </c>
      <c r="P248" s="16">
        <v>705000</v>
      </c>
      <c r="Q248" s="16">
        <f>SUM(R248:S248)</f>
        <v>0</v>
      </c>
      <c r="R248" s="16">
        <v>0</v>
      </c>
      <c r="S248" s="16">
        <v>0</v>
      </c>
      <c r="T248" s="16">
        <v>0</v>
      </c>
      <c r="U248" s="16">
        <f>80853+10000</f>
        <v>90853</v>
      </c>
      <c r="V248" s="16">
        <f t="shared" si="296"/>
        <v>15826332</v>
      </c>
      <c r="W248" s="16">
        <v>0</v>
      </c>
      <c r="X248" s="16">
        <f>12473+144</f>
        <v>12617</v>
      </c>
      <c r="Y248" s="16">
        <f>7011562+2000500+6791730</f>
        <v>15803792</v>
      </c>
      <c r="Z248" s="16">
        <f>2668+463</f>
        <v>3131</v>
      </c>
      <c r="AA248" s="16">
        <v>3348</v>
      </c>
      <c r="AB248" s="16">
        <v>0</v>
      </c>
      <c r="AC248" s="16">
        <v>0</v>
      </c>
      <c r="AD248" s="16">
        <f>3289+155</f>
        <v>3444</v>
      </c>
      <c r="AE248" s="16">
        <f>SUM(AF248:AZ248)</f>
        <v>1663581</v>
      </c>
      <c r="AF248" s="16">
        <v>0</v>
      </c>
      <c r="AG248" s="16">
        <v>353062</v>
      </c>
      <c r="AH248" s="16">
        <v>693395</v>
      </c>
      <c r="AI248" s="16">
        <v>0</v>
      </c>
      <c r="AJ248" s="16">
        <v>12729</v>
      </c>
      <c r="AK248" s="16">
        <v>0</v>
      </c>
      <c r="AL248" s="16">
        <f>15099+15000</f>
        <v>30099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0</v>
      </c>
      <c r="AV248" s="16">
        <v>0</v>
      </c>
      <c r="AW248" s="16">
        <v>0</v>
      </c>
      <c r="AX248" s="16">
        <v>0</v>
      </c>
      <c r="AY248" s="16">
        <v>0</v>
      </c>
      <c r="AZ248" s="16">
        <f>929296-355000</f>
        <v>574296</v>
      </c>
      <c r="BA248" s="16">
        <f t="shared" si="298"/>
        <v>0</v>
      </c>
      <c r="BB248" s="16">
        <f t="shared" si="299"/>
        <v>0</v>
      </c>
      <c r="BC248" s="16">
        <v>0</v>
      </c>
      <c r="BD248" s="16">
        <v>0</v>
      </c>
      <c r="BE248" s="16">
        <v>0</v>
      </c>
      <c r="BF248" s="16">
        <f>SUM(BG248:BH248)</f>
        <v>0</v>
      </c>
      <c r="BG248" s="16">
        <v>0</v>
      </c>
      <c r="BH248" s="16">
        <v>0</v>
      </c>
      <c r="BI248" s="16">
        <v>0</v>
      </c>
      <c r="BJ248" s="16">
        <v>0</v>
      </c>
      <c r="BK248" s="16">
        <f>SUM(BL248)</f>
        <v>0</v>
      </c>
      <c r="BL248" s="16">
        <v>0</v>
      </c>
      <c r="BM248" s="16">
        <f>SUM(BN248:BX248)</f>
        <v>0</v>
      </c>
      <c r="BN248" s="16">
        <v>0</v>
      </c>
      <c r="BO248" s="16">
        <v>0</v>
      </c>
      <c r="BP248" s="16">
        <v>0</v>
      </c>
      <c r="BQ248" s="16">
        <v>0</v>
      </c>
      <c r="BR248" s="16">
        <v>0</v>
      </c>
      <c r="BS248" s="16">
        <v>0</v>
      </c>
      <c r="BT248" s="16">
        <v>0</v>
      </c>
      <c r="BU248" s="16">
        <v>0</v>
      </c>
      <c r="BV248" s="16">
        <v>0</v>
      </c>
      <c r="BW248" s="16">
        <v>0</v>
      </c>
      <c r="BX248" s="16">
        <v>0</v>
      </c>
      <c r="BY248" s="16">
        <f t="shared" si="300"/>
        <v>2474432</v>
      </c>
      <c r="BZ248" s="16">
        <f t="shared" si="301"/>
        <v>2474432</v>
      </c>
      <c r="CA248" s="16">
        <f>SUM(CB248:CC248)</f>
        <v>1400000</v>
      </c>
      <c r="CB248" s="16">
        <f>0+1000000</f>
        <v>1000000</v>
      </c>
      <c r="CC248" s="16">
        <v>400000</v>
      </c>
      <c r="CD248" s="16">
        <f>SUM(CE248:CI248)</f>
        <v>0</v>
      </c>
      <c r="CE248" s="16">
        <v>0</v>
      </c>
      <c r="CF248" s="16">
        <v>0</v>
      </c>
      <c r="CG248" s="16">
        <v>0</v>
      </c>
      <c r="CH248" s="16">
        <v>0</v>
      </c>
      <c r="CI248" s="16">
        <v>0</v>
      </c>
      <c r="CJ248" s="16">
        <v>0</v>
      </c>
      <c r="CK248" s="16">
        <f>SUM(CL248:CP248)</f>
        <v>1074432</v>
      </c>
      <c r="CL248" s="16">
        <v>0</v>
      </c>
      <c r="CM248" s="16">
        <v>0</v>
      </c>
      <c r="CN248" s="16">
        <f>0+355000</f>
        <v>355000</v>
      </c>
      <c r="CO248" s="16">
        <v>0</v>
      </c>
      <c r="CP248" s="16">
        <f>0+719432</f>
        <v>719432</v>
      </c>
      <c r="CQ248" s="16">
        <v>0</v>
      </c>
      <c r="CR248" s="16">
        <v>0</v>
      </c>
      <c r="CS248" s="16">
        <v>0</v>
      </c>
      <c r="CT248" s="16">
        <f>SUM(CU248)</f>
        <v>0</v>
      </c>
      <c r="CU248" s="16">
        <f>SUM(CV248:CW248)</f>
        <v>0</v>
      </c>
      <c r="CV248" s="16">
        <v>0</v>
      </c>
      <c r="CW248" s="17">
        <v>0</v>
      </c>
      <c r="CX248" s="40"/>
    </row>
    <row r="249" spans="1:102" ht="31.5" hidden="1" x14ac:dyDescent="0.25">
      <c r="A249" s="13" t="s">
        <v>1</v>
      </c>
      <c r="B249" s="14" t="s">
        <v>1</v>
      </c>
      <c r="C249" s="14" t="s">
        <v>29</v>
      </c>
      <c r="D249" s="30" t="s">
        <v>272</v>
      </c>
      <c r="E249" s="15">
        <f t="shared" si="293"/>
        <v>14296150</v>
      </c>
      <c r="F249" s="16">
        <f t="shared" si="294"/>
        <v>13257331</v>
      </c>
      <c r="G249" s="16">
        <f t="shared" si="295"/>
        <v>13257331</v>
      </c>
      <c r="H249" s="16">
        <f>4216619+641490</f>
        <v>4858109</v>
      </c>
      <c r="I249" s="16">
        <f>1054155+160372</f>
        <v>1214527</v>
      </c>
      <c r="J249" s="16">
        <f t="shared" si="256"/>
        <v>3649943</v>
      </c>
      <c r="K249" s="16">
        <v>1500000</v>
      </c>
      <c r="L249" s="16">
        <v>0</v>
      </c>
      <c r="M249" s="16">
        <v>5000</v>
      </c>
      <c r="N249" s="16">
        <v>0</v>
      </c>
      <c r="O249" s="16">
        <f>863921+350000</f>
        <v>1213921</v>
      </c>
      <c r="P249" s="16">
        <f>572022+359000</f>
        <v>931022</v>
      </c>
      <c r="Q249" s="16">
        <f t="shared" si="257"/>
        <v>41526</v>
      </c>
      <c r="R249" s="16">
        <v>400</v>
      </c>
      <c r="S249" s="16">
        <v>41126</v>
      </c>
      <c r="T249" s="16">
        <v>0</v>
      </c>
      <c r="U249" s="16">
        <v>116016</v>
      </c>
      <c r="V249" s="16">
        <f t="shared" si="296"/>
        <v>299415</v>
      </c>
      <c r="W249" s="16">
        <v>0</v>
      </c>
      <c r="X249" s="16">
        <f>77845+13814</f>
        <v>91659</v>
      </c>
      <c r="Y249" s="16">
        <f>91975+30491</f>
        <v>122466</v>
      </c>
      <c r="Z249" s="16">
        <f>5832+15015</f>
        <v>20847</v>
      </c>
      <c r="AA249" s="16">
        <v>26818</v>
      </c>
      <c r="AB249" s="16">
        <v>2000</v>
      </c>
      <c r="AC249" s="16">
        <v>0</v>
      </c>
      <c r="AD249" s="16">
        <f>20128+15497</f>
        <v>35625</v>
      </c>
      <c r="AE249" s="16">
        <f t="shared" si="297"/>
        <v>3077795</v>
      </c>
      <c r="AF249" s="16">
        <v>0</v>
      </c>
      <c r="AG249" s="16">
        <f>50600+50000</f>
        <v>100600</v>
      </c>
      <c r="AH249" s="16">
        <f>999956+700000</f>
        <v>1699956</v>
      </c>
      <c r="AI249" s="16">
        <v>0</v>
      </c>
      <c r="AJ249" s="16">
        <f>31562+20000</f>
        <v>51562</v>
      </c>
      <c r="AK249" s="16">
        <v>0</v>
      </c>
      <c r="AL249" s="16">
        <v>41126</v>
      </c>
      <c r="AM249" s="16">
        <v>200000</v>
      </c>
      <c r="AN249" s="16">
        <v>0</v>
      </c>
      <c r="AO249" s="16">
        <v>0</v>
      </c>
      <c r="AP249" s="16">
        <v>0</v>
      </c>
      <c r="AQ249" s="16">
        <v>0</v>
      </c>
      <c r="AR249" s="16">
        <f>46774+21000</f>
        <v>67774</v>
      </c>
      <c r="AS249" s="16">
        <v>0</v>
      </c>
      <c r="AT249" s="16">
        <v>0</v>
      </c>
      <c r="AU249" s="16">
        <v>0</v>
      </c>
      <c r="AV249" s="16">
        <v>0</v>
      </c>
      <c r="AW249" s="16">
        <v>0</v>
      </c>
      <c r="AX249" s="16">
        <v>0</v>
      </c>
      <c r="AY249" s="16">
        <v>0</v>
      </c>
      <c r="AZ249" s="16">
        <f>2716777-1800000</f>
        <v>916777</v>
      </c>
      <c r="BA249" s="16">
        <f t="shared" si="298"/>
        <v>0</v>
      </c>
      <c r="BB249" s="16">
        <f t="shared" si="299"/>
        <v>0</v>
      </c>
      <c r="BC249" s="16">
        <v>0</v>
      </c>
      <c r="BD249" s="16">
        <v>0</v>
      </c>
      <c r="BE249" s="16">
        <v>0</v>
      </c>
      <c r="BF249" s="16">
        <f t="shared" si="258"/>
        <v>0</v>
      </c>
      <c r="BG249" s="16">
        <v>0</v>
      </c>
      <c r="BH249" s="16">
        <v>0</v>
      </c>
      <c r="BI249" s="16">
        <v>0</v>
      </c>
      <c r="BJ249" s="16">
        <v>0</v>
      </c>
      <c r="BK249" s="16">
        <f t="shared" si="259"/>
        <v>0</v>
      </c>
      <c r="BL249" s="16">
        <v>0</v>
      </c>
      <c r="BM249" s="16">
        <f t="shared" si="260"/>
        <v>0</v>
      </c>
      <c r="BN249" s="16">
        <v>0</v>
      </c>
      <c r="BO249" s="16">
        <v>0</v>
      </c>
      <c r="BP249" s="16">
        <v>0</v>
      </c>
      <c r="BQ249" s="16">
        <v>0</v>
      </c>
      <c r="BR249" s="16">
        <v>0</v>
      </c>
      <c r="BS249" s="16">
        <v>0</v>
      </c>
      <c r="BT249" s="16">
        <v>0</v>
      </c>
      <c r="BU249" s="16">
        <v>0</v>
      </c>
      <c r="BV249" s="16">
        <v>0</v>
      </c>
      <c r="BW249" s="16">
        <v>0</v>
      </c>
      <c r="BX249" s="16">
        <v>0</v>
      </c>
      <c r="BY249" s="16">
        <f t="shared" si="300"/>
        <v>1038819</v>
      </c>
      <c r="BZ249" s="16">
        <f t="shared" si="301"/>
        <v>1038819</v>
      </c>
      <c r="CA249" s="16">
        <f t="shared" si="261"/>
        <v>1038819</v>
      </c>
      <c r="CB249" s="16">
        <v>0</v>
      </c>
      <c r="CC249" s="16">
        <f>496284+242535+300000</f>
        <v>1038819</v>
      </c>
      <c r="CD249" s="16">
        <f t="shared" si="262"/>
        <v>0</v>
      </c>
      <c r="CE249" s="16">
        <v>0</v>
      </c>
      <c r="CF249" s="16">
        <v>0</v>
      </c>
      <c r="CG249" s="16">
        <v>0</v>
      </c>
      <c r="CH249" s="16">
        <v>0</v>
      </c>
      <c r="CI249" s="16">
        <v>0</v>
      </c>
      <c r="CJ249" s="16">
        <v>0</v>
      </c>
      <c r="CK249" s="16">
        <f t="shared" si="263"/>
        <v>0</v>
      </c>
      <c r="CL249" s="16">
        <v>0</v>
      </c>
      <c r="CM249" s="16">
        <v>0</v>
      </c>
      <c r="CN249" s="16">
        <v>0</v>
      </c>
      <c r="CO249" s="16">
        <v>0</v>
      </c>
      <c r="CP249" s="16">
        <v>0</v>
      </c>
      <c r="CQ249" s="16">
        <v>0</v>
      </c>
      <c r="CR249" s="16">
        <v>0</v>
      </c>
      <c r="CS249" s="16">
        <v>0</v>
      </c>
      <c r="CT249" s="16">
        <f t="shared" si="264"/>
        <v>0</v>
      </c>
      <c r="CU249" s="16">
        <f t="shared" si="265"/>
        <v>0</v>
      </c>
      <c r="CV249" s="16">
        <v>0</v>
      </c>
      <c r="CW249" s="17">
        <v>0</v>
      </c>
      <c r="CX249" s="40"/>
    </row>
    <row r="250" spans="1:102" ht="31.5" hidden="1" x14ac:dyDescent="0.25">
      <c r="A250" s="13" t="s">
        <v>1</v>
      </c>
      <c r="B250" s="14" t="s">
        <v>1</v>
      </c>
      <c r="C250" s="14" t="s">
        <v>29</v>
      </c>
      <c r="D250" s="30" t="s">
        <v>271</v>
      </c>
      <c r="E250" s="15">
        <f t="shared" si="293"/>
        <v>158264</v>
      </c>
      <c r="F250" s="16">
        <f t="shared" si="294"/>
        <v>147489</v>
      </c>
      <c r="G250" s="16">
        <f t="shared" si="295"/>
        <v>147489</v>
      </c>
      <c r="H250" s="16">
        <v>8000</v>
      </c>
      <c r="I250" s="16">
        <v>2000</v>
      </c>
      <c r="J250" s="16">
        <f>SUM(K250:P250)</f>
        <v>88743</v>
      </c>
      <c r="K250" s="16">
        <v>0</v>
      </c>
      <c r="L250" s="16">
        <v>5478</v>
      </c>
      <c r="M250" s="16">
        <v>9502</v>
      </c>
      <c r="N250" s="16">
        <v>2513</v>
      </c>
      <c r="O250" s="16">
        <f>22026+8000</f>
        <v>30026</v>
      </c>
      <c r="P250" s="16">
        <f>37224+4000</f>
        <v>41224</v>
      </c>
      <c r="Q250" s="16">
        <f>SUM(R250:S250)</f>
        <v>2071</v>
      </c>
      <c r="R250" s="16">
        <v>2071</v>
      </c>
      <c r="S250" s="16">
        <v>0</v>
      </c>
      <c r="T250" s="16">
        <v>0</v>
      </c>
      <c r="U250" s="16">
        <v>9788</v>
      </c>
      <c r="V250" s="16">
        <f t="shared" si="296"/>
        <v>12691</v>
      </c>
      <c r="W250" s="16">
        <f>2000+1000</f>
        <v>3000</v>
      </c>
      <c r="X250" s="16">
        <v>0</v>
      </c>
      <c r="Y250" s="16">
        <v>0</v>
      </c>
      <c r="Z250" s="16">
        <f>3008+524</f>
        <v>3532</v>
      </c>
      <c r="AA250" s="16">
        <v>1507</v>
      </c>
      <c r="AB250" s="16">
        <v>1440</v>
      </c>
      <c r="AC250" s="16">
        <v>0</v>
      </c>
      <c r="AD250" s="16">
        <f>3027+185</f>
        <v>3212</v>
      </c>
      <c r="AE250" s="16">
        <f>SUM(AF250:AZ250)</f>
        <v>24196</v>
      </c>
      <c r="AF250" s="16">
        <v>0</v>
      </c>
      <c r="AG250" s="16">
        <v>98</v>
      </c>
      <c r="AH250" s="16">
        <v>0</v>
      </c>
      <c r="AI250" s="16">
        <v>0</v>
      </c>
      <c r="AJ250" s="16">
        <v>2004</v>
      </c>
      <c r="AK250" s="16">
        <v>0</v>
      </c>
      <c r="AL250" s="16">
        <v>1300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16">
        <v>0</v>
      </c>
      <c r="AZ250" s="16">
        <f>8684+12110</f>
        <v>20794</v>
      </c>
      <c r="BA250" s="16">
        <f t="shared" si="298"/>
        <v>0</v>
      </c>
      <c r="BB250" s="16">
        <f t="shared" si="299"/>
        <v>0</v>
      </c>
      <c r="BC250" s="16">
        <v>0</v>
      </c>
      <c r="BD250" s="16">
        <v>0</v>
      </c>
      <c r="BE250" s="16">
        <v>0</v>
      </c>
      <c r="BF250" s="16">
        <f>SUM(BG250:BH250)</f>
        <v>0</v>
      </c>
      <c r="BG250" s="16">
        <v>0</v>
      </c>
      <c r="BH250" s="16">
        <v>0</v>
      </c>
      <c r="BI250" s="16">
        <v>0</v>
      </c>
      <c r="BJ250" s="16">
        <v>0</v>
      </c>
      <c r="BK250" s="16">
        <f>SUM(BL250)</f>
        <v>0</v>
      </c>
      <c r="BL250" s="16">
        <v>0</v>
      </c>
      <c r="BM250" s="16">
        <f>SUM(BN250:BX250)</f>
        <v>0</v>
      </c>
      <c r="BN250" s="16">
        <v>0</v>
      </c>
      <c r="BO250" s="16">
        <v>0</v>
      </c>
      <c r="BP250" s="16">
        <v>0</v>
      </c>
      <c r="BQ250" s="16">
        <v>0</v>
      </c>
      <c r="BR250" s="16">
        <v>0</v>
      </c>
      <c r="BS250" s="16">
        <v>0</v>
      </c>
      <c r="BT250" s="16">
        <v>0</v>
      </c>
      <c r="BU250" s="16">
        <v>0</v>
      </c>
      <c r="BV250" s="16">
        <v>0</v>
      </c>
      <c r="BW250" s="16">
        <v>0</v>
      </c>
      <c r="BX250" s="16">
        <v>0</v>
      </c>
      <c r="BY250" s="16">
        <f t="shared" si="300"/>
        <v>10775</v>
      </c>
      <c r="BZ250" s="16">
        <f t="shared" si="301"/>
        <v>10775</v>
      </c>
      <c r="CA250" s="16">
        <f>SUM(CB250:CC250)</f>
        <v>10775</v>
      </c>
      <c r="CB250" s="16">
        <v>0</v>
      </c>
      <c r="CC250" s="16">
        <f>7775+3000</f>
        <v>10775</v>
      </c>
      <c r="CD250" s="16">
        <f>SUM(CE250:CI250)</f>
        <v>0</v>
      </c>
      <c r="CE250" s="16">
        <v>0</v>
      </c>
      <c r="CF250" s="16">
        <v>0</v>
      </c>
      <c r="CG250" s="16">
        <v>0</v>
      </c>
      <c r="CH250" s="16">
        <v>0</v>
      </c>
      <c r="CI250" s="16">
        <v>0</v>
      </c>
      <c r="CJ250" s="16">
        <v>0</v>
      </c>
      <c r="CK250" s="16">
        <f>SUM(CL250:CP250)</f>
        <v>0</v>
      </c>
      <c r="CL250" s="16">
        <v>0</v>
      </c>
      <c r="CM250" s="16">
        <v>0</v>
      </c>
      <c r="CN250" s="16">
        <v>0</v>
      </c>
      <c r="CO250" s="16">
        <v>0</v>
      </c>
      <c r="CP250" s="16">
        <v>0</v>
      </c>
      <c r="CQ250" s="16">
        <v>0</v>
      </c>
      <c r="CR250" s="16">
        <v>0</v>
      </c>
      <c r="CS250" s="16">
        <v>0</v>
      </c>
      <c r="CT250" s="16">
        <f>SUM(CU250)</f>
        <v>0</v>
      </c>
      <c r="CU250" s="16">
        <f>SUM(CV250:CW250)</f>
        <v>0</v>
      </c>
      <c r="CV250" s="16">
        <v>0</v>
      </c>
      <c r="CW250" s="17">
        <v>0</v>
      </c>
      <c r="CX250" s="40"/>
    </row>
    <row r="251" spans="1:102" ht="15.75" hidden="1" x14ac:dyDescent="0.25">
      <c r="A251" s="13" t="s">
        <v>1</v>
      </c>
      <c r="B251" s="14" t="s">
        <v>1</v>
      </c>
      <c r="C251" s="14" t="s">
        <v>275</v>
      </c>
      <c r="D251" s="30" t="s">
        <v>276</v>
      </c>
      <c r="E251" s="15">
        <f t="shared" si="293"/>
        <v>3510616</v>
      </c>
      <c r="F251" s="16">
        <f t="shared" si="294"/>
        <v>2892061</v>
      </c>
      <c r="G251" s="16">
        <f t="shared" si="295"/>
        <v>2892061</v>
      </c>
      <c r="H251" s="16">
        <v>1633226</v>
      </c>
      <c r="I251" s="16">
        <v>386622</v>
      </c>
      <c r="J251" s="16">
        <f t="shared" si="256"/>
        <v>370000</v>
      </c>
      <c r="K251" s="16">
        <v>0</v>
      </c>
      <c r="L251" s="16">
        <v>0</v>
      </c>
      <c r="M251" s="16">
        <v>0</v>
      </c>
      <c r="N251" s="16">
        <v>0</v>
      </c>
      <c r="O251" s="16">
        <v>120000</v>
      </c>
      <c r="P251" s="16">
        <v>250000</v>
      </c>
      <c r="Q251" s="16">
        <f t="shared" si="257"/>
        <v>10000</v>
      </c>
      <c r="R251" s="16">
        <v>0</v>
      </c>
      <c r="S251" s="16">
        <v>10000</v>
      </c>
      <c r="T251" s="16">
        <v>0</v>
      </c>
      <c r="U251" s="16">
        <v>30800</v>
      </c>
      <c r="V251" s="16">
        <f t="shared" si="296"/>
        <v>81193</v>
      </c>
      <c r="W251" s="16">
        <v>0</v>
      </c>
      <c r="X251" s="16">
        <f>48841+563</f>
        <v>49404</v>
      </c>
      <c r="Y251" s="16">
        <f>21861+446</f>
        <v>22307</v>
      </c>
      <c r="Z251" s="16">
        <f>2965+517</f>
        <v>3482</v>
      </c>
      <c r="AA251" s="16">
        <v>6000</v>
      </c>
      <c r="AB251" s="16">
        <v>0</v>
      </c>
      <c r="AC251" s="16">
        <v>0</v>
      </c>
      <c r="AD251" s="16">
        <v>0</v>
      </c>
      <c r="AE251" s="16">
        <f t="shared" si="297"/>
        <v>380220</v>
      </c>
      <c r="AF251" s="16">
        <v>0</v>
      </c>
      <c r="AG251" s="16">
        <f>60000+135340</f>
        <v>195340</v>
      </c>
      <c r="AH251" s="16">
        <v>100880</v>
      </c>
      <c r="AI251" s="16">
        <v>0</v>
      </c>
      <c r="AJ251" s="16">
        <v>4000</v>
      </c>
      <c r="AK251" s="16">
        <v>0</v>
      </c>
      <c r="AL251" s="16">
        <v>20000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10000</v>
      </c>
      <c r="AT251" s="16">
        <v>0</v>
      </c>
      <c r="AU251" s="16">
        <v>0</v>
      </c>
      <c r="AV251" s="16">
        <v>0</v>
      </c>
      <c r="AW251" s="16">
        <v>0</v>
      </c>
      <c r="AX251" s="16">
        <v>0</v>
      </c>
      <c r="AY251" s="16">
        <v>0</v>
      </c>
      <c r="AZ251" s="16">
        <v>50000</v>
      </c>
      <c r="BA251" s="16">
        <f t="shared" si="298"/>
        <v>0</v>
      </c>
      <c r="BB251" s="16">
        <f t="shared" si="299"/>
        <v>0</v>
      </c>
      <c r="BC251" s="16">
        <v>0</v>
      </c>
      <c r="BD251" s="16">
        <v>0</v>
      </c>
      <c r="BE251" s="16">
        <v>0</v>
      </c>
      <c r="BF251" s="16">
        <f t="shared" si="258"/>
        <v>0</v>
      </c>
      <c r="BG251" s="16">
        <v>0</v>
      </c>
      <c r="BH251" s="16">
        <v>0</v>
      </c>
      <c r="BI251" s="16">
        <v>0</v>
      </c>
      <c r="BJ251" s="16">
        <v>0</v>
      </c>
      <c r="BK251" s="16">
        <f t="shared" si="259"/>
        <v>0</v>
      </c>
      <c r="BL251" s="16">
        <v>0</v>
      </c>
      <c r="BM251" s="16">
        <f t="shared" si="260"/>
        <v>0</v>
      </c>
      <c r="BN251" s="16">
        <v>0</v>
      </c>
      <c r="BO251" s="16">
        <v>0</v>
      </c>
      <c r="BP251" s="16">
        <v>0</v>
      </c>
      <c r="BQ251" s="16">
        <v>0</v>
      </c>
      <c r="BR251" s="16">
        <v>0</v>
      </c>
      <c r="BS251" s="16">
        <v>0</v>
      </c>
      <c r="BT251" s="16">
        <v>0</v>
      </c>
      <c r="BU251" s="16">
        <v>0</v>
      </c>
      <c r="BV251" s="16">
        <v>0</v>
      </c>
      <c r="BW251" s="16">
        <v>0</v>
      </c>
      <c r="BX251" s="16">
        <v>0</v>
      </c>
      <c r="BY251" s="16">
        <f t="shared" si="300"/>
        <v>618555</v>
      </c>
      <c r="BZ251" s="16">
        <f t="shared" si="301"/>
        <v>618555</v>
      </c>
      <c r="CA251" s="16">
        <f t="shared" si="261"/>
        <v>618555</v>
      </c>
      <c r="CB251" s="16">
        <v>0</v>
      </c>
      <c r="CC251" s="16">
        <f>218555+400000</f>
        <v>618555</v>
      </c>
      <c r="CD251" s="16">
        <f t="shared" si="262"/>
        <v>0</v>
      </c>
      <c r="CE251" s="16">
        <v>0</v>
      </c>
      <c r="CF251" s="16">
        <v>0</v>
      </c>
      <c r="CG251" s="16">
        <v>0</v>
      </c>
      <c r="CH251" s="16">
        <v>0</v>
      </c>
      <c r="CI251" s="16">
        <v>0</v>
      </c>
      <c r="CJ251" s="16">
        <v>0</v>
      </c>
      <c r="CK251" s="16">
        <f t="shared" si="263"/>
        <v>0</v>
      </c>
      <c r="CL251" s="16">
        <v>0</v>
      </c>
      <c r="CM251" s="16">
        <v>0</v>
      </c>
      <c r="CN251" s="16">
        <v>0</v>
      </c>
      <c r="CO251" s="16">
        <v>0</v>
      </c>
      <c r="CP251" s="16">
        <v>0</v>
      </c>
      <c r="CQ251" s="16">
        <v>0</v>
      </c>
      <c r="CR251" s="16">
        <v>0</v>
      </c>
      <c r="CS251" s="16">
        <v>0</v>
      </c>
      <c r="CT251" s="16">
        <f t="shared" si="264"/>
        <v>0</v>
      </c>
      <c r="CU251" s="16">
        <f t="shared" si="265"/>
        <v>0</v>
      </c>
      <c r="CV251" s="16">
        <v>0</v>
      </c>
      <c r="CW251" s="17">
        <v>0</v>
      </c>
      <c r="CX251" s="40"/>
    </row>
    <row r="252" spans="1:102" ht="15.75" hidden="1" x14ac:dyDescent="0.25">
      <c r="A252" s="13" t="s">
        <v>1</v>
      </c>
      <c r="B252" s="14" t="s">
        <v>1</v>
      </c>
      <c r="C252" s="14" t="s">
        <v>122</v>
      </c>
      <c r="D252" s="30" t="s">
        <v>543</v>
      </c>
      <c r="E252" s="15">
        <f t="shared" si="293"/>
        <v>7749506</v>
      </c>
      <c r="F252" s="16">
        <f t="shared" si="294"/>
        <v>7749506</v>
      </c>
      <c r="G252" s="16">
        <f t="shared" si="295"/>
        <v>7749506</v>
      </c>
      <c r="H252" s="16">
        <v>0</v>
      </c>
      <c r="I252" s="16">
        <v>0</v>
      </c>
      <c r="J252" s="16">
        <f>SUM(K252:P252)</f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f>SUM(R252:S252)</f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f t="shared" si="296"/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f>SUM(AF252:AZ252)</f>
        <v>7749506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/>
      <c r="AQ252" s="16">
        <v>0</v>
      </c>
      <c r="AR252" s="16">
        <v>0</v>
      </c>
      <c r="AS252" s="16">
        <v>0</v>
      </c>
      <c r="AT252" s="16">
        <v>0</v>
      </c>
      <c r="AU252" s="16">
        <v>0</v>
      </c>
      <c r="AV252" s="16">
        <v>0</v>
      </c>
      <c r="AW252" s="16">
        <v>0</v>
      </c>
      <c r="AX252" s="16">
        <v>0</v>
      </c>
      <c r="AY252" s="16">
        <v>0</v>
      </c>
      <c r="AZ252" s="16">
        <f>7749506</f>
        <v>7749506</v>
      </c>
      <c r="BA252" s="16">
        <f t="shared" si="298"/>
        <v>0</v>
      </c>
      <c r="BB252" s="16">
        <f t="shared" si="299"/>
        <v>0</v>
      </c>
      <c r="BC252" s="16">
        <v>0</v>
      </c>
      <c r="BD252" s="16">
        <v>0</v>
      </c>
      <c r="BE252" s="16">
        <v>0</v>
      </c>
      <c r="BF252" s="16">
        <f>SUM(BG252:BH252)</f>
        <v>0</v>
      </c>
      <c r="BG252" s="16">
        <v>0</v>
      </c>
      <c r="BH252" s="16">
        <v>0</v>
      </c>
      <c r="BI252" s="16">
        <v>0</v>
      </c>
      <c r="BJ252" s="16">
        <v>0</v>
      </c>
      <c r="BK252" s="16">
        <f>SUM(BL252)</f>
        <v>0</v>
      </c>
      <c r="BL252" s="16">
        <v>0</v>
      </c>
      <c r="BM252" s="16">
        <f>SUM(BN252:BX252)</f>
        <v>0</v>
      </c>
      <c r="BN252" s="16">
        <v>0</v>
      </c>
      <c r="BO252" s="16">
        <v>0</v>
      </c>
      <c r="BP252" s="16">
        <v>0</v>
      </c>
      <c r="BQ252" s="16">
        <v>0</v>
      </c>
      <c r="BR252" s="16">
        <v>0</v>
      </c>
      <c r="BS252" s="16">
        <v>0</v>
      </c>
      <c r="BT252" s="16">
        <v>0</v>
      </c>
      <c r="BU252" s="16">
        <v>0</v>
      </c>
      <c r="BV252" s="16">
        <v>0</v>
      </c>
      <c r="BW252" s="16">
        <v>0</v>
      </c>
      <c r="BX252" s="16">
        <v>0</v>
      </c>
      <c r="BY252" s="16">
        <f t="shared" si="300"/>
        <v>0</v>
      </c>
      <c r="BZ252" s="16">
        <f t="shared" si="301"/>
        <v>0</v>
      </c>
      <c r="CA252" s="16">
        <f>SUM(CB252:CC252)</f>
        <v>0</v>
      </c>
      <c r="CB252" s="16">
        <v>0</v>
      </c>
      <c r="CC252" s="16"/>
      <c r="CD252" s="16">
        <f>SUM(CE252:CI252)</f>
        <v>0</v>
      </c>
      <c r="CE252" s="16">
        <v>0</v>
      </c>
      <c r="CF252" s="16">
        <v>0</v>
      </c>
      <c r="CG252" s="16">
        <v>0</v>
      </c>
      <c r="CH252" s="16">
        <v>0</v>
      </c>
      <c r="CI252" s="16">
        <v>0</v>
      </c>
      <c r="CJ252" s="16">
        <v>0</v>
      </c>
      <c r="CK252" s="16">
        <f>SUM(CL252:CP252)</f>
        <v>0</v>
      </c>
      <c r="CL252" s="16">
        <v>0</v>
      </c>
      <c r="CM252" s="16">
        <v>0</v>
      </c>
      <c r="CN252" s="16"/>
      <c r="CO252" s="16">
        <v>0</v>
      </c>
      <c r="CP252" s="16">
        <v>0</v>
      </c>
      <c r="CQ252" s="16">
        <v>0</v>
      </c>
      <c r="CR252" s="16">
        <v>0</v>
      </c>
      <c r="CS252" s="16">
        <v>0</v>
      </c>
      <c r="CT252" s="16">
        <f>SUM(CU252)</f>
        <v>0</v>
      </c>
      <c r="CU252" s="16">
        <f>SUM(CV252:CW252)</f>
        <v>0</v>
      </c>
      <c r="CV252" s="16">
        <v>0</v>
      </c>
      <c r="CW252" s="17">
        <v>0</v>
      </c>
      <c r="CX252" s="40"/>
    </row>
    <row r="253" spans="1:102" ht="15.75" hidden="1" x14ac:dyDescent="0.25">
      <c r="A253" s="13" t="s">
        <v>1</v>
      </c>
      <c r="B253" s="14" t="s">
        <v>1</v>
      </c>
      <c r="C253" s="14" t="s">
        <v>122</v>
      </c>
      <c r="D253" s="30" t="s">
        <v>277</v>
      </c>
      <c r="E253" s="15">
        <f t="shared" si="293"/>
        <v>46587933</v>
      </c>
      <c r="F253" s="16">
        <f t="shared" si="294"/>
        <v>40973940</v>
      </c>
      <c r="G253" s="16">
        <f t="shared" si="295"/>
        <v>40968940</v>
      </c>
      <c r="H253" s="16">
        <f>23500000+75807</f>
        <v>23575807</v>
      </c>
      <c r="I253" s="16">
        <f>5875000+21756</f>
        <v>5896756</v>
      </c>
      <c r="J253" s="16">
        <f t="shared" si="256"/>
        <v>4089992</v>
      </c>
      <c r="K253" s="16">
        <f>10600+10000</f>
        <v>20600</v>
      </c>
      <c r="L253" s="16">
        <v>170500</v>
      </c>
      <c r="M253" s="16">
        <f>2290000-210844</f>
        <v>2079156</v>
      </c>
      <c r="N253" s="16">
        <v>0</v>
      </c>
      <c r="O253" s="16">
        <f>825700+47589</f>
        <v>873289</v>
      </c>
      <c r="P253" s="16">
        <f>1175000-228553</f>
        <v>946447</v>
      </c>
      <c r="Q253" s="16">
        <f t="shared" si="257"/>
        <v>250978</v>
      </c>
      <c r="R253" s="16">
        <f>25000+1850</f>
        <v>26850</v>
      </c>
      <c r="S253" s="16">
        <f>210000+14128</f>
        <v>224128</v>
      </c>
      <c r="T253" s="16">
        <v>0</v>
      </c>
      <c r="U253" s="16">
        <f>313086+15080</f>
        <v>328166</v>
      </c>
      <c r="V253" s="16">
        <f t="shared" si="296"/>
        <v>2982304</v>
      </c>
      <c r="W253" s="16">
        <f>432627+8892</f>
        <v>441519</v>
      </c>
      <c r="X253" s="16">
        <f>1413123+96769</f>
        <v>1509892</v>
      </c>
      <c r="Y253" s="16">
        <f>468973+31355</f>
        <v>500328</v>
      </c>
      <c r="Z253" s="16">
        <f>208209+26450</f>
        <v>234659</v>
      </c>
      <c r="AA253" s="16">
        <f>120985+16436</f>
        <v>137421</v>
      </c>
      <c r="AB253" s="16">
        <v>158149</v>
      </c>
      <c r="AC253" s="16">
        <v>0</v>
      </c>
      <c r="AD253" s="16">
        <v>336</v>
      </c>
      <c r="AE253" s="16">
        <f t="shared" si="297"/>
        <v>3844937</v>
      </c>
      <c r="AF253" s="16">
        <v>0</v>
      </c>
      <c r="AG253" s="16">
        <f>323077+6343</f>
        <v>329420</v>
      </c>
      <c r="AH253" s="16">
        <f>230717+55000</f>
        <v>285717</v>
      </c>
      <c r="AI253" s="16">
        <f>649346+96561</f>
        <v>745907</v>
      </c>
      <c r="AJ253" s="16">
        <f>318100+7208</f>
        <v>325308</v>
      </c>
      <c r="AK253" s="16">
        <v>0</v>
      </c>
      <c r="AL253" s="16">
        <f>235000+1000</f>
        <v>236000</v>
      </c>
      <c r="AM253" s="16">
        <f>449324+5000</f>
        <v>454324</v>
      </c>
      <c r="AN253" s="16">
        <v>0</v>
      </c>
      <c r="AO253" s="16">
        <v>19559</v>
      </c>
      <c r="AP253" s="16">
        <f>0+873452</f>
        <v>873452</v>
      </c>
      <c r="AQ253" s="16">
        <v>0</v>
      </c>
      <c r="AR253" s="16">
        <v>0</v>
      </c>
      <c r="AS253" s="16">
        <v>0</v>
      </c>
      <c r="AT253" s="16">
        <v>0</v>
      </c>
      <c r="AU253" s="16">
        <v>0</v>
      </c>
      <c r="AV253" s="16">
        <v>0</v>
      </c>
      <c r="AW253" s="16">
        <v>0</v>
      </c>
      <c r="AX253" s="16">
        <v>0</v>
      </c>
      <c r="AY253" s="16"/>
      <c r="AZ253" s="16">
        <f>613176-37926</f>
        <v>575250</v>
      </c>
      <c r="BA253" s="16">
        <f t="shared" si="298"/>
        <v>5000</v>
      </c>
      <c r="BB253" s="16">
        <f t="shared" si="299"/>
        <v>0</v>
      </c>
      <c r="BC253" s="16">
        <v>0</v>
      </c>
      <c r="BD253" s="16">
        <v>0</v>
      </c>
      <c r="BE253" s="16">
        <v>0</v>
      </c>
      <c r="BF253" s="16">
        <f t="shared" si="258"/>
        <v>0</v>
      </c>
      <c r="BG253" s="16">
        <v>0</v>
      </c>
      <c r="BH253" s="16">
        <v>0</v>
      </c>
      <c r="BI253" s="16">
        <v>0</v>
      </c>
      <c r="BJ253" s="16">
        <v>0</v>
      </c>
      <c r="BK253" s="16">
        <f t="shared" si="259"/>
        <v>0</v>
      </c>
      <c r="BL253" s="16">
        <v>0</v>
      </c>
      <c r="BM253" s="16">
        <f t="shared" si="260"/>
        <v>5000</v>
      </c>
      <c r="BN253" s="16">
        <v>0</v>
      </c>
      <c r="BO253" s="16">
        <v>0</v>
      </c>
      <c r="BP253" s="16">
        <v>5000</v>
      </c>
      <c r="BQ253" s="16">
        <v>0</v>
      </c>
      <c r="BR253" s="16">
        <v>0</v>
      </c>
      <c r="BS253" s="16">
        <v>0</v>
      </c>
      <c r="BT253" s="16">
        <v>0</v>
      </c>
      <c r="BU253" s="16">
        <v>0</v>
      </c>
      <c r="BV253" s="16">
        <v>0</v>
      </c>
      <c r="BW253" s="16">
        <v>0</v>
      </c>
      <c r="BX253" s="16">
        <v>0</v>
      </c>
      <c r="BY253" s="16">
        <f t="shared" si="300"/>
        <v>5613993</v>
      </c>
      <c r="BZ253" s="16">
        <f t="shared" si="301"/>
        <v>5613993</v>
      </c>
      <c r="CA253" s="16">
        <f t="shared" si="261"/>
        <v>2534907</v>
      </c>
      <c r="CB253" s="16">
        <v>0</v>
      </c>
      <c r="CC253" s="16">
        <f>2350000+184907</f>
        <v>2534907</v>
      </c>
      <c r="CD253" s="16">
        <f t="shared" si="262"/>
        <v>0</v>
      </c>
      <c r="CE253" s="16">
        <v>0</v>
      </c>
      <c r="CF253" s="16">
        <v>0</v>
      </c>
      <c r="CG253" s="16">
        <v>0</v>
      </c>
      <c r="CH253" s="16">
        <v>0</v>
      </c>
      <c r="CI253" s="16">
        <v>0</v>
      </c>
      <c r="CJ253" s="16">
        <v>0</v>
      </c>
      <c r="CK253" s="16">
        <f t="shared" si="263"/>
        <v>3079086</v>
      </c>
      <c r="CL253" s="16">
        <v>0</v>
      </c>
      <c r="CM253" s="16">
        <v>0</v>
      </c>
      <c r="CN253" s="16">
        <f>2967125+111961</f>
        <v>3079086</v>
      </c>
      <c r="CO253" s="16">
        <v>0</v>
      </c>
      <c r="CP253" s="16">
        <v>0</v>
      </c>
      <c r="CQ253" s="16"/>
      <c r="CR253" s="16"/>
      <c r="CS253" s="16">
        <v>0</v>
      </c>
      <c r="CT253" s="16">
        <f t="shared" si="264"/>
        <v>0</v>
      </c>
      <c r="CU253" s="16">
        <f t="shared" si="265"/>
        <v>0</v>
      </c>
      <c r="CV253" s="16">
        <v>0</v>
      </c>
      <c r="CW253" s="17">
        <v>0</v>
      </c>
      <c r="CX253" s="40"/>
    </row>
    <row r="254" spans="1:102" ht="15.75" hidden="1" x14ac:dyDescent="0.25">
      <c r="A254" s="13" t="s">
        <v>1</v>
      </c>
      <c r="B254" s="14" t="s">
        <v>1</v>
      </c>
      <c r="C254" s="14" t="s">
        <v>93</v>
      </c>
      <c r="D254" s="30" t="s">
        <v>278</v>
      </c>
      <c r="E254" s="15">
        <f t="shared" si="293"/>
        <v>1500000</v>
      </c>
      <c r="F254" s="16">
        <f t="shared" si="294"/>
        <v>1400000</v>
      </c>
      <c r="G254" s="16">
        <f t="shared" si="295"/>
        <v>1400000</v>
      </c>
      <c r="H254" s="16">
        <v>395400</v>
      </c>
      <c r="I254" s="16">
        <v>86988</v>
      </c>
      <c r="J254" s="16">
        <f t="shared" si="256"/>
        <v>470000</v>
      </c>
      <c r="K254" s="16">
        <v>0</v>
      </c>
      <c r="L254" s="16">
        <v>100000</v>
      </c>
      <c r="M254" s="16">
        <v>0</v>
      </c>
      <c r="N254" s="16">
        <v>0</v>
      </c>
      <c r="O254" s="16">
        <v>120000</v>
      </c>
      <c r="P254" s="16">
        <v>250000</v>
      </c>
      <c r="Q254" s="16">
        <f t="shared" si="257"/>
        <v>0</v>
      </c>
      <c r="R254" s="16">
        <v>0</v>
      </c>
      <c r="S254" s="16">
        <v>0</v>
      </c>
      <c r="T254" s="16">
        <v>0</v>
      </c>
      <c r="U254" s="16">
        <v>50000</v>
      </c>
      <c r="V254" s="16">
        <f t="shared" si="296"/>
        <v>20096</v>
      </c>
      <c r="W254" s="16">
        <v>4585</v>
      </c>
      <c r="X254" s="16">
        <f>4292+49</f>
        <v>4341</v>
      </c>
      <c r="Y254" s="16">
        <f>5213+311</f>
        <v>5524</v>
      </c>
      <c r="Z254" s="16">
        <f>4099+715</f>
        <v>4814</v>
      </c>
      <c r="AA254" s="16">
        <v>630</v>
      </c>
      <c r="AB254" s="16">
        <v>0</v>
      </c>
      <c r="AC254" s="16">
        <v>0</v>
      </c>
      <c r="AD254" s="16">
        <f>193+9</f>
        <v>202</v>
      </c>
      <c r="AE254" s="16">
        <f t="shared" si="297"/>
        <v>377516</v>
      </c>
      <c r="AF254" s="16">
        <v>0</v>
      </c>
      <c r="AG254" s="16">
        <v>40000</v>
      </c>
      <c r="AH254" s="16">
        <v>57000</v>
      </c>
      <c r="AI254" s="16">
        <v>0</v>
      </c>
      <c r="AJ254" s="16">
        <v>1600</v>
      </c>
      <c r="AK254" s="16">
        <v>0</v>
      </c>
      <c r="AL254" s="16">
        <v>2000</v>
      </c>
      <c r="AM254" s="16">
        <v>0</v>
      </c>
      <c r="AN254" s="16">
        <v>15000</v>
      </c>
      <c r="AO254" s="16">
        <v>0</v>
      </c>
      <c r="AP254" s="16">
        <v>0</v>
      </c>
      <c r="AQ254" s="16">
        <v>0</v>
      </c>
      <c r="AR254" s="16">
        <v>13000</v>
      </c>
      <c r="AS254" s="16">
        <v>0</v>
      </c>
      <c r="AT254" s="16">
        <v>0</v>
      </c>
      <c r="AU254" s="16">
        <v>0</v>
      </c>
      <c r="AV254" s="16">
        <v>0</v>
      </c>
      <c r="AW254" s="16">
        <v>0</v>
      </c>
      <c r="AX254" s="16">
        <v>0</v>
      </c>
      <c r="AY254" s="16">
        <v>0</v>
      </c>
      <c r="AZ254" s="16">
        <f>250000-1084</f>
        <v>248916</v>
      </c>
      <c r="BA254" s="16">
        <f t="shared" si="298"/>
        <v>0</v>
      </c>
      <c r="BB254" s="16">
        <f t="shared" si="299"/>
        <v>0</v>
      </c>
      <c r="BC254" s="16">
        <v>0</v>
      </c>
      <c r="BD254" s="16">
        <v>0</v>
      </c>
      <c r="BE254" s="16">
        <v>0</v>
      </c>
      <c r="BF254" s="16">
        <f t="shared" si="258"/>
        <v>0</v>
      </c>
      <c r="BG254" s="16">
        <v>0</v>
      </c>
      <c r="BH254" s="16">
        <v>0</v>
      </c>
      <c r="BI254" s="16">
        <v>0</v>
      </c>
      <c r="BJ254" s="16">
        <v>0</v>
      </c>
      <c r="BK254" s="16">
        <f t="shared" si="259"/>
        <v>0</v>
      </c>
      <c r="BL254" s="16">
        <v>0</v>
      </c>
      <c r="BM254" s="16">
        <f t="shared" si="260"/>
        <v>0</v>
      </c>
      <c r="BN254" s="16">
        <v>0</v>
      </c>
      <c r="BO254" s="16">
        <v>0</v>
      </c>
      <c r="BP254" s="16">
        <v>0</v>
      </c>
      <c r="BQ254" s="16">
        <v>0</v>
      </c>
      <c r="BR254" s="16">
        <v>0</v>
      </c>
      <c r="BS254" s="16">
        <v>0</v>
      </c>
      <c r="BT254" s="16">
        <v>0</v>
      </c>
      <c r="BU254" s="16">
        <v>0</v>
      </c>
      <c r="BV254" s="16">
        <v>0</v>
      </c>
      <c r="BW254" s="16">
        <v>0</v>
      </c>
      <c r="BX254" s="16">
        <v>0</v>
      </c>
      <c r="BY254" s="16">
        <f t="shared" si="300"/>
        <v>100000</v>
      </c>
      <c r="BZ254" s="16">
        <f t="shared" si="301"/>
        <v>100000</v>
      </c>
      <c r="CA254" s="16">
        <f t="shared" si="261"/>
        <v>100000</v>
      </c>
      <c r="CB254" s="16">
        <v>0</v>
      </c>
      <c r="CC254" s="16">
        <v>100000</v>
      </c>
      <c r="CD254" s="16">
        <f t="shared" si="262"/>
        <v>0</v>
      </c>
      <c r="CE254" s="16">
        <v>0</v>
      </c>
      <c r="CF254" s="16">
        <v>0</v>
      </c>
      <c r="CG254" s="16">
        <v>0</v>
      </c>
      <c r="CH254" s="16">
        <v>0</v>
      </c>
      <c r="CI254" s="16">
        <v>0</v>
      </c>
      <c r="CJ254" s="16">
        <v>0</v>
      </c>
      <c r="CK254" s="16">
        <f t="shared" si="263"/>
        <v>0</v>
      </c>
      <c r="CL254" s="16">
        <v>0</v>
      </c>
      <c r="CM254" s="16">
        <v>0</v>
      </c>
      <c r="CN254" s="16">
        <v>0</v>
      </c>
      <c r="CO254" s="16">
        <v>0</v>
      </c>
      <c r="CP254" s="16">
        <v>0</v>
      </c>
      <c r="CQ254" s="16">
        <v>0</v>
      </c>
      <c r="CR254" s="16">
        <v>0</v>
      </c>
      <c r="CS254" s="16">
        <v>0</v>
      </c>
      <c r="CT254" s="16">
        <f t="shared" si="264"/>
        <v>0</v>
      </c>
      <c r="CU254" s="16">
        <f t="shared" si="265"/>
        <v>0</v>
      </c>
      <c r="CV254" s="16">
        <v>0</v>
      </c>
      <c r="CW254" s="17">
        <v>0</v>
      </c>
      <c r="CX254" s="40"/>
    </row>
    <row r="255" spans="1:102" ht="15.75" hidden="1" x14ac:dyDescent="0.25">
      <c r="A255" s="13" t="s">
        <v>1</v>
      </c>
      <c r="B255" s="14" t="s">
        <v>1</v>
      </c>
      <c r="C255" s="14" t="s">
        <v>95</v>
      </c>
      <c r="D255" s="30" t="s">
        <v>279</v>
      </c>
      <c r="E255" s="15">
        <f t="shared" si="293"/>
        <v>7415904</v>
      </c>
      <c r="F255" s="16">
        <f t="shared" si="294"/>
        <v>7075241</v>
      </c>
      <c r="G255" s="16">
        <f t="shared" si="295"/>
        <v>7075241</v>
      </c>
      <c r="H255" s="16">
        <v>943522</v>
      </c>
      <c r="I255" s="16">
        <v>183377</v>
      </c>
      <c r="J255" s="16">
        <f t="shared" si="256"/>
        <v>3395441</v>
      </c>
      <c r="K255" s="16">
        <v>68040</v>
      </c>
      <c r="L255" s="16">
        <v>18840</v>
      </c>
      <c r="M255" s="16">
        <v>81840</v>
      </c>
      <c r="N255" s="16">
        <v>0</v>
      </c>
      <c r="O255" s="16">
        <v>947365</v>
      </c>
      <c r="P255" s="16">
        <f>1871012+408344</f>
        <v>2279356</v>
      </c>
      <c r="Q255" s="16">
        <f t="shared" si="257"/>
        <v>4000</v>
      </c>
      <c r="R255" s="16">
        <v>4000</v>
      </c>
      <c r="S255" s="16">
        <v>0</v>
      </c>
      <c r="T255" s="16">
        <v>195729</v>
      </c>
      <c r="U255" s="16">
        <v>18500</v>
      </c>
      <c r="V255" s="16">
        <f t="shared" si="296"/>
        <v>345739</v>
      </c>
      <c r="W255" s="16">
        <v>129002</v>
      </c>
      <c r="X255" s="16">
        <v>0</v>
      </c>
      <c r="Y255" s="16">
        <f>70795-5528</f>
        <v>65267</v>
      </c>
      <c r="Z255" s="16">
        <f>48508-6408</f>
        <v>42100</v>
      </c>
      <c r="AA255" s="16">
        <v>45144</v>
      </c>
      <c r="AB255" s="16">
        <v>0</v>
      </c>
      <c r="AC255" s="16">
        <v>0</v>
      </c>
      <c r="AD255" s="16">
        <v>64226</v>
      </c>
      <c r="AE255" s="16">
        <f t="shared" si="297"/>
        <v>1988933</v>
      </c>
      <c r="AF255" s="16">
        <v>0</v>
      </c>
      <c r="AG255" s="16">
        <v>38900</v>
      </c>
      <c r="AH255" s="16">
        <v>512251</v>
      </c>
      <c r="AI255" s="16">
        <v>0</v>
      </c>
      <c r="AJ255" s="16">
        <v>11950</v>
      </c>
      <c r="AK255" s="16">
        <v>8000</v>
      </c>
      <c r="AL255" s="16">
        <v>0</v>
      </c>
      <c r="AM255" s="16">
        <v>19100</v>
      </c>
      <c r="AN255" s="16">
        <v>0</v>
      </c>
      <c r="AO255" s="16">
        <v>0</v>
      </c>
      <c r="AP255" s="16">
        <v>0</v>
      </c>
      <c r="AQ255" s="16">
        <v>12000</v>
      </c>
      <c r="AR255" s="16">
        <v>0</v>
      </c>
      <c r="AS255" s="16">
        <v>0</v>
      </c>
      <c r="AT255" s="16">
        <v>0</v>
      </c>
      <c r="AU255" s="16">
        <v>0</v>
      </c>
      <c r="AV255" s="16">
        <v>0</v>
      </c>
      <c r="AW255" s="16">
        <v>11684</v>
      </c>
      <c r="AX255" s="16">
        <v>0</v>
      </c>
      <c r="AY255" s="16">
        <v>0</v>
      </c>
      <c r="AZ255" s="16">
        <f>763112+611936</f>
        <v>1375048</v>
      </c>
      <c r="BA255" s="16">
        <f t="shared" si="298"/>
        <v>0</v>
      </c>
      <c r="BB255" s="16">
        <f t="shared" si="299"/>
        <v>0</v>
      </c>
      <c r="BC255" s="16">
        <v>0</v>
      </c>
      <c r="BD255" s="16">
        <v>0</v>
      </c>
      <c r="BE255" s="16">
        <v>0</v>
      </c>
      <c r="BF255" s="16">
        <f t="shared" si="258"/>
        <v>0</v>
      </c>
      <c r="BG255" s="16">
        <v>0</v>
      </c>
      <c r="BH255" s="16">
        <v>0</v>
      </c>
      <c r="BI255" s="16">
        <v>0</v>
      </c>
      <c r="BJ255" s="16">
        <v>0</v>
      </c>
      <c r="BK255" s="16">
        <f t="shared" si="259"/>
        <v>0</v>
      </c>
      <c r="BL255" s="16">
        <v>0</v>
      </c>
      <c r="BM255" s="16">
        <f t="shared" si="260"/>
        <v>0</v>
      </c>
      <c r="BN255" s="16">
        <v>0</v>
      </c>
      <c r="BO255" s="16">
        <v>0</v>
      </c>
      <c r="BP255" s="16">
        <v>0</v>
      </c>
      <c r="BQ255" s="16">
        <v>0</v>
      </c>
      <c r="BR255" s="16">
        <v>0</v>
      </c>
      <c r="BS255" s="16">
        <v>0</v>
      </c>
      <c r="BT255" s="16">
        <v>0</v>
      </c>
      <c r="BU255" s="16">
        <v>0</v>
      </c>
      <c r="BV255" s="16">
        <v>0</v>
      </c>
      <c r="BW255" s="16">
        <v>0</v>
      </c>
      <c r="BX255" s="16">
        <v>0</v>
      </c>
      <c r="BY255" s="16">
        <f t="shared" si="300"/>
        <v>340663</v>
      </c>
      <c r="BZ255" s="16">
        <f t="shared" si="301"/>
        <v>340663</v>
      </c>
      <c r="CA255" s="16">
        <f t="shared" si="261"/>
        <v>340663</v>
      </c>
      <c r="CB255" s="16">
        <v>0</v>
      </c>
      <c r="CC255" s="16">
        <v>340663</v>
      </c>
      <c r="CD255" s="16">
        <f t="shared" si="262"/>
        <v>0</v>
      </c>
      <c r="CE255" s="16">
        <v>0</v>
      </c>
      <c r="CF255" s="16">
        <v>0</v>
      </c>
      <c r="CG255" s="16">
        <v>0</v>
      </c>
      <c r="CH255" s="16">
        <v>0</v>
      </c>
      <c r="CI255" s="16">
        <v>0</v>
      </c>
      <c r="CJ255" s="16">
        <v>0</v>
      </c>
      <c r="CK255" s="16">
        <f t="shared" si="263"/>
        <v>0</v>
      </c>
      <c r="CL255" s="16">
        <v>0</v>
      </c>
      <c r="CM255" s="16">
        <v>0</v>
      </c>
      <c r="CN255" s="16">
        <v>0</v>
      </c>
      <c r="CO255" s="16">
        <v>0</v>
      </c>
      <c r="CP255" s="16">
        <v>0</v>
      </c>
      <c r="CQ255" s="16">
        <v>0</v>
      </c>
      <c r="CR255" s="16">
        <v>0</v>
      </c>
      <c r="CS255" s="16">
        <v>0</v>
      </c>
      <c r="CT255" s="16">
        <f t="shared" si="264"/>
        <v>0</v>
      </c>
      <c r="CU255" s="16">
        <f t="shared" si="265"/>
        <v>0</v>
      </c>
      <c r="CV255" s="16">
        <v>0</v>
      </c>
      <c r="CW255" s="17">
        <v>0</v>
      </c>
      <c r="CX255" s="40"/>
    </row>
    <row r="256" spans="1:102" ht="15.75" hidden="1" x14ac:dyDescent="0.25">
      <c r="A256" s="13" t="s">
        <v>1</v>
      </c>
      <c r="B256" s="14" t="s">
        <v>1</v>
      </c>
      <c r="C256" s="14" t="s">
        <v>31</v>
      </c>
      <c r="D256" s="30" t="s">
        <v>280</v>
      </c>
      <c r="E256" s="15">
        <f t="shared" si="293"/>
        <v>553293</v>
      </c>
      <c r="F256" s="16">
        <f t="shared" si="294"/>
        <v>521150</v>
      </c>
      <c r="G256" s="16">
        <f t="shared" si="295"/>
        <v>521150</v>
      </c>
      <c r="H256" s="16">
        <v>21431</v>
      </c>
      <c r="I256" s="16">
        <v>5358</v>
      </c>
      <c r="J256" s="16">
        <f t="shared" si="256"/>
        <v>93684</v>
      </c>
      <c r="K256" s="16">
        <v>5201</v>
      </c>
      <c r="L256" s="16">
        <v>0</v>
      </c>
      <c r="M256" s="16">
        <v>0</v>
      </c>
      <c r="N256" s="16">
        <v>0</v>
      </c>
      <c r="O256" s="16">
        <v>0</v>
      </c>
      <c r="P256" s="16">
        <f>58483+30000</f>
        <v>88483</v>
      </c>
      <c r="Q256" s="16">
        <f t="shared" si="257"/>
        <v>0</v>
      </c>
      <c r="R256" s="16">
        <v>0</v>
      </c>
      <c r="S256" s="16">
        <v>0</v>
      </c>
      <c r="T256" s="16">
        <v>0</v>
      </c>
      <c r="U256" s="16">
        <f>7538+1000</f>
        <v>8538</v>
      </c>
      <c r="V256" s="16">
        <f t="shared" si="296"/>
        <v>95619</v>
      </c>
      <c r="W256" s="16">
        <f>5272+2000</f>
        <v>7272</v>
      </c>
      <c r="X256" s="16">
        <f>65569+756</f>
        <v>66325</v>
      </c>
      <c r="Y256" s="16">
        <f>11620+694</f>
        <v>12314</v>
      </c>
      <c r="Z256" s="16">
        <f>6988+1215</f>
        <v>8203</v>
      </c>
      <c r="AA256" s="16">
        <v>1505</v>
      </c>
      <c r="AB256" s="16">
        <v>0</v>
      </c>
      <c r="AC256" s="16">
        <v>0</v>
      </c>
      <c r="AD256" s="16">
        <v>0</v>
      </c>
      <c r="AE256" s="16">
        <f t="shared" si="297"/>
        <v>296520</v>
      </c>
      <c r="AF256" s="16">
        <v>0</v>
      </c>
      <c r="AG256" s="16">
        <f>3070+1000</f>
        <v>4070</v>
      </c>
      <c r="AH256" s="16">
        <v>177962</v>
      </c>
      <c r="AI256" s="16">
        <v>0</v>
      </c>
      <c r="AJ256" s="16">
        <v>1591</v>
      </c>
      <c r="AK256" s="16">
        <v>0</v>
      </c>
      <c r="AL256" s="16">
        <v>214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16">
        <v>0</v>
      </c>
      <c r="AU256" s="16">
        <v>0</v>
      </c>
      <c r="AV256" s="16">
        <v>0</v>
      </c>
      <c r="AW256" s="16">
        <v>0</v>
      </c>
      <c r="AX256" s="16">
        <v>0</v>
      </c>
      <c r="AY256" s="16">
        <v>0</v>
      </c>
      <c r="AZ256" s="16">
        <f>77753+34930</f>
        <v>112683</v>
      </c>
      <c r="BA256" s="16">
        <f t="shared" si="298"/>
        <v>0</v>
      </c>
      <c r="BB256" s="16">
        <f t="shared" si="299"/>
        <v>0</v>
      </c>
      <c r="BC256" s="16">
        <v>0</v>
      </c>
      <c r="BD256" s="16">
        <v>0</v>
      </c>
      <c r="BE256" s="16">
        <v>0</v>
      </c>
      <c r="BF256" s="16">
        <f t="shared" si="258"/>
        <v>0</v>
      </c>
      <c r="BG256" s="16">
        <v>0</v>
      </c>
      <c r="BH256" s="16">
        <v>0</v>
      </c>
      <c r="BI256" s="16">
        <v>0</v>
      </c>
      <c r="BJ256" s="16">
        <v>0</v>
      </c>
      <c r="BK256" s="16">
        <f t="shared" si="259"/>
        <v>0</v>
      </c>
      <c r="BL256" s="16">
        <v>0</v>
      </c>
      <c r="BM256" s="16">
        <f t="shared" si="260"/>
        <v>0</v>
      </c>
      <c r="BN256" s="16">
        <v>0</v>
      </c>
      <c r="BO256" s="16">
        <v>0</v>
      </c>
      <c r="BP256" s="16">
        <v>0</v>
      </c>
      <c r="BQ256" s="16">
        <v>0</v>
      </c>
      <c r="BR256" s="16">
        <v>0</v>
      </c>
      <c r="BS256" s="16">
        <v>0</v>
      </c>
      <c r="BT256" s="16">
        <v>0</v>
      </c>
      <c r="BU256" s="16">
        <v>0</v>
      </c>
      <c r="BV256" s="16">
        <v>0</v>
      </c>
      <c r="BW256" s="16">
        <v>0</v>
      </c>
      <c r="BX256" s="16">
        <v>0</v>
      </c>
      <c r="BY256" s="16">
        <f t="shared" si="300"/>
        <v>32143</v>
      </c>
      <c r="BZ256" s="16">
        <f t="shared" si="301"/>
        <v>32143</v>
      </c>
      <c r="CA256" s="16">
        <f t="shared" si="261"/>
        <v>32143</v>
      </c>
      <c r="CB256" s="16">
        <v>0</v>
      </c>
      <c r="CC256" s="16">
        <f>2143+30000</f>
        <v>32143</v>
      </c>
      <c r="CD256" s="16">
        <f t="shared" si="262"/>
        <v>0</v>
      </c>
      <c r="CE256" s="16">
        <v>0</v>
      </c>
      <c r="CF256" s="16">
        <v>0</v>
      </c>
      <c r="CG256" s="16">
        <v>0</v>
      </c>
      <c r="CH256" s="16">
        <v>0</v>
      </c>
      <c r="CI256" s="16">
        <v>0</v>
      </c>
      <c r="CJ256" s="16">
        <v>0</v>
      </c>
      <c r="CK256" s="16">
        <f t="shared" si="263"/>
        <v>0</v>
      </c>
      <c r="CL256" s="16">
        <v>0</v>
      </c>
      <c r="CM256" s="16">
        <v>0</v>
      </c>
      <c r="CN256" s="16">
        <v>0</v>
      </c>
      <c r="CO256" s="16">
        <v>0</v>
      </c>
      <c r="CP256" s="16">
        <v>0</v>
      </c>
      <c r="CQ256" s="16">
        <v>0</v>
      </c>
      <c r="CR256" s="16">
        <v>0</v>
      </c>
      <c r="CS256" s="16">
        <v>0</v>
      </c>
      <c r="CT256" s="16">
        <f t="shared" si="264"/>
        <v>0</v>
      </c>
      <c r="CU256" s="16">
        <f t="shared" si="265"/>
        <v>0</v>
      </c>
      <c r="CV256" s="16">
        <v>0</v>
      </c>
      <c r="CW256" s="17">
        <v>0</v>
      </c>
      <c r="CX256" s="40"/>
    </row>
    <row r="257" spans="1:102" ht="15.75" hidden="1" x14ac:dyDescent="0.25">
      <c r="A257" s="13" t="s">
        <v>1</v>
      </c>
      <c r="B257" s="14" t="s">
        <v>1</v>
      </c>
      <c r="C257" s="14" t="s">
        <v>33</v>
      </c>
      <c r="D257" s="30" t="s">
        <v>282</v>
      </c>
      <c r="E257" s="15">
        <f t="shared" si="293"/>
        <v>569556</v>
      </c>
      <c r="F257" s="16">
        <f t="shared" si="294"/>
        <v>520285</v>
      </c>
      <c r="G257" s="16">
        <f t="shared" si="295"/>
        <v>520285</v>
      </c>
      <c r="H257" s="16">
        <v>25000</v>
      </c>
      <c r="I257" s="16">
        <f>6250+2</f>
        <v>6252</v>
      </c>
      <c r="J257" s="16">
        <f t="shared" si="256"/>
        <v>146163</v>
      </c>
      <c r="K257" s="16">
        <v>1800</v>
      </c>
      <c r="L257" s="16">
        <v>0</v>
      </c>
      <c r="M257" s="16">
        <v>0</v>
      </c>
      <c r="N257" s="16">
        <v>0</v>
      </c>
      <c r="O257" s="16">
        <v>10600</v>
      </c>
      <c r="P257" s="16">
        <f>138868-5105</f>
        <v>133763</v>
      </c>
      <c r="Q257" s="16">
        <f t="shared" si="257"/>
        <v>0</v>
      </c>
      <c r="R257" s="16">
        <v>0</v>
      </c>
      <c r="S257" s="16">
        <v>0</v>
      </c>
      <c r="T257" s="16">
        <v>0</v>
      </c>
      <c r="U257" s="16">
        <v>10752</v>
      </c>
      <c r="V257" s="16">
        <f t="shared" si="296"/>
        <v>144059</v>
      </c>
      <c r="W257" s="16">
        <v>3027</v>
      </c>
      <c r="X257" s="16">
        <f>101888-16384</f>
        <v>85504</v>
      </c>
      <c r="Y257" s="16">
        <f>26858-7074</f>
        <v>19784</v>
      </c>
      <c r="Z257" s="16">
        <f>40757-11927</f>
        <v>28830</v>
      </c>
      <c r="AA257" s="16">
        <f>6832-798</f>
        <v>6034</v>
      </c>
      <c r="AB257" s="16">
        <v>0</v>
      </c>
      <c r="AC257" s="16">
        <v>0</v>
      </c>
      <c r="AD257" s="16">
        <v>880</v>
      </c>
      <c r="AE257" s="16">
        <f t="shared" si="297"/>
        <v>188059</v>
      </c>
      <c r="AF257" s="16">
        <v>0</v>
      </c>
      <c r="AG257" s="16">
        <v>0</v>
      </c>
      <c r="AH257" s="16">
        <f>16939-16939</f>
        <v>0</v>
      </c>
      <c r="AI257" s="16">
        <v>0</v>
      </c>
      <c r="AJ257" s="16">
        <v>23750</v>
      </c>
      <c r="AK257" s="16">
        <v>0</v>
      </c>
      <c r="AL257" s="16">
        <v>2900</v>
      </c>
      <c r="AM257" s="16">
        <v>2830</v>
      </c>
      <c r="AN257" s="16">
        <v>0</v>
      </c>
      <c r="AO257" s="16">
        <v>0</v>
      </c>
      <c r="AP257" s="16">
        <f>0+101397</f>
        <v>101397</v>
      </c>
      <c r="AQ257" s="16">
        <v>0</v>
      </c>
      <c r="AR257" s="16">
        <v>0</v>
      </c>
      <c r="AS257" s="16">
        <v>15000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f>42351-169</f>
        <v>42182</v>
      </c>
      <c r="BA257" s="16">
        <f t="shared" si="298"/>
        <v>0</v>
      </c>
      <c r="BB257" s="16">
        <f t="shared" si="299"/>
        <v>0</v>
      </c>
      <c r="BC257" s="16">
        <v>0</v>
      </c>
      <c r="BD257" s="16">
        <v>0</v>
      </c>
      <c r="BE257" s="16">
        <v>0</v>
      </c>
      <c r="BF257" s="16">
        <f t="shared" si="258"/>
        <v>0</v>
      </c>
      <c r="BG257" s="16">
        <v>0</v>
      </c>
      <c r="BH257" s="16">
        <v>0</v>
      </c>
      <c r="BI257" s="16">
        <v>0</v>
      </c>
      <c r="BJ257" s="16">
        <v>0</v>
      </c>
      <c r="BK257" s="16">
        <f t="shared" si="259"/>
        <v>0</v>
      </c>
      <c r="BL257" s="16">
        <v>0</v>
      </c>
      <c r="BM257" s="16">
        <f t="shared" si="260"/>
        <v>0</v>
      </c>
      <c r="BN257" s="16">
        <v>0</v>
      </c>
      <c r="BO257" s="16">
        <v>0</v>
      </c>
      <c r="BP257" s="16">
        <v>0</v>
      </c>
      <c r="BQ257" s="16">
        <v>0</v>
      </c>
      <c r="BR257" s="16">
        <v>0</v>
      </c>
      <c r="BS257" s="16">
        <v>0</v>
      </c>
      <c r="BT257" s="16">
        <v>0</v>
      </c>
      <c r="BU257" s="16">
        <v>0</v>
      </c>
      <c r="BV257" s="16">
        <v>0</v>
      </c>
      <c r="BW257" s="16">
        <v>0</v>
      </c>
      <c r="BX257" s="16">
        <v>0</v>
      </c>
      <c r="BY257" s="16">
        <f t="shared" si="300"/>
        <v>49271</v>
      </c>
      <c r="BZ257" s="16">
        <f t="shared" si="301"/>
        <v>49271</v>
      </c>
      <c r="CA257" s="16">
        <f t="shared" si="261"/>
        <v>49271</v>
      </c>
      <c r="CB257" s="16">
        <v>0</v>
      </c>
      <c r="CC257" s="16">
        <f>51351-2080</f>
        <v>49271</v>
      </c>
      <c r="CD257" s="16">
        <f t="shared" si="262"/>
        <v>0</v>
      </c>
      <c r="CE257" s="16">
        <v>0</v>
      </c>
      <c r="CF257" s="16">
        <v>0</v>
      </c>
      <c r="CG257" s="16">
        <v>0</v>
      </c>
      <c r="CH257" s="16">
        <v>0</v>
      </c>
      <c r="CI257" s="16">
        <v>0</v>
      </c>
      <c r="CJ257" s="16">
        <v>0</v>
      </c>
      <c r="CK257" s="16">
        <f t="shared" si="263"/>
        <v>0</v>
      </c>
      <c r="CL257" s="16">
        <v>0</v>
      </c>
      <c r="CM257" s="16">
        <v>0</v>
      </c>
      <c r="CN257" s="16">
        <v>0</v>
      </c>
      <c r="CO257" s="16">
        <v>0</v>
      </c>
      <c r="CP257" s="16">
        <v>0</v>
      </c>
      <c r="CQ257" s="16">
        <v>0</v>
      </c>
      <c r="CR257" s="16">
        <v>0</v>
      </c>
      <c r="CS257" s="16">
        <v>0</v>
      </c>
      <c r="CT257" s="16">
        <f t="shared" si="264"/>
        <v>0</v>
      </c>
      <c r="CU257" s="16">
        <f t="shared" si="265"/>
        <v>0</v>
      </c>
      <c r="CV257" s="16">
        <v>0</v>
      </c>
      <c r="CW257" s="17">
        <v>0</v>
      </c>
      <c r="CX257" s="40"/>
    </row>
    <row r="258" spans="1:102" ht="31.5" hidden="1" x14ac:dyDescent="0.25">
      <c r="A258" s="13" t="s">
        <v>1</v>
      </c>
      <c r="B258" s="14" t="s">
        <v>1</v>
      </c>
      <c r="C258" s="14" t="s">
        <v>33</v>
      </c>
      <c r="D258" s="30" t="s">
        <v>283</v>
      </c>
      <c r="E258" s="15">
        <f t="shared" si="293"/>
        <v>1032910</v>
      </c>
      <c r="F258" s="16">
        <f t="shared" si="294"/>
        <v>1000801</v>
      </c>
      <c r="G258" s="16">
        <f t="shared" si="295"/>
        <v>1000801</v>
      </c>
      <c r="H258" s="16">
        <v>321088</v>
      </c>
      <c r="I258" s="16">
        <v>80272</v>
      </c>
      <c r="J258" s="16">
        <f t="shared" si="256"/>
        <v>320938</v>
      </c>
      <c r="K258" s="16">
        <v>5042</v>
      </c>
      <c r="L258" s="16">
        <v>800</v>
      </c>
      <c r="M258" s="16">
        <v>0</v>
      </c>
      <c r="N258" s="16">
        <v>0</v>
      </c>
      <c r="O258" s="16">
        <v>239314</v>
      </c>
      <c r="P258" s="16">
        <v>75782</v>
      </c>
      <c r="Q258" s="16">
        <f t="shared" si="257"/>
        <v>873</v>
      </c>
      <c r="R258" s="16">
        <v>873</v>
      </c>
      <c r="S258" s="16">
        <v>0</v>
      </c>
      <c r="T258" s="16">
        <v>0</v>
      </c>
      <c r="U258" s="16">
        <v>17472</v>
      </c>
      <c r="V258" s="16">
        <f t="shared" si="296"/>
        <v>50088</v>
      </c>
      <c r="W258" s="16">
        <v>1000</v>
      </c>
      <c r="X258" s="16">
        <f>29577+341</f>
        <v>29918</v>
      </c>
      <c r="Y258" s="16">
        <f>9252+552</f>
        <v>9804</v>
      </c>
      <c r="Z258" s="16">
        <f>2054+359</f>
        <v>2413</v>
      </c>
      <c r="AA258" s="16">
        <v>6953</v>
      </c>
      <c r="AB258" s="16">
        <v>0</v>
      </c>
      <c r="AC258" s="16">
        <v>0</v>
      </c>
      <c r="AD258" s="16">
        <v>0</v>
      </c>
      <c r="AE258" s="16">
        <f t="shared" si="297"/>
        <v>210070</v>
      </c>
      <c r="AF258" s="16">
        <v>0</v>
      </c>
      <c r="AG258" s="16">
        <v>8451</v>
      </c>
      <c r="AH258" s="16">
        <v>11000</v>
      </c>
      <c r="AI258" s="16">
        <v>0</v>
      </c>
      <c r="AJ258" s="16">
        <v>0</v>
      </c>
      <c r="AK258" s="16">
        <v>0</v>
      </c>
      <c r="AL258" s="16">
        <v>3661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  <c r="AT258" s="16">
        <v>0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f>187640-682</f>
        <v>186958</v>
      </c>
      <c r="BA258" s="16">
        <f t="shared" si="298"/>
        <v>0</v>
      </c>
      <c r="BB258" s="16">
        <f t="shared" si="299"/>
        <v>0</v>
      </c>
      <c r="BC258" s="16">
        <v>0</v>
      </c>
      <c r="BD258" s="16">
        <v>0</v>
      </c>
      <c r="BE258" s="16">
        <v>0</v>
      </c>
      <c r="BF258" s="16">
        <f t="shared" si="258"/>
        <v>0</v>
      </c>
      <c r="BG258" s="16">
        <v>0</v>
      </c>
      <c r="BH258" s="16">
        <v>0</v>
      </c>
      <c r="BI258" s="16">
        <v>0</v>
      </c>
      <c r="BJ258" s="16">
        <v>0</v>
      </c>
      <c r="BK258" s="16">
        <f t="shared" si="259"/>
        <v>0</v>
      </c>
      <c r="BL258" s="16">
        <v>0</v>
      </c>
      <c r="BM258" s="16">
        <f t="shared" si="260"/>
        <v>0</v>
      </c>
      <c r="BN258" s="16">
        <v>0</v>
      </c>
      <c r="BO258" s="16">
        <v>0</v>
      </c>
      <c r="BP258" s="16">
        <v>0</v>
      </c>
      <c r="BQ258" s="16">
        <v>0</v>
      </c>
      <c r="BR258" s="16">
        <v>0</v>
      </c>
      <c r="BS258" s="16">
        <v>0</v>
      </c>
      <c r="BT258" s="16">
        <v>0</v>
      </c>
      <c r="BU258" s="16">
        <v>0</v>
      </c>
      <c r="BV258" s="16">
        <v>0</v>
      </c>
      <c r="BW258" s="16">
        <v>0</v>
      </c>
      <c r="BX258" s="16">
        <v>0</v>
      </c>
      <c r="BY258" s="16">
        <f t="shared" si="300"/>
        <v>32109</v>
      </c>
      <c r="BZ258" s="16">
        <f t="shared" si="301"/>
        <v>32109</v>
      </c>
      <c r="CA258" s="16">
        <f t="shared" si="261"/>
        <v>32109</v>
      </c>
      <c r="CB258" s="16">
        <v>0</v>
      </c>
      <c r="CC258" s="16">
        <v>32109</v>
      </c>
      <c r="CD258" s="16">
        <f t="shared" si="262"/>
        <v>0</v>
      </c>
      <c r="CE258" s="16">
        <v>0</v>
      </c>
      <c r="CF258" s="16">
        <v>0</v>
      </c>
      <c r="CG258" s="16">
        <v>0</v>
      </c>
      <c r="CH258" s="16">
        <v>0</v>
      </c>
      <c r="CI258" s="16">
        <v>0</v>
      </c>
      <c r="CJ258" s="16">
        <v>0</v>
      </c>
      <c r="CK258" s="16">
        <f t="shared" si="263"/>
        <v>0</v>
      </c>
      <c r="CL258" s="16">
        <v>0</v>
      </c>
      <c r="CM258" s="16">
        <v>0</v>
      </c>
      <c r="CN258" s="16">
        <v>0</v>
      </c>
      <c r="CO258" s="16">
        <v>0</v>
      </c>
      <c r="CP258" s="16">
        <v>0</v>
      </c>
      <c r="CQ258" s="16">
        <v>0</v>
      </c>
      <c r="CR258" s="16">
        <v>0</v>
      </c>
      <c r="CS258" s="16">
        <v>0</v>
      </c>
      <c r="CT258" s="16">
        <f t="shared" si="264"/>
        <v>0</v>
      </c>
      <c r="CU258" s="16">
        <f t="shared" si="265"/>
        <v>0</v>
      </c>
      <c r="CV258" s="16">
        <v>0</v>
      </c>
      <c r="CW258" s="17">
        <v>0</v>
      </c>
      <c r="CX258" s="40"/>
    </row>
    <row r="259" spans="1:102" ht="15.75" hidden="1" x14ac:dyDescent="0.25">
      <c r="A259" s="13" t="s">
        <v>1</v>
      </c>
      <c r="B259" s="14" t="s">
        <v>1</v>
      </c>
      <c r="C259" s="14" t="s">
        <v>33</v>
      </c>
      <c r="D259" s="30" t="s">
        <v>509</v>
      </c>
      <c r="E259" s="15">
        <f t="shared" si="293"/>
        <v>1606408</v>
      </c>
      <c r="F259" s="16">
        <f t="shared" si="294"/>
        <v>1463379</v>
      </c>
      <c r="G259" s="16">
        <f t="shared" si="295"/>
        <v>1463379</v>
      </c>
      <c r="H259" s="16">
        <v>327600</v>
      </c>
      <c r="I259" s="16">
        <v>81900</v>
      </c>
      <c r="J259" s="16">
        <f t="shared" si="256"/>
        <v>93530</v>
      </c>
      <c r="K259" s="16">
        <v>0</v>
      </c>
      <c r="L259" s="16">
        <v>0</v>
      </c>
      <c r="M259" s="16">
        <v>0</v>
      </c>
      <c r="N259" s="16">
        <v>0</v>
      </c>
      <c r="O259" s="16">
        <v>77150</v>
      </c>
      <c r="P259" s="16">
        <v>16380</v>
      </c>
      <c r="Q259" s="16">
        <f t="shared" si="257"/>
        <v>55750</v>
      </c>
      <c r="R259" s="16">
        <v>1000</v>
      </c>
      <c r="S259" s="16">
        <v>54750</v>
      </c>
      <c r="T259" s="16">
        <v>0</v>
      </c>
      <c r="U259" s="16">
        <v>28986</v>
      </c>
      <c r="V259" s="16">
        <f t="shared" si="296"/>
        <v>255706</v>
      </c>
      <c r="W259" s="16">
        <v>101154</v>
      </c>
      <c r="X259" s="16">
        <f>2110+24</f>
        <v>2134</v>
      </c>
      <c r="Y259" s="16">
        <f>98987+12318</f>
        <v>111305</v>
      </c>
      <c r="Z259" s="16">
        <f>12093+2109</f>
        <v>14202</v>
      </c>
      <c r="AA259" s="16">
        <v>3261</v>
      </c>
      <c r="AB259" s="16">
        <v>0</v>
      </c>
      <c r="AC259" s="16">
        <v>0</v>
      </c>
      <c r="AD259" s="16">
        <f>22586+1064</f>
        <v>23650</v>
      </c>
      <c r="AE259" s="16">
        <f t="shared" si="297"/>
        <v>619907</v>
      </c>
      <c r="AF259" s="16">
        <v>0</v>
      </c>
      <c r="AG259" s="16">
        <v>22575</v>
      </c>
      <c r="AH259" s="16">
        <v>43392</v>
      </c>
      <c r="AI259" s="16">
        <v>0</v>
      </c>
      <c r="AJ259" s="16">
        <v>1591</v>
      </c>
      <c r="AK259" s="16">
        <v>0</v>
      </c>
      <c r="AL259" s="16">
        <v>3276</v>
      </c>
      <c r="AM259" s="16">
        <v>42107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  <c r="AT259" s="16">
        <v>0</v>
      </c>
      <c r="AU259" s="16">
        <v>0</v>
      </c>
      <c r="AV259" s="16">
        <v>0</v>
      </c>
      <c r="AW259" s="16">
        <v>0</v>
      </c>
      <c r="AX259" s="16">
        <v>0</v>
      </c>
      <c r="AY259" s="16">
        <v>0</v>
      </c>
      <c r="AZ259" s="16">
        <f>516073-9107</f>
        <v>506966</v>
      </c>
      <c r="BA259" s="16">
        <f t="shared" si="298"/>
        <v>0</v>
      </c>
      <c r="BB259" s="16">
        <f t="shared" si="299"/>
        <v>0</v>
      </c>
      <c r="BC259" s="16">
        <v>0</v>
      </c>
      <c r="BD259" s="16">
        <v>0</v>
      </c>
      <c r="BE259" s="16">
        <v>0</v>
      </c>
      <c r="BF259" s="16">
        <f t="shared" si="258"/>
        <v>0</v>
      </c>
      <c r="BG259" s="16">
        <v>0</v>
      </c>
      <c r="BH259" s="16">
        <v>0</v>
      </c>
      <c r="BI259" s="16">
        <v>0</v>
      </c>
      <c r="BJ259" s="16">
        <v>0</v>
      </c>
      <c r="BK259" s="16">
        <f t="shared" si="259"/>
        <v>0</v>
      </c>
      <c r="BL259" s="16">
        <v>0</v>
      </c>
      <c r="BM259" s="16">
        <f t="shared" si="260"/>
        <v>0</v>
      </c>
      <c r="BN259" s="16">
        <v>0</v>
      </c>
      <c r="BO259" s="16">
        <v>0</v>
      </c>
      <c r="BP259" s="16">
        <v>0</v>
      </c>
      <c r="BQ259" s="16">
        <v>0</v>
      </c>
      <c r="BR259" s="16">
        <v>0</v>
      </c>
      <c r="BS259" s="16">
        <v>0</v>
      </c>
      <c r="BT259" s="16">
        <v>0</v>
      </c>
      <c r="BU259" s="16">
        <v>0</v>
      </c>
      <c r="BV259" s="16">
        <v>0</v>
      </c>
      <c r="BW259" s="16">
        <v>0</v>
      </c>
      <c r="BX259" s="16">
        <v>0</v>
      </c>
      <c r="BY259" s="16">
        <f t="shared" si="300"/>
        <v>143029</v>
      </c>
      <c r="BZ259" s="16">
        <f t="shared" si="301"/>
        <v>143029</v>
      </c>
      <c r="CA259" s="16">
        <f t="shared" si="261"/>
        <v>143029</v>
      </c>
      <c r="CB259" s="16">
        <v>0</v>
      </c>
      <c r="CC259" s="16">
        <v>143029</v>
      </c>
      <c r="CD259" s="16">
        <f t="shared" si="262"/>
        <v>0</v>
      </c>
      <c r="CE259" s="16">
        <v>0</v>
      </c>
      <c r="CF259" s="16">
        <v>0</v>
      </c>
      <c r="CG259" s="16">
        <v>0</v>
      </c>
      <c r="CH259" s="16">
        <v>0</v>
      </c>
      <c r="CI259" s="16">
        <v>0</v>
      </c>
      <c r="CJ259" s="16">
        <v>0</v>
      </c>
      <c r="CK259" s="16">
        <f t="shared" si="263"/>
        <v>0</v>
      </c>
      <c r="CL259" s="16">
        <v>0</v>
      </c>
      <c r="CM259" s="16">
        <v>0</v>
      </c>
      <c r="CN259" s="16">
        <v>0</v>
      </c>
      <c r="CO259" s="16">
        <v>0</v>
      </c>
      <c r="CP259" s="16">
        <v>0</v>
      </c>
      <c r="CQ259" s="16">
        <v>0</v>
      </c>
      <c r="CR259" s="16">
        <v>0</v>
      </c>
      <c r="CS259" s="16">
        <v>0</v>
      </c>
      <c r="CT259" s="16">
        <f t="shared" si="264"/>
        <v>0</v>
      </c>
      <c r="CU259" s="16">
        <f t="shared" si="265"/>
        <v>0</v>
      </c>
      <c r="CV259" s="16">
        <v>0</v>
      </c>
      <c r="CW259" s="17">
        <v>0</v>
      </c>
      <c r="CX259" s="40"/>
    </row>
    <row r="260" spans="1:102" ht="15.75" hidden="1" x14ac:dyDescent="0.25">
      <c r="A260" s="13" t="s">
        <v>1</v>
      </c>
      <c r="B260" s="14" t="s">
        <v>1</v>
      </c>
      <c r="C260" s="14" t="s">
        <v>33</v>
      </c>
      <c r="D260" s="30" t="s">
        <v>281</v>
      </c>
      <c r="E260" s="15">
        <f t="shared" si="293"/>
        <v>15200875</v>
      </c>
      <c r="F260" s="16">
        <f t="shared" si="294"/>
        <v>14950049</v>
      </c>
      <c r="G260" s="16">
        <f t="shared" si="295"/>
        <v>14950049</v>
      </c>
      <c r="H260" s="16">
        <v>2681030</v>
      </c>
      <c r="I260" s="16">
        <v>634052</v>
      </c>
      <c r="J260" s="16">
        <f>SUM(K260:P260)</f>
        <v>191773</v>
      </c>
      <c r="K260" s="16">
        <v>0</v>
      </c>
      <c r="L260" s="16">
        <v>0</v>
      </c>
      <c r="M260" s="16">
        <v>0</v>
      </c>
      <c r="N260" s="16">
        <v>0</v>
      </c>
      <c r="O260" s="16">
        <v>82768</v>
      </c>
      <c r="P260" s="16">
        <v>109005</v>
      </c>
      <c r="Q260" s="16">
        <f>SUM(R260:S260)</f>
        <v>0</v>
      </c>
      <c r="R260" s="16">
        <v>0</v>
      </c>
      <c r="S260" s="16">
        <v>0</v>
      </c>
      <c r="T260" s="16">
        <v>36000</v>
      </c>
      <c r="U260" s="16">
        <v>24047</v>
      </c>
      <c r="V260" s="16">
        <f t="shared" si="296"/>
        <v>213181</v>
      </c>
      <c r="W260" s="16">
        <v>4176</v>
      </c>
      <c r="X260" s="16">
        <f>96095+1108</f>
        <v>97203</v>
      </c>
      <c r="Y260" s="16">
        <f>89585+5348</f>
        <v>94933</v>
      </c>
      <c r="Z260" s="16">
        <f>3217+609</f>
        <v>3826</v>
      </c>
      <c r="AA260" s="16">
        <v>13043</v>
      </c>
      <c r="AB260" s="16">
        <v>0</v>
      </c>
      <c r="AC260" s="16">
        <v>0</v>
      </c>
      <c r="AD260" s="16">
        <v>0</v>
      </c>
      <c r="AE260" s="16">
        <f>SUM(AF260:AZ260)</f>
        <v>11169966</v>
      </c>
      <c r="AF260" s="16">
        <v>0</v>
      </c>
      <c r="AG260" s="16">
        <v>286682</v>
      </c>
      <c r="AH260" s="16">
        <v>18121</v>
      </c>
      <c r="AI260" s="16">
        <v>0</v>
      </c>
      <c r="AJ260" s="16">
        <v>4500</v>
      </c>
      <c r="AK260" s="16">
        <v>0</v>
      </c>
      <c r="AL260" s="16">
        <v>25083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16">
        <v>0</v>
      </c>
      <c r="AU260" s="16">
        <v>0</v>
      </c>
      <c r="AV260" s="16">
        <v>0</v>
      </c>
      <c r="AW260" s="16">
        <v>0</v>
      </c>
      <c r="AX260" s="16">
        <v>0</v>
      </c>
      <c r="AY260" s="16">
        <v>0</v>
      </c>
      <c r="AZ260" s="16">
        <f>10579770+255810</f>
        <v>10835580</v>
      </c>
      <c r="BA260" s="16">
        <f t="shared" si="298"/>
        <v>0</v>
      </c>
      <c r="BB260" s="16">
        <f t="shared" si="299"/>
        <v>0</v>
      </c>
      <c r="BC260" s="16">
        <v>0</v>
      </c>
      <c r="BD260" s="16">
        <v>0</v>
      </c>
      <c r="BE260" s="16">
        <v>0</v>
      </c>
      <c r="BF260" s="16">
        <f>SUM(BG260:BH260)</f>
        <v>0</v>
      </c>
      <c r="BG260" s="16">
        <v>0</v>
      </c>
      <c r="BH260" s="16">
        <v>0</v>
      </c>
      <c r="BI260" s="16">
        <v>0</v>
      </c>
      <c r="BJ260" s="16">
        <v>0</v>
      </c>
      <c r="BK260" s="16">
        <f>SUM(BL260)</f>
        <v>0</v>
      </c>
      <c r="BL260" s="16">
        <v>0</v>
      </c>
      <c r="BM260" s="16">
        <f>SUM(BN260:BX260)</f>
        <v>0</v>
      </c>
      <c r="BN260" s="16">
        <v>0</v>
      </c>
      <c r="BO260" s="16">
        <v>0</v>
      </c>
      <c r="BP260" s="16">
        <v>0</v>
      </c>
      <c r="BQ260" s="16">
        <v>0</v>
      </c>
      <c r="BR260" s="16">
        <v>0</v>
      </c>
      <c r="BS260" s="16">
        <v>0</v>
      </c>
      <c r="BT260" s="16">
        <v>0</v>
      </c>
      <c r="BU260" s="16">
        <v>0</v>
      </c>
      <c r="BV260" s="16">
        <v>0</v>
      </c>
      <c r="BW260" s="16">
        <v>0</v>
      </c>
      <c r="BX260" s="16">
        <v>0</v>
      </c>
      <c r="BY260" s="16">
        <f t="shared" si="300"/>
        <v>250826</v>
      </c>
      <c r="BZ260" s="16">
        <f t="shared" si="301"/>
        <v>250826</v>
      </c>
      <c r="CA260" s="16">
        <f>SUM(CB260:CC260)</f>
        <v>250826</v>
      </c>
      <c r="CB260" s="16">
        <v>0</v>
      </c>
      <c r="CC260" s="16">
        <v>250826</v>
      </c>
      <c r="CD260" s="16">
        <f>SUM(CE260:CI260)</f>
        <v>0</v>
      </c>
      <c r="CE260" s="16">
        <v>0</v>
      </c>
      <c r="CF260" s="16">
        <v>0</v>
      </c>
      <c r="CG260" s="16">
        <v>0</v>
      </c>
      <c r="CH260" s="16">
        <v>0</v>
      </c>
      <c r="CI260" s="16">
        <v>0</v>
      </c>
      <c r="CJ260" s="16">
        <v>0</v>
      </c>
      <c r="CK260" s="16">
        <f>SUM(CL260:CP260)</f>
        <v>0</v>
      </c>
      <c r="CL260" s="16">
        <v>0</v>
      </c>
      <c r="CM260" s="16">
        <v>0</v>
      </c>
      <c r="CN260" s="16">
        <v>0</v>
      </c>
      <c r="CO260" s="16">
        <v>0</v>
      </c>
      <c r="CP260" s="16">
        <v>0</v>
      </c>
      <c r="CQ260" s="16">
        <v>0</v>
      </c>
      <c r="CR260" s="16">
        <v>0</v>
      </c>
      <c r="CS260" s="16">
        <v>0</v>
      </c>
      <c r="CT260" s="16">
        <f>SUM(CU260)</f>
        <v>0</v>
      </c>
      <c r="CU260" s="16">
        <f>SUM(CV260:CW260)</f>
        <v>0</v>
      </c>
      <c r="CV260" s="16">
        <v>0</v>
      </c>
      <c r="CW260" s="17">
        <v>0</v>
      </c>
      <c r="CX260" s="40"/>
    </row>
    <row r="261" spans="1:102" ht="15.75" hidden="1" x14ac:dyDescent="0.25">
      <c r="A261" s="13" t="s">
        <v>1</v>
      </c>
      <c r="B261" s="14" t="s">
        <v>1</v>
      </c>
      <c r="C261" s="14" t="s">
        <v>34</v>
      </c>
      <c r="D261" s="30" t="s">
        <v>284</v>
      </c>
      <c r="E261" s="15">
        <f t="shared" si="293"/>
        <v>1633903</v>
      </c>
      <c r="F261" s="16">
        <f t="shared" si="294"/>
        <v>1246477</v>
      </c>
      <c r="G261" s="16">
        <f t="shared" si="295"/>
        <v>1246477</v>
      </c>
      <c r="H261" s="16">
        <v>0</v>
      </c>
      <c r="I261" s="16">
        <v>0</v>
      </c>
      <c r="J261" s="16">
        <f t="shared" si="256"/>
        <v>503230</v>
      </c>
      <c r="K261" s="16">
        <v>1000</v>
      </c>
      <c r="L261" s="16">
        <v>0</v>
      </c>
      <c r="M261" s="16">
        <v>0</v>
      </c>
      <c r="N261" s="16">
        <v>0</v>
      </c>
      <c r="O261" s="16">
        <v>287044</v>
      </c>
      <c r="P261" s="16">
        <v>215186</v>
      </c>
      <c r="Q261" s="16">
        <f t="shared" si="257"/>
        <v>60000</v>
      </c>
      <c r="R261" s="16">
        <v>0</v>
      </c>
      <c r="S261" s="16">
        <v>60000</v>
      </c>
      <c r="T261" s="16">
        <v>0</v>
      </c>
      <c r="U261" s="16">
        <v>75000</v>
      </c>
      <c r="V261" s="16">
        <f t="shared" si="296"/>
        <v>291507</v>
      </c>
      <c r="W261" s="16">
        <v>20200</v>
      </c>
      <c r="X261" s="16">
        <f>48959+9082</f>
        <v>58041</v>
      </c>
      <c r="Y261" s="16">
        <f>81968+57051</f>
        <v>139019</v>
      </c>
      <c r="Z261" s="16">
        <f>10737+2822</f>
        <v>13559</v>
      </c>
      <c r="AA261" s="16">
        <v>6271</v>
      </c>
      <c r="AB261" s="16">
        <v>50000</v>
      </c>
      <c r="AC261" s="16">
        <v>0</v>
      </c>
      <c r="AD261" s="16">
        <f>3771+646</f>
        <v>4417</v>
      </c>
      <c r="AE261" s="16">
        <f t="shared" si="297"/>
        <v>316740</v>
      </c>
      <c r="AF261" s="16">
        <v>0</v>
      </c>
      <c r="AG261" s="16">
        <v>95400</v>
      </c>
      <c r="AH261" s="16">
        <v>97750</v>
      </c>
      <c r="AI261" s="16">
        <v>0</v>
      </c>
      <c r="AJ261" s="16">
        <v>19700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42400</v>
      </c>
      <c r="AS261" s="16">
        <v>0</v>
      </c>
      <c r="AT261" s="16">
        <v>0</v>
      </c>
      <c r="AU261" s="16">
        <v>0</v>
      </c>
      <c r="AV261" s="16">
        <v>0</v>
      </c>
      <c r="AW261" s="16">
        <v>0</v>
      </c>
      <c r="AX261" s="16">
        <v>0</v>
      </c>
      <c r="AY261" s="16">
        <v>0</v>
      </c>
      <c r="AZ261" s="16">
        <v>61490</v>
      </c>
      <c r="BA261" s="16">
        <f t="shared" si="298"/>
        <v>0</v>
      </c>
      <c r="BB261" s="16">
        <f t="shared" si="299"/>
        <v>0</v>
      </c>
      <c r="BC261" s="16">
        <v>0</v>
      </c>
      <c r="BD261" s="16">
        <v>0</v>
      </c>
      <c r="BE261" s="16">
        <v>0</v>
      </c>
      <c r="BF261" s="16">
        <f t="shared" si="258"/>
        <v>0</v>
      </c>
      <c r="BG261" s="16">
        <v>0</v>
      </c>
      <c r="BH261" s="16">
        <v>0</v>
      </c>
      <c r="BI261" s="16">
        <v>0</v>
      </c>
      <c r="BJ261" s="16">
        <v>0</v>
      </c>
      <c r="BK261" s="16">
        <f t="shared" si="259"/>
        <v>0</v>
      </c>
      <c r="BL261" s="16">
        <v>0</v>
      </c>
      <c r="BM261" s="16">
        <f t="shared" si="260"/>
        <v>0</v>
      </c>
      <c r="BN261" s="16">
        <v>0</v>
      </c>
      <c r="BO261" s="16">
        <v>0</v>
      </c>
      <c r="BP261" s="16">
        <v>0</v>
      </c>
      <c r="BQ261" s="16">
        <v>0</v>
      </c>
      <c r="BR261" s="16">
        <v>0</v>
      </c>
      <c r="BS261" s="16">
        <v>0</v>
      </c>
      <c r="BT261" s="16">
        <v>0</v>
      </c>
      <c r="BU261" s="16">
        <v>0</v>
      </c>
      <c r="BV261" s="16">
        <v>0</v>
      </c>
      <c r="BW261" s="16">
        <v>0</v>
      </c>
      <c r="BX261" s="16">
        <v>0</v>
      </c>
      <c r="BY261" s="16">
        <f t="shared" si="300"/>
        <v>387426</v>
      </c>
      <c r="BZ261" s="16">
        <f t="shared" si="301"/>
        <v>387426</v>
      </c>
      <c r="CA261" s="16">
        <f t="shared" si="261"/>
        <v>387426</v>
      </c>
      <c r="CB261" s="16">
        <v>0</v>
      </c>
      <c r="CC261" s="16">
        <v>387426</v>
      </c>
      <c r="CD261" s="16">
        <f t="shared" si="262"/>
        <v>0</v>
      </c>
      <c r="CE261" s="16">
        <v>0</v>
      </c>
      <c r="CF261" s="16">
        <v>0</v>
      </c>
      <c r="CG261" s="16">
        <v>0</v>
      </c>
      <c r="CH261" s="16">
        <v>0</v>
      </c>
      <c r="CI261" s="16">
        <v>0</v>
      </c>
      <c r="CJ261" s="16">
        <v>0</v>
      </c>
      <c r="CK261" s="16">
        <f t="shared" si="263"/>
        <v>0</v>
      </c>
      <c r="CL261" s="16">
        <v>0</v>
      </c>
      <c r="CM261" s="16">
        <v>0</v>
      </c>
      <c r="CN261" s="16">
        <v>0</v>
      </c>
      <c r="CO261" s="16">
        <v>0</v>
      </c>
      <c r="CP261" s="16">
        <v>0</v>
      </c>
      <c r="CQ261" s="16">
        <v>0</v>
      </c>
      <c r="CR261" s="16">
        <v>0</v>
      </c>
      <c r="CS261" s="16">
        <v>0</v>
      </c>
      <c r="CT261" s="16">
        <f t="shared" si="264"/>
        <v>0</v>
      </c>
      <c r="CU261" s="16">
        <f t="shared" si="265"/>
        <v>0</v>
      </c>
      <c r="CV261" s="16">
        <v>0</v>
      </c>
      <c r="CW261" s="17">
        <v>0</v>
      </c>
      <c r="CX261" s="40"/>
    </row>
    <row r="262" spans="1:102" ht="15.75" hidden="1" x14ac:dyDescent="0.25">
      <c r="A262" s="13" t="s">
        <v>1</v>
      </c>
      <c r="B262" s="14" t="s">
        <v>1</v>
      </c>
      <c r="C262" s="14" t="s">
        <v>34</v>
      </c>
      <c r="D262" s="30" t="s">
        <v>285</v>
      </c>
      <c r="E262" s="15">
        <f t="shared" si="293"/>
        <v>1146821</v>
      </c>
      <c r="F262" s="16">
        <f t="shared" si="294"/>
        <v>342787</v>
      </c>
      <c r="G262" s="16">
        <f t="shared" si="295"/>
        <v>342787</v>
      </c>
      <c r="H262" s="16">
        <v>0</v>
      </c>
      <c r="I262" s="16">
        <v>0</v>
      </c>
      <c r="J262" s="16">
        <f t="shared" si="256"/>
        <v>146770</v>
      </c>
      <c r="K262" s="16">
        <v>0</v>
      </c>
      <c r="L262" s="16">
        <v>0</v>
      </c>
      <c r="M262" s="16">
        <v>0</v>
      </c>
      <c r="N262" s="16">
        <v>0</v>
      </c>
      <c r="O262" s="16">
        <v>36738</v>
      </c>
      <c r="P262" s="16">
        <v>110032</v>
      </c>
      <c r="Q262" s="16">
        <f t="shared" si="257"/>
        <v>0</v>
      </c>
      <c r="R262" s="16">
        <v>0</v>
      </c>
      <c r="S262" s="16">
        <v>0</v>
      </c>
      <c r="T262" s="16">
        <v>0</v>
      </c>
      <c r="U262" s="16">
        <v>10767</v>
      </c>
      <c r="V262" s="16">
        <f t="shared" si="296"/>
        <v>63173</v>
      </c>
      <c r="W262" s="16">
        <v>0</v>
      </c>
      <c r="X262" s="16">
        <f>30945+4146</f>
        <v>35091</v>
      </c>
      <c r="Y262" s="16">
        <f>19842+1185</f>
        <v>21027</v>
      </c>
      <c r="Z262" s="16">
        <f>3372+792</f>
        <v>4164</v>
      </c>
      <c r="AA262" s="16">
        <v>2891</v>
      </c>
      <c r="AB262" s="16">
        <v>0</v>
      </c>
      <c r="AC262" s="16">
        <v>0</v>
      </c>
      <c r="AD262" s="16">
        <v>0</v>
      </c>
      <c r="AE262" s="16">
        <f t="shared" si="297"/>
        <v>122077</v>
      </c>
      <c r="AF262" s="16">
        <v>0</v>
      </c>
      <c r="AG262" s="16">
        <v>4305</v>
      </c>
      <c r="AH262" s="16">
        <f>5237+2033</f>
        <v>7270</v>
      </c>
      <c r="AI262" s="16">
        <v>0</v>
      </c>
      <c r="AJ262" s="16">
        <v>1591</v>
      </c>
      <c r="AK262" s="16">
        <v>0</v>
      </c>
      <c r="AL262" s="16">
        <v>0</v>
      </c>
      <c r="AM262" s="16">
        <f>0+71428</f>
        <v>71428</v>
      </c>
      <c r="AN262" s="16">
        <v>0</v>
      </c>
      <c r="AO262" s="16">
        <v>0</v>
      </c>
      <c r="AP262" s="16">
        <v>0</v>
      </c>
      <c r="AQ262" s="16">
        <v>0</v>
      </c>
      <c r="AR262" s="16">
        <v>0</v>
      </c>
      <c r="AS262" s="16">
        <v>0</v>
      </c>
      <c r="AT262" s="16">
        <v>0</v>
      </c>
      <c r="AU262" s="16">
        <v>0</v>
      </c>
      <c r="AV262" s="16">
        <v>0</v>
      </c>
      <c r="AW262" s="16">
        <v>0</v>
      </c>
      <c r="AX262" s="16">
        <v>0</v>
      </c>
      <c r="AY262" s="16">
        <v>0</v>
      </c>
      <c r="AZ262" s="16">
        <v>37483</v>
      </c>
      <c r="BA262" s="16">
        <f t="shared" si="298"/>
        <v>0</v>
      </c>
      <c r="BB262" s="16">
        <f t="shared" si="299"/>
        <v>0</v>
      </c>
      <c r="BC262" s="16">
        <v>0</v>
      </c>
      <c r="BD262" s="16">
        <v>0</v>
      </c>
      <c r="BE262" s="16">
        <v>0</v>
      </c>
      <c r="BF262" s="16">
        <f t="shared" si="258"/>
        <v>0</v>
      </c>
      <c r="BG262" s="16">
        <v>0</v>
      </c>
      <c r="BH262" s="16">
        <v>0</v>
      </c>
      <c r="BI262" s="16">
        <v>0</v>
      </c>
      <c r="BJ262" s="16">
        <v>0</v>
      </c>
      <c r="BK262" s="16">
        <f t="shared" si="259"/>
        <v>0</v>
      </c>
      <c r="BL262" s="16">
        <v>0</v>
      </c>
      <c r="BM262" s="16">
        <f t="shared" si="260"/>
        <v>0</v>
      </c>
      <c r="BN262" s="16">
        <v>0</v>
      </c>
      <c r="BO262" s="16">
        <v>0</v>
      </c>
      <c r="BP262" s="16">
        <v>0</v>
      </c>
      <c r="BQ262" s="16">
        <v>0</v>
      </c>
      <c r="BR262" s="16">
        <v>0</v>
      </c>
      <c r="BS262" s="16">
        <v>0</v>
      </c>
      <c r="BT262" s="16">
        <v>0</v>
      </c>
      <c r="BU262" s="16">
        <v>0</v>
      </c>
      <c r="BV262" s="16">
        <v>0</v>
      </c>
      <c r="BW262" s="16">
        <v>0</v>
      </c>
      <c r="BX262" s="16">
        <v>0</v>
      </c>
      <c r="BY262" s="16">
        <f t="shared" si="300"/>
        <v>804034</v>
      </c>
      <c r="BZ262" s="16">
        <f t="shared" si="301"/>
        <v>804034</v>
      </c>
      <c r="CA262" s="16">
        <f t="shared" si="261"/>
        <v>268850</v>
      </c>
      <c r="CB262" s="16">
        <v>0</v>
      </c>
      <c r="CC262" s="16">
        <v>268850</v>
      </c>
      <c r="CD262" s="16">
        <f t="shared" si="262"/>
        <v>0</v>
      </c>
      <c r="CE262" s="16">
        <v>0</v>
      </c>
      <c r="CF262" s="16">
        <v>0</v>
      </c>
      <c r="CG262" s="16">
        <v>0</v>
      </c>
      <c r="CH262" s="16">
        <v>0</v>
      </c>
      <c r="CI262" s="16">
        <v>0</v>
      </c>
      <c r="CJ262" s="16">
        <v>0</v>
      </c>
      <c r="CK262" s="16">
        <f t="shared" si="263"/>
        <v>535184</v>
      </c>
      <c r="CL262" s="16">
        <v>0</v>
      </c>
      <c r="CM262" s="16">
        <v>0</v>
      </c>
      <c r="CN262" s="16">
        <v>535184</v>
      </c>
      <c r="CO262" s="16">
        <v>0</v>
      </c>
      <c r="CP262" s="16">
        <v>0</v>
      </c>
      <c r="CQ262" s="16">
        <v>0</v>
      </c>
      <c r="CR262" s="16">
        <v>0</v>
      </c>
      <c r="CS262" s="16">
        <v>0</v>
      </c>
      <c r="CT262" s="16">
        <f t="shared" si="264"/>
        <v>0</v>
      </c>
      <c r="CU262" s="16">
        <f t="shared" si="265"/>
        <v>0</v>
      </c>
      <c r="CV262" s="16">
        <v>0</v>
      </c>
      <c r="CW262" s="17">
        <v>0</v>
      </c>
      <c r="CX262" s="40"/>
    </row>
    <row r="263" spans="1:102" ht="31.5" hidden="1" x14ac:dyDescent="0.25">
      <c r="A263" s="13" t="s">
        <v>1</v>
      </c>
      <c r="B263" s="14" t="s">
        <v>1</v>
      </c>
      <c r="C263" s="14" t="s">
        <v>38</v>
      </c>
      <c r="D263" s="30" t="s">
        <v>510</v>
      </c>
      <c r="E263" s="15">
        <f t="shared" si="293"/>
        <v>605616</v>
      </c>
      <c r="F263" s="16">
        <f t="shared" si="294"/>
        <v>510616</v>
      </c>
      <c r="G263" s="16">
        <f t="shared" si="295"/>
        <v>510616</v>
      </c>
      <c r="H263" s="16">
        <v>138141</v>
      </c>
      <c r="I263" s="16">
        <v>32810</v>
      </c>
      <c r="J263" s="16">
        <f t="shared" si="256"/>
        <v>115000</v>
      </c>
      <c r="K263" s="16">
        <v>0</v>
      </c>
      <c r="L263" s="16">
        <v>0</v>
      </c>
      <c r="M263" s="16">
        <v>0</v>
      </c>
      <c r="N263" s="16">
        <v>0</v>
      </c>
      <c r="O263" s="16">
        <v>20000</v>
      </c>
      <c r="P263" s="16">
        <v>95000</v>
      </c>
      <c r="Q263" s="16">
        <f t="shared" si="257"/>
        <v>8616</v>
      </c>
      <c r="R263" s="16">
        <f>3000+5616</f>
        <v>8616</v>
      </c>
      <c r="S263" s="16">
        <v>0</v>
      </c>
      <c r="T263" s="16">
        <v>0</v>
      </c>
      <c r="U263" s="16">
        <v>25000</v>
      </c>
      <c r="V263" s="16">
        <f t="shared" si="296"/>
        <v>31049</v>
      </c>
      <c r="W263" s="16">
        <v>31049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f t="shared" si="297"/>
        <v>160000</v>
      </c>
      <c r="AF263" s="16">
        <v>0</v>
      </c>
      <c r="AG263" s="16">
        <v>10000</v>
      </c>
      <c r="AH263" s="16">
        <v>80000</v>
      </c>
      <c r="AI263" s="16">
        <v>0</v>
      </c>
      <c r="AJ263" s="16">
        <v>5000</v>
      </c>
      <c r="AK263" s="16">
        <v>0</v>
      </c>
      <c r="AL263" s="16">
        <v>10000</v>
      </c>
      <c r="AM263" s="16">
        <v>15000</v>
      </c>
      <c r="AN263" s="16">
        <v>0</v>
      </c>
      <c r="AO263" s="16">
        <v>0</v>
      </c>
      <c r="AP263" s="16">
        <v>0</v>
      </c>
      <c r="AQ263" s="16">
        <v>0</v>
      </c>
      <c r="AR263" s="16">
        <v>20000</v>
      </c>
      <c r="AS263" s="16">
        <v>0</v>
      </c>
      <c r="AT263" s="16"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20000</v>
      </c>
      <c r="BA263" s="16">
        <f t="shared" si="298"/>
        <v>0</v>
      </c>
      <c r="BB263" s="16">
        <f t="shared" si="299"/>
        <v>0</v>
      </c>
      <c r="BC263" s="16">
        <v>0</v>
      </c>
      <c r="BD263" s="16">
        <v>0</v>
      </c>
      <c r="BE263" s="16">
        <v>0</v>
      </c>
      <c r="BF263" s="16">
        <f t="shared" si="258"/>
        <v>0</v>
      </c>
      <c r="BG263" s="16">
        <v>0</v>
      </c>
      <c r="BH263" s="16">
        <v>0</v>
      </c>
      <c r="BI263" s="16">
        <v>0</v>
      </c>
      <c r="BJ263" s="16">
        <v>0</v>
      </c>
      <c r="BK263" s="16">
        <f t="shared" si="259"/>
        <v>0</v>
      </c>
      <c r="BL263" s="16">
        <v>0</v>
      </c>
      <c r="BM263" s="16">
        <f t="shared" si="260"/>
        <v>0</v>
      </c>
      <c r="BN263" s="16">
        <v>0</v>
      </c>
      <c r="BO263" s="16">
        <v>0</v>
      </c>
      <c r="BP263" s="16">
        <v>0</v>
      </c>
      <c r="BQ263" s="16">
        <v>0</v>
      </c>
      <c r="BR263" s="16">
        <v>0</v>
      </c>
      <c r="BS263" s="16">
        <v>0</v>
      </c>
      <c r="BT263" s="16">
        <v>0</v>
      </c>
      <c r="BU263" s="16">
        <v>0</v>
      </c>
      <c r="BV263" s="16">
        <v>0</v>
      </c>
      <c r="BW263" s="16">
        <v>0</v>
      </c>
      <c r="BX263" s="16">
        <v>0</v>
      </c>
      <c r="BY263" s="16">
        <f t="shared" si="300"/>
        <v>95000</v>
      </c>
      <c r="BZ263" s="16">
        <f t="shared" si="301"/>
        <v>95000</v>
      </c>
      <c r="CA263" s="16">
        <f t="shared" si="261"/>
        <v>95000</v>
      </c>
      <c r="CB263" s="16">
        <v>0</v>
      </c>
      <c r="CC263" s="16">
        <v>95000</v>
      </c>
      <c r="CD263" s="16">
        <f t="shared" si="262"/>
        <v>0</v>
      </c>
      <c r="CE263" s="16">
        <v>0</v>
      </c>
      <c r="CF263" s="16">
        <v>0</v>
      </c>
      <c r="CG263" s="16">
        <v>0</v>
      </c>
      <c r="CH263" s="16">
        <v>0</v>
      </c>
      <c r="CI263" s="16">
        <v>0</v>
      </c>
      <c r="CJ263" s="16">
        <v>0</v>
      </c>
      <c r="CK263" s="16">
        <f t="shared" si="263"/>
        <v>0</v>
      </c>
      <c r="CL263" s="16">
        <v>0</v>
      </c>
      <c r="CM263" s="16">
        <v>0</v>
      </c>
      <c r="CN263" s="16">
        <v>0</v>
      </c>
      <c r="CO263" s="16">
        <v>0</v>
      </c>
      <c r="CP263" s="16">
        <v>0</v>
      </c>
      <c r="CQ263" s="16">
        <v>0</v>
      </c>
      <c r="CR263" s="16">
        <v>0</v>
      </c>
      <c r="CS263" s="16">
        <v>0</v>
      </c>
      <c r="CT263" s="16">
        <f t="shared" si="264"/>
        <v>0</v>
      </c>
      <c r="CU263" s="16">
        <f t="shared" si="265"/>
        <v>0</v>
      </c>
      <c r="CV263" s="16">
        <v>0</v>
      </c>
      <c r="CW263" s="17">
        <v>0</v>
      </c>
      <c r="CX263" s="40"/>
    </row>
    <row r="264" spans="1:102" ht="31.5" hidden="1" x14ac:dyDescent="0.25">
      <c r="A264" s="13" t="s">
        <v>1</v>
      </c>
      <c r="B264" s="14" t="s">
        <v>1</v>
      </c>
      <c r="C264" s="14" t="s">
        <v>39</v>
      </c>
      <c r="D264" s="30" t="s">
        <v>286</v>
      </c>
      <c r="E264" s="15">
        <f t="shared" si="293"/>
        <v>304647</v>
      </c>
      <c r="F264" s="16">
        <f t="shared" si="294"/>
        <v>247318</v>
      </c>
      <c r="G264" s="16">
        <f t="shared" si="295"/>
        <v>247318</v>
      </c>
      <c r="H264" s="16">
        <v>120000</v>
      </c>
      <c r="I264" s="16">
        <v>30000</v>
      </c>
      <c r="J264" s="16">
        <f t="shared" si="256"/>
        <v>43113</v>
      </c>
      <c r="K264" s="16">
        <v>0</v>
      </c>
      <c r="L264" s="16">
        <v>0</v>
      </c>
      <c r="M264" s="16">
        <v>0</v>
      </c>
      <c r="N264" s="16">
        <v>0</v>
      </c>
      <c r="O264" s="16">
        <v>37113</v>
      </c>
      <c r="P264" s="16">
        <v>6000</v>
      </c>
      <c r="Q264" s="16">
        <f t="shared" si="257"/>
        <v>1200</v>
      </c>
      <c r="R264" s="16">
        <v>1200</v>
      </c>
      <c r="S264" s="16">
        <v>0</v>
      </c>
      <c r="T264" s="16">
        <v>0</v>
      </c>
      <c r="U264" s="16">
        <v>7524</v>
      </c>
      <c r="V264" s="16">
        <f t="shared" si="296"/>
        <v>15310</v>
      </c>
      <c r="W264" s="16">
        <v>0</v>
      </c>
      <c r="X264" s="16">
        <v>0</v>
      </c>
      <c r="Y264" s="16">
        <v>0</v>
      </c>
      <c r="Z264" s="16">
        <f>9966+1730</f>
        <v>11696</v>
      </c>
      <c r="AA264" s="16">
        <v>718</v>
      </c>
      <c r="AB264" s="16">
        <v>0</v>
      </c>
      <c r="AC264" s="16">
        <v>0</v>
      </c>
      <c r="AD264" s="16">
        <f>2766+130</f>
        <v>2896</v>
      </c>
      <c r="AE264" s="16">
        <f t="shared" si="297"/>
        <v>30171</v>
      </c>
      <c r="AF264" s="16">
        <v>4000</v>
      </c>
      <c r="AG264" s="16">
        <v>7506</v>
      </c>
      <c r="AH264" s="16">
        <v>3545</v>
      </c>
      <c r="AI264" s="16">
        <v>0</v>
      </c>
      <c r="AJ264" s="16">
        <v>6364</v>
      </c>
      <c r="AK264" s="16">
        <v>0</v>
      </c>
      <c r="AL264" s="16">
        <v>1200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16">
        <v>0</v>
      </c>
      <c r="AS264" s="16">
        <v>0</v>
      </c>
      <c r="AT264" s="16">
        <v>0</v>
      </c>
      <c r="AU264" s="16">
        <v>0</v>
      </c>
      <c r="AV264" s="16">
        <v>0</v>
      </c>
      <c r="AW264" s="16">
        <v>0</v>
      </c>
      <c r="AX264" s="16">
        <v>0</v>
      </c>
      <c r="AY264" s="16">
        <v>0</v>
      </c>
      <c r="AZ264" s="16">
        <v>7556</v>
      </c>
      <c r="BA264" s="16">
        <f t="shared" si="298"/>
        <v>0</v>
      </c>
      <c r="BB264" s="16">
        <f t="shared" si="299"/>
        <v>0</v>
      </c>
      <c r="BC264" s="16">
        <v>0</v>
      </c>
      <c r="BD264" s="16">
        <v>0</v>
      </c>
      <c r="BE264" s="16">
        <v>0</v>
      </c>
      <c r="BF264" s="16">
        <f t="shared" si="258"/>
        <v>0</v>
      </c>
      <c r="BG264" s="16">
        <v>0</v>
      </c>
      <c r="BH264" s="16">
        <v>0</v>
      </c>
      <c r="BI264" s="16">
        <v>0</v>
      </c>
      <c r="BJ264" s="16">
        <v>0</v>
      </c>
      <c r="BK264" s="16">
        <f t="shared" si="259"/>
        <v>0</v>
      </c>
      <c r="BL264" s="16">
        <v>0</v>
      </c>
      <c r="BM264" s="16">
        <f t="shared" si="260"/>
        <v>0</v>
      </c>
      <c r="BN264" s="16">
        <v>0</v>
      </c>
      <c r="BO264" s="16">
        <v>0</v>
      </c>
      <c r="BP264" s="16">
        <v>0</v>
      </c>
      <c r="BQ264" s="16">
        <v>0</v>
      </c>
      <c r="BR264" s="16">
        <v>0</v>
      </c>
      <c r="BS264" s="16">
        <v>0</v>
      </c>
      <c r="BT264" s="16">
        <v>0</v>
      </c>
      <c r="BU264" s="16">
        <v>0</v>
      </c>
      <c r="BV264" s="16">
        <v>0</v>
      </c>
      <c r="BW264" s="16">
        <v>0</v>
      </c>
      <c r="BX264" s="16">
        <v>0</v>
      </c>
      <c r="BY264" s="16">
        <f t="shared" si="300"/>
        <v>57329</v>
      </c>
      <c r="BZ264" s="16">
        <f t="shared" si="301"/>
        <v>57329</v>
      </c>
      <c r="CA264" s="16">
        <f t="shared" si="261"/>
        <v>57329</v>
      </c>
      <c r="CB264" s="16">
        <v>0</v>
      </c>
      <c r="CC264" s="16">
        <f>57442-113</f>
        <v>57329</v>
      </c>
      <c r="CD264" s="16">
        <f t="shared" si="262"/>
        <v>0</v>
      </c>
      <c r="CE264" s="16">
        <v>0</v>
      </c>
      <c r="CF264" s="16">
        <v>0</v>
      </c>
      <c r="CG264" s="16">
        <v>0</v>
      </c>
      <c r="CH264" s="16">
        <v>0</v>
      </c>
      <c r="CI264" s="16">
        <v>0</v>
      </c>
      <c r="CJ264" s="16">
        <v>0</v>
      </c>
      <c r="CK264" s="16">
        <f t="shared" si="263"/>
        <v>0</v>
      </c>
      <c r="CL264" s="16">
        <v>0</v>
      </c>
      <c r="CM264" s="16">
        <v>0</v>
      </c>
      <c r="CN264" s="16">
        <v>0</v>
      </c>
      <c r="CO264" s="16">
        <v>0</v>
      </c>
      <c r="CP264" s="16">
        <v>0</v>
      </c>
      <c r="CQ264" s="16">
        <v>0</v>
      </c>
      <c r="CR264" s="16">
        <v>0</v>
      </c>
      <c r="CS264" s="16">
        <v>0</v>
      </c>
      <c r="CT264" s="16">
        <f t="shared" si="264"/>
        <v>0</v>
      </c>
      <c r="CU264" s="16">
        <f t="shared" si="265"/>
        <v>0</v>
      </c>
      <c r="CV264" s="16">
        <v>0</v>
      </c>
      <c r="CW264" s="17">
        <v>0</v>
      </c>
      <c r="CX264" s="40"/>
    </row>
    <row r="265" spans="1:102" ht="15.75" hidden="1" x14ac:dyDescent="0.25">
      <c r="A265" s="13" t="s">
        <v>247</v>
      </c>
      <c r="B265" s="14" t="s">
        <v>54</v>
      </c>
      <c r="C265" s="14" t="s">
        <v>1</v>
      </c>
      <c r="D265" s="30" t="s">
        <v>289</v>
      </c>
      <c r="E265" s="15">
        <f t="shared" ref="E265:BP265" si="302">SUM(E266:E278)</f>
        <v>76733711</v>
      </c>
      <c r="F265" s="16">
        <f t="shared" si="302"/>
        <v>1346300</v>
      </c>
      <c r="G265" s="16">
        <f t="shared" si="302"/>
        <v>1346300</v>
      </c>
      <c r="H265" s="16">
        <f t="shared" si="302"/>
        <v>0</v>
      </c>
      <c r="I265" s="16">
        <f t="shared" si="302"/>
        <v>0</v>
      </c>
      <c r="J265" s="16">
        <f t="shared" si="302"/>
        <v>0</v>
      </c>
      <c r="K265" s="16">
        <f t="shared" si="302"/>
        <v>0</v>
      </c>
      <c r="L265" s="16">
        <f t="shared" si="302"/>
        <v>0</v>
      </c>
      <c r="M265" s="16">
        <f t="shared" si="302"/>
        <v>0</v>
      </c>
      <c r="N265" s="16">
        <f t="shared" si="302"/>
        <v>0</v>
      </c>
      <c r="O265" s="16">
        <f t="shared" si="302"/>
        <v>0</v>
      </c>
      <c r="P265" s="16">
        <f t="shared" si="302"/>
        <v>0</v>
      </c>
      <c r="Q265" s="16">
        <f t="shared" si="302"/>
        <v>0</v>
      </c>
      <c r="R265" s="16">
        <f t="shared" si="302"/>
        <v>0</v>
      </c>
      <c r="S265" s="16">
        <f t="shared" si="302"/>
        <v>0</v>
      </c>
      <c r="T265" s="16">
        <f t="shared" si="302"/>
        <v>0</v>
      </c>
      <c r="U265" s="16">
        <f t="shared" si="302"/>
        <v>0</v>
      </c>
      <c r="V265" s="16">
        <f t="shared" si="302"/>
        <v>0</v>
      </c>
      <c r="W265" s="16">
        <f t="shared" si="302"/>
        <v>0</v>
      </c>
      <c r="X265" s="16">
        <f t="shared" si="302"/>
        <v>0</v>
      </c>
      <c r="Y265" s="16">
        <f t="shared" si="302"/>
        <v>0</v>
      </c>
      <c r="Z265" s="16">
        <f t="shared" si="302"/>
        <v>0</v>
      </c>
      <c r="AA265" s="16">
        <f t="shared" si="302"/>
        <v>0</v>
      </c>
      <c r="AB265" s="16">
        <f t="shared" si="302"/>
        <v>0</v>
      </c>
      <c r="AC265" s="16">
        <f t="shared" si="302"/>
        <v>0</v>
      </c>
      <c r="AD265" s="16">
        <f t="shared" si="302"/>
        <v>0</v>
      </c>
      <c r="AE265" s="16">
        <f t="shared" si="302"/>
        <v>1346300</v>
      </c>
      <c r="AF265" s="16">
        <f t="shared" si="302"/>
        <v>0</v>
      </c>
      <c r="AG265" s="16">
        <f t="shared" si="302"/>
        <v>0</v>
      </c>
      <c r="AH265" s="16">
        <f t="shared" si="302"/>
        <v>0</v>
      </c>
      <c r="AI265" s="16">
        <f t="shared" si="302"/>
        <v>0</v>
      </c>
      <c r="AJ265" s="16">
        <f t="shared" si="302"/>
        <v>0</v>
      </c>
      <c r="AK265" s="16">
        <f t="shared" si="302"/>
        <v>0</v>
      </c>
      <c r="AL265" s="16">
        <f t="shared" si="302"/>
        <v>0</v>
      </c>
      <c r="AM265" s="16">
        <f t="shared" si="302"/>
        <v>0</v>
      </c>
      <c r="AN265" s="16">
        <f t="shared" si="302"/>
        <v>0</v>
      </c>
      <c r="AO265" s="16">
        <f t="shared" si="302"/>
        <v>0</v>
      </c>
      <c r="AP265" s="16">
        <f t="shared" si="302"/>
        <v>0</v>
      </c>
      <c r="AQ265" s="16">
        <f t="shared" si="302"/>
        <v>0</v>
      </c>
      <c r="AR265" s="16">
        <f t="shared" si="302"/>
        <v>0</v>
      </c>
      <c r="AS265" s="16">
        <f t="shared" si="302"/>
        <v>0</v>
      </c>
      <c r="AT265" s="16">
        <f t="shared" si="302"/>
        <v>0</v>
      </c>
      <c r="AU265" s="16">
        <f t="shared" si="302"/>
        <v>0</v>
      </c>
      <c r="AV265" s="16">
        <f t="shared" si="302"/>
        <v>0</v>
      </c>
      <c r="AW265" s="16">
        <f t="shared" si="302"/>
        <v>0</v>
      </c>
      <c r="AX265" s="16">
        <f t="shared" si="302"/>
        <v>0</v>
      </c>
      <c r="AY265" s="16">
        <f t="shared" si="302"/>
        <v>0</v>
      </c>
      <c r="AZ265" s="16">
        <f t="shared" si="302"/>
        <v>1346300</v>
      </c>
      <c r="BA265" s="16">
        <f t="shared" si="302"/>
        <v>0</v>
      </c>
      <c r="BB265" s="16">
        <f t="shared" si="302"/>
        <v>0</v>
      </c>
      <c r="BC265" s="16">
        <f t="shared" si="302"/>
        <v>0</v>
      </c>
      <c r="BD265" s="16">
        <f t="shared" si="302"/>
        <v>0</v>
      </c>
      <c r="BE265" s="16">
        <f t="shared" si="302"/>
        <v>0</v>
      </c>
      <c r="BF265" s="16">
        <f t="shared" si="302"/>
        <v>0</v>
      </c>
      <c r="BG265" s="16">
        <f t="shared" si="302"/>
        <v>0</v>
      </c>
      <c r="BH265" s="16">
        <f t="shared" si="302"/>
        <v>0</v>
      </c>
      <c r="BI265" s="16">
        <f t="shared" si="302"/>
        <v>0</v>
      </c>
      <c r="BJ265" s="16">
        <f t="shared" si="302"/>
        <v>0</v>
      </c>
      <c r="BK265" s="16">
        <f t="shared" si="302"/>
        <v>0</v>
      </c>
      <c r="BL265" s="16">
        <f t="shared" si="302"/>
        <v>0</v>
      </c>
      <c r="BM265" s="16">
        <f t="shared" si="302"/>
        <v>0</v>
      </c>
      <c r="BN265" s="16">
        <f t="shared" si="302"/>
        <v>0</v>
      </c>
      <c r="BO265" s="16">
        <f t="shared" si="302"/>
        <v>0</v>
      </c>
      <c r="BP265" s="16">
        <f t="shared" si="302"/>
        <v>0</v>
      </c>
      <c r="BQ265" s="16">
        <f t="shared" ref="BQ265:CW265" si="303">SUM(BQ266:BQ278)</f>
        <v>0</v>
      </c>
      <c r="BR265" s="16">
        <f t="shared" si="303"/>
        <v>0</v>
      </c>
      <c r="BS265" s="16">
        <f t="shared" si="303"/>
        <v>0</v>
      </c>
      <c r="BT265" s="16">
        <f t="shared" si="303"/>
        <v>0</v>
      </c>
      <c r="BU265" s="16">
        <f t="shared" si="303"/>
        <v>0</v>
      </c>
      <c r="BV265" s="16">
        <f t="shared" si="303"/>
        <v>0</v>
      </c>
      <c r="BW265" s="16">
        <f t="shared" si="303"/>
        <v>0</v>
      </c>
      <c r="BX265" s="16">
        <f t="shared" si="303"/>
        <v>0</v>
      </c>
      <c r="BY265" s="16">
        <f t="shared" si="303"/>
        <v>75387411</v>
      </c>
      <c r="BZ265" s="16">
        <f t="shared" si="303"/>
        <v>0</v>
      </c>
      <c r="CA265" s="16">
        <f t="shared" si="303"/>
        <v>0</v>
      </c>
      <c r="CB265" s="16">
        <f t="shared" si="303"/>
        <v>0</v>
      </c>
      <c r="CC265" s="16">
        <f t="shared" si="303"/>
        <v>0</v>
      </c>
      <c r="CD265" s="16">
        <f t="shared" si="303"/>
        <v>0</v>
      </c>
      <c r="CE265" s="16">
        <f t="shared" si="303"/>
        <v>0</v>
      </c>
      <c r="CF265" s="16">
        <f t="shared" si="303"/>
        <v>0</v>
      </c>
      <c r="CG265" s="16">
        <f t="shared" si="303"/>
        <v>0</v>
      </c>
      <c r="CH265" s="16">
        <f t="shared" si="303"/>
        <v>0</v>
      </c>
      <c r="CI265" s="16">
        <f t="shared" si="303"/>
        <v>0</v>
      </c>
      <c r="CJ265" s="16">
        <f t="shared" si="303"/>
        <v>0</v>
      </c>
      <c r="CK265" s="16">
        <f t="shared" si="303"/>
        <v>0</v>
      </c>
      <c r="CL265" s="16">
        <f t="shared" si="303"/>
        <v>0</v>
      </c>
      <c r="CM265" s="16">
        <f t="shared" si="303"/>
        <v>0</v>
      </c>
      <c r="CN265" s="16">
        <f t="shared" si="303"/>
        <v>0</v>
      </c>
      <c r="CO265" s="16">
        <f t="shared" si="303"/>
        <v>0</v>
      </c>
      <c r="CP265" s="16">
        <f t="shared" si="303"/>
        <v>0</v>
      </c>
      <c r="CQ265" s="16">
        <f t="shared" si="303"/>
        <v>0</v>
      </c>
      <c r="CR265" s="16">
        <f t="shared" si="303"/>
        <v>0</v>
      </c>
      <c r="CS265" s="16">
        <f t="shared" si="303"/>
        <v>75387411</v>
      </c>
      <c r="CT265" s="16">
        <f t="shared" si="303"/>
        <v>0</v>
      </c>
      <c r="CU265" s="16">
        <f t="shared" si="303"/>
        <v>0</v>
      </c>
      <c r="CV265" s="16">
        <f t="shared" si="303"/>
        <v>0</v>
      </c>
      <c r="CW265" s="17">
        <f t="shared" si="303"/>
        <v>0</v>
      </c>
      <c r="CX265" s="40"/>
    </row>
    <row r="266" spans="1:102" ht="31.5" hidden="1" x14ac:dyDescent="0.25">
      <c r="A266" s="13" t="s">
        <v>1</v>
      </c>
      <c r="B266" s="14" t="s">
        <v>1</v>
      </c>
      <c r="C266" s="14" t="s">
        <v>17</v>
      </c>
      <c r="D266" s="30" t="s">
        <v>531</v>
      </c>
      <c r="E266" s="15">
        <f t="shared" ref="E266:E278" si="304">SUM(F266+BY266+CT266)</f>
        <v>1346300</v>
      </c>
      <c r="F266" s="16">
        <f t="shared" ref="F266:F278" si="305">SUM(G266+BA266)</f>
        <v>1346300</v>
      </c>
      <c r="G266" s="16">
        <f t="shared" ref="G266:G278" si="306">SUM(H266+I266+J266+Q266+T266+U266+V266+AE266)</f>
        <v>1346300</v>
      </c>
      <c r="H266" s="16">
        <v>0</v>
      </c>
      <c r="I266" s="16">
        <v>0</v>
      </c>
      <c r="J266" s="16">
        <f>SUM(K266:P266)</f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f>SUM(R266:S266)</f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f t="shared" ref="V266:V278" si="307">SUM(W266:AD266)</f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f t="shared" ref="AE266:AE278" si="308">SUM(AF266:AZ266)</f>
        <v>1346300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0</v>
      </c>
      <c r="AT266" s="16">
        <v>0</v>
      </c>
      <c r="AU266" s="16">
        <v>0</v>
      </c>
      <c r="AV266" s="16">
        <v>0</v>
      </c>
      <c r="AW266" s="16">
        <v>0</v>
      </c>
      <c r="AX266" s="16">
        <v>0</v>
      </c>
      <c r="AY266" s="16">
        <v>0</v>
      </c>
      <c r="AZ266" s="16">
        <v>1346300</v>
      </c>
      <c r="BA266" s="16">
        <f t="shared" ref="BA266:BA278" si="309">SUM(BB266+BF266+BI266+BK266+BM266)</f>
        <v>0</v>
      </c>
      <c r="BB266" s="16">
        <f t="shared" ref="BB266:BB278" si="310">SUM(BC266:BE266)</f>
        <v>0</v>
      </c>
      <c r="BC266" s="16">
        <v>0</v>
      </c>
      <c r="BD266" s="16">
        <v>0</v>
      </c>
      <c r="BE266" s="16">
        <v>0</v>
      </c>
      <c r="BF266" s="16">
        <f>SUM(BG266:BH266)</f>
        <v>0</v>
      </c>
      <c r="BG266" s="16">
        <v>0</v>
      </c>
      <c r="BH266" s="16">
        <v>0</v>
      </c>
      <c r="BI266" s="16">
        <v>0</v>
      </c>
      <c r="BJ266" s="16">
        <v>0</v>
      </c>
      <c r="BK266" s="16">
        <f>SUM(BL266)</f>
        <v>0</v>
      </c>
      <c r="BL266" s="16">
        <v>0</v>
      </c>
      <c r="BM266" s="16">
        <f>SUM(BN266:BX266)</f>
        <v>0</v>
      </c>
      <c r="BN266" s="16">
        <v>0</v>
      </c>
      <c r="BO266" s="16">
        <v>0</v>
      </c>
      <c r="BP266" s="16">
        <v>0</v>
      </c>
      <c r="BQ266" s="16">
        <v>0</v>
      </c>
      <c r="BR266" s="16">
        <v>0</v>
      </c>
      <c r="BS266" s="16">
        <v>0</v>
      </c>
      <c r="BT266" s="16">
        <v>0</v>
      </c>
      <c r="BU266" s="16">
        <v>0</v>
      </c>
      <c r="BV266" s="16">
        <v>0</v>
      </c>
      <c r="BW266" s="16">
        <v>0</v>
      </c>
      <c r="BX266" s="16">
        <v>0</v>
      </c>
      <c r="BY266" s="16">
        <f t="shared" ref="BY266:BY278" si="311">SUM(BZ266+CS266)</f>
        <v>0</v>
      </c>
      <c r="BZ266" s="16">
        <f t="shared" ref="BZ266:BZ278" si="312">SUM(CA266+CD266+CK266)</f>
        <v>0</v>
      </c>
      <c r="CA266" s="16">
        <f>SUM(CB266:CC266)</f>
        <v>0</v>
      </c>
      <c r="CB266" s="16">
        <v>0</v>
      </c>
      <c r="CC266" s="16">
        <v>0</v>
      </c>
      <c r="CD266" s="16">
        <f>SUM(CE266:CI266)</f>
        <v>0</v>
      </c>
      <c r="CE266" s="16">
        <v>0</v>
      </c>
      <c r="CF266" s="16">
        <v>0</v>
      </c>
      <c r="CG266" s="16">
        <v>0</v>
      </c>
      <c r="CH266" s="16">
        <v>0</v>
      </c>
      <c r="CI266" s="16">
        <v>0</v>
      </c>
      <c r="CJ266" s="16">
        <v>0</v>
      </c>
      <c r="CK266" s="16">
        <f>SUM(CL266:CP266)</f>
        <v>0</v>
      </c>
      <c r="CL266" s="16">
        <v>0</v>
      </c>
      <c r="CM266" s="16">
        <v>0</v>
      </c>
      <c r="CN266" s="16">
        <v>0</v>
      </c>
      <c r="CO266" s="16">
        <v>0</v>
      </c>
      <c r="CP266" s="16">
        <v>0</v>
      </c>
      <c r="CQ266" s="16">
        <v>0</v>
      </c>
      <c r="CR266" s="16">
        <v>0</v>
      </c>
      <c r="CS266" s="16"/>
      <c r="CT266" s="16">
        <f>SUM(CU266)</f>
        <v>0</v>
      </c>
      <c r="CU266" s="16">
        <f>SUM(CV266:CW266)</f>
        <v>0</v>
      </c>
      <c r="CV266" s="16">
        <v>0</v>
      </c>
      <c r="CW266" s="17">
        <v>0</v>
      </c>
      <c r="CX266" s="40"/>
    </row>
    <row r="267" spans="1:102" ht="31.5" hidden="1" x14ac:dyDescent="0.25">
      <c r="A267" s="13" t="s">
        <v>1</v>
      </c>
      <c r="B267" s="14" t="s">
        <v>1</v>
      </c>
      <c r="C267" s="14" t="s">
        <v>17</v>
      </c>
      <c r="D267" s="30" t="s">
        <v>545</v>
      </c>
      <c r="E267" s="15">
        <f t="shared" si="304"/>
        <v>8027004</v>
      </c>
      <c r="F267" s="16">
        <f t="shared" si="305"/>
        <v>0</v>
      </c>
      <c r="G267" s="16">
        <f t="shared" si="306"/>
        <v>0</v>
      </c>
      <c r="H267" s="16">
        <v>0</v>
      </c>
      <c r="I267" s="16">
        <v>0</v>
      </c>
      <c r="J267" s="16">
        <f>SUM(K267:P267)</f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f>SUM(R267:S267)</f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f t="shared" si="307"/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f>SUM(AF267:AZ267)</f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  <c r="AT267" s="16">
        <v>0</v>
      </c>
      <c r="AU267" s="16">
        <v>0</v>
      </c>
      <c r="AV267" s="16">
        <v>0</v>
      </c>
      <c r="AW267" s="16">
        <v>0</v>
      </c>
      <c r="AX267" s="16">
        <v>0</v>
      </c>
      <c r="AY267" s="16">
        <v>0</v>
      </c>
      <c r="AZ267" s="16">
        <v>0</v>
      </c>
      <c r="BA267" s="16">
        <f t="shared" si="309"/>
        <v>0</v>
      </c>
      <c r="BB267" s="16">
        <f t="shared" si="310"/>
        <v>0</v>
      </c>
      <c r="BC267" s="16">
        <v>0</v>
      </c>
      <c r="BD267" s="16">
        <v>0</v>
      </c>
      <c r="BE267" s="16">
        <v>0</v>
      </c>
      <c r="BF267" s="16">
        <f>SUM(BG267:BH267)</f>
        <v>0</v>
      </c>
      <c r="BG267" s="16">
        <v>0</v>
      </c>
      <c r="BH267" s="16">
        <v>0</v>
      </c>
      <c r="BI267" s="16">
        <v>0</v>
      </c>
      <c r="BJ267" s="16">
        <v>0</v>
      </c>
      <c r="BK267" s="16">
        <f>SUM(BL267)</f>
        <v>0</v>
      </c>
      <c r="BL267" s="16">
        <v>0</v>
      </c>
      <c r="BM267" s="16">
        <f>SUM(BN267:BX267)</f>
        <v>0</v>
      </c>
      <c r="BN267" s="16">
        <v>0</v>
      </c>
      <c r="BO267" s="16">
        <v>0</v>
      </c>
      <c r="BP267" s="16">
        <v>0</v>
      </c>
      <c r="BQ267" s="16">
        <v>0</v>
      </c>
      <c r="BR267" s="16">
        <v>0</v>
      </c>
      <c r="BS267" s="16">
        <v>0</v>
      </c>
      <c r="BT267" s="16">
        <v>0</v>
      </c>
      <c r="BU267" s="16">
        <v>0</v>
      </c>
      <c r="BV267" s="16">
        <v>0</v>
      </c>
      <c r="BW267" s="16">
        <v>0</v>
      </c>
      <c r="BX267" s="16">
        <v>0</v>
      </c>
      <c r="BY267" s="16">
        <f t="shared" si="311"/>
        <v>8027004</v>
      </c>
      <c r="BZ267" s="16">
        <f t="shared" si="312"/>
        <v>0</v>
      </c>
      <c r="CA267" s="16">
        <f>SUM(CB267:CC267)</f>
        <v>0</v>
      </c>
      <c r="CB267" s="16">
        <v>0</v>
      </c>
      <c r="CC267" s="16">
        <v>0</v>
      </c>
      <c r="CD267" s="16">
        <f>SUM(CE267:CI267)</f>
        <v>0</v>
      </c>
      <c r="CE267" s="16">
        <v>0</v>
      </c>
      <c r="CF267" s="16">
        <v>0</v>
      </c>
      <c r="CG267" s="16">
        <v>0</v>
      </c>
      <c r="CH267" s="16">
        <v>0</v>
      </c>
      <c r="CI267" s="16">
        <v>0</v>
      </c>
      <c r="CJ267" s="16">
        <v>0</v>
      </c>
      <c r="CK267" s="16">
        <f>SUM(CL267:CP267)</f>
        <v>0</v>
      </c>
      <c r="CL267" s="16">
        <v>0</v>
      </c>
      <c r="CM267" s="16">
        <v>0</v>
      </c>
      <c r="CN267" s="16">
        <v>0</v>
      </c>
      <c r="CO267" s="16">
        <v>0</v>
      </c>
      <c r="CP267" s="16">
        <v>0</v>
      </c>
      <c r="CQ267" s="16">
        <v>0</v>
      </c>
      <c r="CR267" s="16">
        <v>0</v>
      </c>
      <c r="CS267" s="16">
        <v>8027004</v>
      </c>
      <c r="CT267" s="16">
        <f>SUM(CU267)</f>
        <v>0</v>
      </c>
      <c r="CU267" s="16">
        <f>SUM(CV267:CW267)</f>
        <v>0</v>
      </c>
      <c r="CV267" s="16">
        <v>0</v>
      </c>
      <c r="CW267" s="17">
        <v>0</v>
      </c>
      <c r="CX267" s="40"/>
    </row>
    <row r="268" spans="1:102" ht="15.75" hidden="1" x14ac:dyDescent="0.25">
      <c r="A268" s="13" t="s">
        <v>1</v>
      </c>
      <c r="B268" s="14" t="s">
        <v>1</v>
      </c>
      <c r="C268" s="14" t="s">
        <v>19</v>
      </c>
      <c r="D268" s="30" t="s">
        <v>511</v>
      </c>
      <c r="E268" s="15">
        <f t="shared" si="304"/>
        <v>8321340</v>
      </c>
      <c r="F268" s="16">
        <f t="shared" si="305"/>
        <v>0</v>
      </c>
      <c r="G268" s="16">
        <f t="shared" si="306"/>
        <v>0</v>
      </c>
      <c r="H268" s="16">
        <v>0</v>
      </c>
      <c r="I268" s="16">
        <v>0</v>
      </c>
      <c r="J268" s="16">
        <f t="shared" si="256"/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f t="shared" si="257"/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f t="shared" si="307"/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f t="shared" si="308"/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0</v>
      </c>
      <c r="AS268" s="16">
        <v>0</v>
      </c>
      <c r="AT268" s="16">
        <v>0</v>
      </c>
      <c r="AU268" s="16">
        <v>0</v>
      </c>
      <c r="AV268" s="16">
        <v>0</v>
      </c>
      <c r="AW268" s="16">
        <v>0</v>
      </c>
      <c r="AX268" s="16">
        <v>0</v>
      </c>
      <c r="AY268" s="16">
        <v>0</v>
      </c>
      <c r="AZ268" s="16">
        <v>0</v>
      </c>
      <c r="BA268" s="16">
        <f t="shared" si="309"/>
        <v>0</v>
      </c>
      <c r="BB268" s="16">
        <f t="shared" si="310"/>
        <v>0</v>
      </c>
      <c r="BC268" s="16">
        <v>0</v>
      </c>
      <c r="BD268" s="16">
        <v>0</v>
      </c>
      <c r="BE268" s="16">
        <v>0</v>
      </c>
      <c r="BF268" s="16">
        <f t="shared" si="258"/>
        <v>0</v>
      </c>
      <c r="BG268" s="16">
        <v>0</v>
      </c>
      <c r="BH268" s="16">
        <v>0</v>
      </c>
      <c r="BI268" s="16">
        <v>0</v>
      </c>
      <c r="BJ268" s="16">
        <v>0</v>
      </c>
      <c r="BK268" s="16">
        <f t="shared" si="259"/>
        <v>0</v>
      </c>
      <c r="BL268" s="16">
        <v>0</v>
      </c>
      <c r="BM268" s="16">
        <f t="shared" si="260"/>
        <v>0</v>
      </c>
      <c r="BN268" s="16">
        <v>0</v>
      </c>
      <c r="BO268" s="16">
        <v>0</v>
      </c>
      <c r="BP268" s="16">
        <v>0</v>
      </c>
      <c r="BQ268" s="16">
        <v>0</v>
      </c>
      <c r="BR268" s="16">
        <v>0</v>
      </c>
      <c r="BS268" s="16">
        <v>0</v>
      </c>
      <c r="BT268" s="16">
        <v>0</v>
      </c>
      <c r="BU268" s="16">
        <v>0</v>
      </c>
      <c r="BV268" s="16">
        <v>0</v>
      </c>
      <c r="BW268" s="16">
        <v>0</v>
      </c>
      <c r="BX268" s="16">
        <v>0</v>
      </c>
      <c r="BY268" s="16">
        <f t="shared" si="311"/>
        <v>8321340</v>
      </c>
      <c r="BZ268" s="16">
        <f t="shared" si="312"/>
        <v>0</v>
      </c>
      <c r="CA268" s="16">
        <f t="shared" si="261"/>
        <v>0</v>
      </c>
      <c r="CB268" s="16">
        <v>0</v>
      </c>
      <c r="CC268" s="16">
        <v>0</v>
      </c>
      <c r="CD268" s="16">
        <f t="shared" si="262"/>
        <v>0</v>
      </c>
      <c r="CE268" s="16">
        <v>0</v>
      </c>
      <c r="CF268" s="16">
        <v>0</v>
      </c>
      <c r="CG268" s="16">
        <v>0</v>
      </c>
      <c r="CH268" s="16">
        <v>0</v>
      </c>
      <c r="CI268" s="16">
        <v>0</v>
      </c>
      <c r="CJ268" s="16">
        <v>0</v>
      </c>
      <c r="CK268" s="16">
        <f t="shared" si="263"/>
        <v>0</v>
      </c>
      <c r="CL268" s="16">
        <v>0</v>
      </c>
      <c r="CM268" s="16">
        <v>0</v>
      </c>
      <c r="CN268" s="16">
        <v>0</v>
      </c>
      <c r="CO268" s="16">
        <v>0</v>
      </c>
      <c r="CP268" s="16">
        <v>0</v>
      </c>
      <c r="CQ268" s="16">
        <v>0</v>
      </c>
      <c r="CR268" s="16">
        <v>0</v>
      </c>
      <c r="CS268" s="16">
        <v>8321340</v>
      </c>
      <c r="CT268" s="16">
        <f t="shared" si="264"/>
        <v>0</v>
      </c>
      <c r="CU268" s="16">
        <f t="shared" si="265"/>
        <v>0</v>
      </c>
      <c r="CV268" s="16">
        <v>0</v>
      </c>
      <c r="CW268" s="17">
        <v>0</v>
      </c>
      <c r="CX268" s="40"/>
    </row>
    <row r="269" spans="1:102" ht="15.75" hidden="1" x14ac:dyDescent="0.25">
      <c r="A269" s="13" t="s">
        <v>1</v>
      </c>
      <c r="B269" s="14" t="s">
        <v>1</v>
      </c>
      <c r="C269" s="14" t="s">
        <v>21</v>
      </c>
      <c r="D269" s="30" t="s">
        <v>293</v>
      </c>
      <c r="E269" s="15">
        <f t="shared" si="304"/>
        <v>5636486</v>
      </c>
      <c r="F269" s="16">
        <f t="shared" si="305"/>
        <v>0</v>
      </c>
      <c r="G269" s="16">
        <f t="shared" si="306"/>
        <v>0</v>
      </c>
      <c r="H269" s="16">
        <v>0</v>
      </c>
      <c r="I269" s="16">
        <v>0</v>
      </c>
      <c r="J269" s="16">
        <f>SUM(K269:P269)</f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f>SUM(R269:S269)</f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f t="shared" si="307"/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f>SUM(AF269:AZ269)</f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16">
        <v>0</v>
      </c>
      <c r="AU269" s="16">
        <v>0</v>
      </c>
      <c r="AV269" s="16">
        <v>0</v>
      </c>
      <c r="AW269" s="16">
        <v>0</v>
      </c>
      <c r="AX269" s="16">
        <v>0</v>
      </c>
      <c r="AY269" s="16">
        <v>0</v>
      </c>
      <c r="AZ269" s="16">
        <v>0</v>
      </c>
      <c r="BA269" s="16">
        <f t="shared" si="309"/>
        <v>0</v>
      </c>
      <c r="BB269" s="16">
        <f t="shared" si="310"/>
        <v>0</v>
      </c>
      <c r="BC269" s="16">
        <v>0</v>
      </c>
      <c r="BD269" s="16">
        <v>0</v>
      </c>
      <c r="BE269" s="16">
        <v>0</v>
      </c>
      <c r="BF269" s="16">
        <f>SUM(BG269:BH269)</f>
        <v>0</v>
      </c>
      <c r="BG269" s="16">
        <v>0</v>
      </c>
      <c r="BH269" s="16">
        <v>0</v>
      </c>
      <c r="BI269" s="16">
        <v>0</v>
      </c>
      <c r="BJ269" s="16">
        <v>0</v>
      </c>
      <c r="BK269" s="16">
        <f>SUM(BL269)</f>
        <v>0</v>
      </c>
      <c r="BL269" s="16">
        <v>0</v>
      </c>
      <c r="BM269" s="16">
        <f>SUM(BN269:BX269)</f>
        <v>0</v>
      </c>
      <c r="BN269" s="16">
        <v>0</v>
      </c>
      <c r="BO269" s="16">
        <v>0</v>
      </c>
      <c r="BP269" s="16">
        <v>0</v>
      </c>
      <c r="BQ269" s="16">
        <v>0</v>
      </c>
      <c r="BR269" s="16">
        <v>0</v>
      </c>
      <c r="BS269" s="16">
        <v>0</v>
      </c>
      <c r="BT269" s="16">
        <v>0</v>
      </c>
      <c r="BU269" s="16">
        <v>0</v>
      </c>
      <c r="BV269" s="16">
        <v>0</v>
      </c>
      <c r="BW269" s="16">
        <v>0</v>
      </c>
      <c r="BX269" s="16">
        <v>0</v>
      </c>
      <c r="BY269" s="16">
        <f t="shared" si="311"/>
        <v>5636486</v>
      </c>
      <c r="BZ269" s="16">
        <f t="shared" si="312"/>
        <v>0</v>
      </c>
      <c r="CA269" s="16">
        <f>SUM(CB269:CC269)</f>
        <v>0</v>
      </c>
      <c r="CB269" s="16">
        <v>0</v>
      </c>
      <c r="CC269" s="16">
        <v>0</v>
      </c>
      <c r="CD269" s="16">
        <f>SUM(CE269:CI269)</f>
        <v>0</v>
      </c>
      <c r="CE269" s="16">
        <v>0</v>
      </c>
      <c r="CF269" s="16">
        <v>0</v>
      </c>
      <c r="CG269" s="16">
        <v>0</v>
      </c>
      <c r="CH269" s="16">
        <v>0</v>
      </c>
      <c r="CI269" s="16">
        <v>0</v>
      </c>
      <c r="CJ269" s="16">
        <v>0</v>
      </c>
      <c r="CK269" s="16">
        <f>SUM(CL269:CP269)</f>
        <v>0</v>
      </c>
      <c r="CL269" s="16">
        <v>0</v>
      </c>
      <c r="CM269" s="16">
        <v>0</v>
      </c>
      <c r="CN269" s="16">
        <v>0</v>
      </c>
      <c r="CO269" s="16">
        <v>0</v>
      </c>
      <c r="CP269" s="16">
        <v>0</v>
      </c>
      <c r="CQ269" s="16">
        <v>0</v>
      </c>
      <c r="CR269" s="16">
        <v>0</v>
      </c>
      <c r="CS269" s="16">
        <f>9289352-3652866</f>
        <v>5636486</v>
      </c>
      <c r="CT269" s="16">
        <f>SUM(CU269)</f>
        <v>0</v>
      </c>
      <c r="CU269" s="16">
        <f>SUM(CV269:CW269)</f>
        <v>0</v>
      </c>
      <c r="CV269" s="16">
        <v>0</v>
      </c>
      <c r="CW269" s="17">
        <v>0</v>
      </c>
      <c r="CX269" s="40"/>
    </row>
    <row r="270" spans="1:102" ht="15.75" hidden="1" x14ac:dyDescent="0.25">
      <c r="A270" s="13" t="s">
        <v>1</v>
      </c>
      <c r="B270" s="14" t="s">
        <v>1</v>
      </c>
      <c r="C270" s="14" t="s">
        <v>21</v>
      </c>
      <c r="D270" s="30" t="s">
        <v>292</v>
      </c>
      <c r="E270" s="15">
        <f t="shared" si="304"/>
        <v>14871466</v>
      </c>
      <c r="F270" s="16">
        <f t="shared" si="305"/>
        <v>0</v>
      </c>
      <c r="G270" s="16">
        <f t="shared" si="306"/>
        <v>0</v>
      </c>
      <c r="H270" s="16">
        <v>0</v>
      </c>
      <c r="I270" s="16">
        <v>0</v>
      </c>
      <c r="J270" s="16">
        <f>SUM(K270:P270)</f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f>SUM(R270:S270)</f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f t="shared" si="307"/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f>SUM(AF270:AZ270)</f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  <c r="AT270" s="16">
        <v>0</v>
      </c>
      <c r="AU270" s="16">
        <v>0</v>
      </c>
      <c r="AV270" s="16">
        <v>0</v>
      </c>
      <c r="AW270" s="16">
        <v>0</v>
      </c>
      <c r="AX270" s="16">
        <v>0</v>
      </c>
      <c r="AY270" s="16">
        <v>0</v>
      </c>
      <c r="AZ270" s="16">
        <v>0</v>
      </c>
      <c r="BA270" s="16">
        <f t="shared" si="309"/>
        <v>0</v>
      </c>
      <c r="BB270" s="16">
        <f t="shared" si="310"/>
        <v>0</v>
      </c>
      <c r="BC270" s="16">
        <v>0</v>
      </c>
      <c r="BD270" s="16">
        <v>0</v>
      </c>
      <c r="BE270" s="16">
        <v>0</v>
      </c>
      <c r="BF270" s="16">
        <f>SUM(BG270:BH270)</f>
        <v>0</v>
      </c>
      <c r="BG270" s="16">
        <v>0</v>
      </c>
      <c r="BH270" s="16">
        <v>0</v>
      </c>
      <c r="BI270" s="16">
        <v>0</v>
      </c>
      <c r="BJ270" s="16">
        <v>0</v>
      </c>
      <c r="BK270" s="16">
        <f>SUM(BL270)</f>
        <v>0</v>
      </c>
      <c r="BL270" s="16">
        <v>0</v>
      </c>
      <c r="BM270" s="16">
        <f>SUM(BN270:BX270)</f>
        <v>0</v>
      </c>
      <c r="BN270" s="16">
        <v>0</v>
      </c>
      <c r="BO270" s="16">
        <v>0</v>
      </c>
      <c r="BP270" s="16">
        <v>0</v>
      </c>
      <c r="BQ270" s="16">
        <v>0</v>
      </c>
      <c r="BR270" s="16">
        <v>0</v>
      </c>
      <c r="BS270" s="16">
        <v>0</v>
      </c>
      <c r="BT270" s="16">
        <v>0</v>
      </c>
      <c r="BU270" s="16">
        <v>0</v>
      </c>
      <c r="BV270" s="16">
        <v>0</v>
      </c>
      <c r="BW270" s="16">
        <v>0</v>
      </c>
      <c r="BX270" s="16">
        <v>0</v>
      </c>
      <c r="BY270" s="16">
        <f t="shared" si="311"/>
        <v>14871466</v>
      </c>
      <c r="BZ270" s="16">
        <f t="shared" si="312"/>
        <v>0</v>
      </c>
      <c r="CA270" s="16">
        <f>SUM(CB270:CC270)</f>
        <v>0</v>
      </c>
      <c r="CB270" s="16">
        <v>0</v>
      </c>
      <c r="CC270" s="16">
        <v>0</v>
      </c>
      <c r="CD270" s="16">
        <f>SUM(CE270:CI270)</f>
        <v>0</v>
      </c>
      <c r="CE270" s="16">
        <v>0</v>
      </c>
      <c r="CF270" s="16">
        <v>0</v>
      </c>
      <c r="CG270" s="16">
        <v>0</v>
      </c>
      <c r="CH270" s="16">
        <v>0</v>
      </c>
      <c r="CI270" s="16">
        <v>0</v>
      </c>
      <c r="CJ270" s="16">
        <v>0</v>
      </c>
      <c r="CK270" s="16">
        <f>SUM(CL270:CP270)</f>
        <v>0</v>
      </c>
      <c r="CL270" s="16">
        <v>0</v>
      </c>
      <c r="CM270" s="16">
        <v>0</v>
      </c>
      <c r="CN270" s="16">
        <v>0</v>
      </c>
      <c r="CO270" s="16">
        <v>0</v>
      </c>
      <c r="CP270" s="16">
        <v>0</v>
      </c>
      <c r="CQ270" s="16">
        <v>0</v>
      </c>
      <c r="CR270" s="16">
        <v>0</v>
      </c>
      <c r="CS270" s="16">
        <v>14871466</v>
      </c>
      <c r="CT270" s="16">
        <f>SUM(CU270)</f>
        <v>0</v>
      </c>
      <c r="CU270" s="16">
        <f>SUM(CV270:CW270)</f>
        <v>0</v>
      </c>
      <c r="CV270" s="16">
        <v>0</v>
      </c>
      <c r="CW270" s="17">
        <v>0</v>
      </c>
      <c r="CX270" s="40"/>
    </row>
    <row r="271" spans="1:102" ht="31.5" hidden="1" x14ac:dyDescent="0.25">
      <c r="A271" s="13" t="s">
        <v>1</v>
      </c>
      <c r="B271" s="14" t="s">
        <v>1</v>
      </c>
      <c r="C271" s="14" t="s">
        <v>21</v>
      </c>
      <c r="D271" s="30" t="s">
        <v>291</v>
      </c>
      <c r="E271" s="15">
        <f t="shared" si="304"/>
        <v>4968407</v>
      </c>
      <c r="F271" s="16">
        <f t="shared" si="305"/>
        <v>0</v>
      </c>
      <c r="G271" s="16">
        <f t="shared" si="306"/>
        <v>0</v>
      </c>
      <c r="H271" s="16">
        <v>0</v>
      </c>
      <c r="I271" s="16">
        <v>0</v>
      </c>
      <c r="J271" s="16">
        <f>SUM(K271:P271)</f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f>SUM(R271:S271)</f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f t="shared" si="307"/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f>SUM(AF271:AZ271)</f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0</v>
      </c>
      <c r="AT271" s="16">
        <v>0</v>
      </c>
      <c r="AU271" s="16">
        <v>0</v>
      </c>
      <c r="AV271" s="16">
        <v>0</v>
      </c>
      <c r="AW271" s="16">
        <v>0</v>
      </c>
      <c r="AX271" s="16">
        <v>0</v>
      </c>
      <c r="AY271" s="16">
        <v>0</v>
      </c>
      <c r="AZ271" s="16">
        <v>0</v>
      </c>
      <c r="BA271" s="16">
        <f t="shared" si="309"/>
        <v>0</v>
      </c>
      <c r="BB271" s="16">
        <f t="shared" si="310"/>
        <v>0</v>
      </c>
      <c r="BC271" s="16">
        <v>0</v>
      </c>
      <c r="BD271" s="16">
        <v>0</v>
      </c>
      <c r="BE271" s="16">
        <v>0</v>
      </c>
      <c r="BF271" s="16">
        <f>SUM(BG271:BH271)</f>
        <v>0</v>
      </c>
      <c r="BG271" s="16">
        <v>0</v>
      </c>
      <c r="BH271" s="16">
        <v>0</v>
      </c>
      <c r="BI271" s="16">
        <v>0</v>
      </c>
      <c r="BJ271" s="16">
        <v>0</v>
      </c>
      <c r="BK271" s="16">
        <f>SUM(BL271)</f>
        <v>0</v>
      </c>
      <c r="BL271" s="16">
        <v>0</v>
      </c>
      <c r="BM271" s="16">
        <f>SUM(BN271:BX271)</f>
        <v>0</v>
      </c>
      <c r="BN271" s="16">
        <v>0</v>
      </c>
      <c r="BO271" s="16">
        <v>0</v>
      </c>
      <c r="BP271" s="16">
        <v>0</v>
      </c>
      <c r="BQ271" s="16">
        <v>0</v>
      </c>
      <c r="BR271" s="16">
        <v>0</v>
      </c>
      <c r="BS271" s="16">
        <v>0</v>
      </c>
      <c r="BT271" s="16">
        <v>0</v>
      </c>
      <c r="BU271" s="16">
        <v>0</v>
      </c>
      <c r="BV271" s="16">
        <v>0</v>
      </c>
      <c r="BW271" s="16">
        <v>0</v>
      </c>
      <c r="BX271" s="16">
        <v>0</v>
      </c>
      <c r="BY271" s="16">
        <f t="shared" si="311"/>
        <v>4968407</v>
      </c>
      <c r="BZ271" s="16">
        <f t="shared" si="312"/>
        <v>0</v>
      </c>
      <c r="CA271" s="16">
        <f>SUM(CB271:CC271)</f>
        <v>0</v>
      </c>
      <c r="CB271" s="16">
        <v>0</v>
      </c>
      <c r="CC271" s="16">
        <v>0</v>
      </c>
      <c r="CD271" s="16">
        <f>SUM(CE271:CI271)</f>
        <v>0</v>
      </c>
      <c r="CE271" s="16">
        <v>0</v>
      </c>
      <c r="CF271" s="16">
        <v>0</v>
      </c>
      <c r="CG271" s="16">
        <v>0</v>
      </c>
      <c r="CH271" s="16">
        <v>0</v>
      </c>
      <c r="CI271" s="16">
        <v>0</v>
      </c>
      <c r="CJ271" s="16">
        <v>0</v>
      </c>
      <c r="CK271" s="16">
        <f>SUM(CL271:CP271)</f>
        <v>0</v>
      </c>
      <c r="CL271" s="16">
        <v>0</v>
      </c>
      <c r="CM271" s="16">
        <v>0</v>
      </c>
      <c r="CN271" s="16">
        <v>0</v>
      </c>
      <c r="CO271" s="16">
        <v>0</v>
      </c>
      <c r="CP271" s="16">
        <v>0</v>
      </c>
      <c r="CQ271" s="16">
        <v>0</v>
      </c>
      <c r="CR271" s="16">
        <v>0</v>
      </c>
      <c r="CS271" s="16">
        <v>4968407</v>
      </c>
      <c r="CT271" s="16">
        <f>SUM(CU271)</f>
        <v>0</v>
      </c>
      <c r="CU271" s="16">
        <f>SUM(CV271:CW271)</f>
        <v>0</v>
      </c>
      <c r="CV271" s="16">
        <v>0</v>
      </c>
      <c r="CW271" s="17">
        <v>0</v>
      </c>
      <c r="CX271" s="40"/>
    </row>
    <row r="272" spans="1:102" ht="15.75" hidden="1" x14ac:dyDescent="0.25">
      <c r="A272" s="13" t="s">
        <v>1</v>
      </c>
      <c r="B272" s="14" t="s">
        <v>1</v>
      </c>
      <c r="C272" s="14" t="s">
        <v>21</v>
      </c>
      <c r="D272" s="30" t="s">
        <v>290</v>
      </c>
      <c r="E272" s="15">
        <f t="shared" si="304"/>
        <v>8619813</v>
      </c>
      <c r="F272" s="16">
        <f t="shared" si="305"/>
        <v>0</v>
      </c>
      <c r="G272" s="16">
        <f t="shared" si="306"/>
        <v>0</v>
      </c>
      <c r="H272" s="16">
        <v>0</v>
      </c>
      <c r="I272" s="16">
        <v>0</v>
      </c>
      <c r="J272" s="16">
        <f t="shared" si="256"/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f t="shared" si="257"/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f t="shared" si="307"/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f t="shared" si="308"/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  <c r="AT272" s="16">
        <v>0</v>
      </c>
      <c r="AU272" s="16">
        <v>0</v>
      </c>
      <c r="AV272" s="16">
        <v>0</v>
      </c>
      <c r="AW272" s="16">
        <v>0</v>
      </c>
      <c r="AX272" s="16">
        <v>0</v>
      </c>
      <c r="AY272" s="16">
        <v>0</v>
      </c>
      <c r="AZ272" s="16">
        <v>0</v>
      </c>
      <c r="BA272" s="16">
        <f t="shared" si="309"/>
        <v>0</v>
      </c>
      <c r="BB272" s="16">
        <f t="shared" si="310"/>
        <v>0</v>
      </c>
      <c r="BC272" s="16">
        <v>0</v>
      </c>
      <c r="BD272" s="16">
        <v>0</v>
      </c>
      <c r="BE272" s="16">
        <v>0</v>
      </c>
      <c r="BF272" s="16">
        <f t="shared" si="258"/>
        <v>0</v>
      </c>
      <c r="BG272" s="16">
        <v>0</v>
      </c>
      <c r="BH272" s="16">
        <v>0</v>
      </c>
      <c r="BI272" s="16">
        <v>0</v>
      </c>
      <c r="BJ272" s="16">
        <v>0</v>
      </c>
      <c r="BK272" s="16">
        <f t="shared" si="259"/>
        <v>0</v>
      </c>
      <c r="BL272" s="16">
        <v>0</v>
      </c>
      <c r="BM272" s="16">
        <f t="shared" si="260"/>
        <v>0</v>
      </c>
      <c r="BN272" s="16">
        <v>0</v>
      </c>
      <c r="BO272" s="16">
        <v>0</v>
      </c>
      <c r="BP272" s="16">
        <v>0</v>
      </c>
      <c r="BQ272" s="16">
        <v>0</v>
      </c>
      <c r="BR272" s="16">
        <v>0</v>
      </c>
      <c r="BS272" s="16">
        <v>0</v>
      </c>
      <c r="BT272" s="16">
        <v>0</v>
      </c>
      <c r="BU272" s="16">
        <v>0</v>
      </c>
      <c r="BV272" s="16">
        <v>0</v>
      </c>
      <c r="BW272" s="16">
        <v>0</v>
      </c>
      <c r="BX272" s="16">
        <v>0</v>
      </c>
      <c r="BY272" s="16">
        <f t="shared" si="311"/>
        <v>8619813</v>
      </c>
      <c r="BZ272" s="16">
        <f t="shared" si="312"/>
        <v>0</v>
      </c>
      <c r="CA272" s="16">
        <f t="shared" si="261"/>
        <v>0</v>
      </c>
      <c r="CB272" s="16">
        <v>0</v>
      </c>
      <c r="CC272" s="16">
        <v>0</v>
      </c>
      <c r="CD272" s="16">
        <f t="shared" si="262"/>
        <v>0</v>
      </c>
      <c r="CE272" s="16">
        <v>0</v>
      </c>
      <c r="CF272" s="16">
        <v>0</v>
      </c>
      <c r="CG272" s="16">
        <v>0</v>
      </c>
      <c r="CH272" s="16">
        <v>0</v>
      </c>
      <c r="CI272" s="16">
        <v>0</v>
      </c>
      <c r="CJ272" s="16">
        <v>0</v>
      </c>
      <c r="CK272" s="16">
        <f t="shared" si="263"/>
        <v>0</v>
      </c>
      <c r="CL272" s="16">
        <v>0</v>
      </c>
      <c r="CM272" s="16">
        <v>0</v>
      </c>
      <c r="CN272" s="16">
        <v>0</v>
      </c>
      <c r="CO272" s="16">
        <v>0</v>
      </c>
      <c r="CP272" s="16">
        <v>0</v>
      </c>
      <c r="CQ272" s="16">
        <v>0</v>
      </c>
      <c r="CR272" s="16">
        <v>0</v>
      </c>
      <c r="CS272" s="16">
        <f>12619813-4000000</f>
        <v>8619813</v>
      </c>
      <c r="CT272" s="16">
        <f t="shared" si="264"/>
        <v>0</v>
      </c>
      <c r="CU272" s="16">
        <f t="shared" si="265"/>
        <v>0</v>
      </c>
      <c r="CV272" s="16">
        <v>0</v>
      </c>
      <c r="CW272" s="17">
        <v>0</v>
      </c>
      <c r="CX272" s="40"/>
    </row>
    <row r="273" spans="1:102" ht="15.75" hidden="1" x14ac:dyDescent="0.25">
      <c r="A273" s="13" t="s">
        <v>1</v>
      </c>
      <c r="B273" s="14" t="s">
        <v>1</v>
      </c>
      <c r="C273" s="14" t="s">
        <v>23</v>
      </c>
      <c r="D273" s="30" t="s">
        <v>294</v>
      </c>
      <c r="E273" s="15">
        <f t="shared" si="304"/>
        <v>344000</v>
      </c>
      <c r="F273" s="16">
        <f t="shared" si="305"/>
        <v>0</v>
      </c>
      <c r="G273" s="16">
        <f t="shared" si="306"/>
        <v>0</v>
      </c>
      <c r="H273" s="16">
        <v>0</v>
      </c>
      <c r="I273" s="16">
        <v>0</v>
      </c>
      <c r="J273" s="16">
        <f t="shared" si="256"/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f t="shared" si="257"/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f t="shared" si="307"/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f t="shared" si="308"/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16">
        <v>0</v>
      </c>
      <c r="AS273" s="16">
        <v>0</v>
      </c>
      <c r="AT273" s="16">
        <v>0</v>
      </c>
      <c r="AU273" s="16">
        <v>0</v>
      </c>
      <c r="AV273" s="16">
        <v>0</v>
      </c>
      <c r="AW273" s="16">
        <v>0</v>
      </c>
      <c r="AX273" s="16">
        <v>0</v>
      </c>
      <c r="AY273" s="16">
        <v>0</v>
      </c>
      <c r="AZ273" s="16">
        <v>0</v>
      </c>
      <c r="BA273" s="16">
        <f t="shared" si="309"/>
        <v>0</v>
      </c>
      <c r="BB273" s="16">
        <f t="shared" si="310"/>
        <v>0</v>
      </c>
      <c r="BC273" s="16">
        <v>0</v>
      </c>
      <c r="BD273" s="16">
        <v>0</v>
      </c>
      <c r="BE273" s="16">
        <v>0</v>
      </c>
      <c r="BF273" s="16">
        <f t="shared" si="258"/>
        <v>0</v>
      </c>
      <c r="BG273" s="16">
        <v>0</v>
      </c>
      <c r="BH273" s="16">
        <v>0</v>
      </c>
      <c r="BI273" s="16">
        <v>0</v>
      </c>
      <c r="BJ273" s="16">
        <v>0</v>
      </c>
      <c r="BK273" s="16">
        <f t="shared" si="259"/>
        <v>0</v>
      </c>
      <c r="BL273" s="16">
        <v>0</v>
      </c>
      <c r="BM273" s="16">
        <f t="shared" si="260"/>
        <v>0</v>
      </c>
      <c r="BN273" s="16">
        <v>0</v>
      </c>
      <c r="BO273" s="16">
        <v>0</v>
      </c>
      <c r="BP273" s="16">
        <v>0</v>
      </c>
      <c r="BQ273" s="16">
        <v>0</v>
      </c>
      <c r="BR273" s="16">
        <v>0</v>
      </c>
      <c r="BS273" s="16">
        <v>0</v>
      </c>
      <c r="BT273" s="16">
        <v>0</v>
      </c>
      <c r="BU273" s="16">
        <v>0</v>
      </c>
      <c r="BV273" s="16">
        <v>0</v>
      </c>
      <c r="BW273" s="16">
        <v>0</v>
      </c>
      <c r="BX273" s="16">
        <v>0</v>
      </c>
      <c r="BY273" s="16">
        <f t="shared" si="311"/>
        <v>344000</v>
      </c>
      <c r="BZ273" s="16">
        <f t="shared" si="312"/>
        <v>0</v>
      </c>
      <c r="CA273" s="16">
        <f t="shared" si="261"/>
        <v>0</v>
      </c>
      <c r="CB273" s="16">
        <v>0</v>
      </c>
      <c r="CC273" s="16">
        <v>0</v>
      </c>
      <c r="CD273" s="16">
        <f t="shared" si="262"/>
        <v>0</v>
      </c>
      <c r="CE273" s="16">
        <v>0</v>
      </c>
      <c r="CF273" s="16">
        <v>0</v>
      </c>
      <c r="CG273" s="16">
        <v>0</v>
      </c>
      <c r="CH273" s="16">
        <v>0</v>
      </c>
      <c r="CI273" s="16">
        <v>0</v>
      </c>
      <c r="CJ273" s="16">
        <v>0</v>
      </c>
      <c r="CK273" s="16">
        <f t="shared" si="263"/>
        <v>0</v>
      </c>
      <c r="CL273" s="16">
        <v>0</v>
      </c>
      <c r="CM273" s="16">
        <v>0</v>
      </c>
      <c r="CN273" s="16">
        <v>0</v>
      </c>
      <c r="CO273" s="16">
        <v>0</v>
      </c>
      <c r="CP273" s="16">
        <v>0</v>
      </c>
      <c r="CQ273" s="16">
        <v>0</v>
      </c>
      <c r="CR273" s="16">
        <v>0</v>
      </c>
      <c r="CS273" s="16">
        <f>594000-250000</f>
        <v>344000</v>
      </c>
      <c r="CT273" s="16">
        <f t="shared" si="264"/>
        <v>0</v>
      </c>
      <c r="CU273" s="16">
        <f t="shared" si="265"/>
        <v>0</v>
      </c>
      <c r="CV273" s="16">
        <v>0</v>
      </c>
      <c r="CW273" s="17">
        <v>0</v>
      </c>
      <c r="CX273" s="40"/>
    </row>
    <row r="274" spans="1:102" ht="15.75" hidden="1" x14ac:dyDescent="0.25">
      <c r="A274" s="13" t="s">
        <v>1</v>
      </c>
      <c r="B274" s="14" t="s">
        <v>1</v>
      </c>
      <c r="C274" s="14" t="s">
        <v>29</v>
      </c>
      <c r="D274" s="30" t="s">
        <v>295</v>
      </c>
      <c r="E274" s="15">
        <f t="shared" si="304"/>
        <v>17500000</v>
      </c>
      <c r="F274" s="16">
        <f t="shared" si="305"/>
        <v>0</v>
      </c>
      <c r="G274" s="16">
        <f t="shared" si="306"/>
        <v>0</v>
      </c>
      <c r="H274" s="16">
        <v>0</v>
      </c>
      <c r="I274" s="16">
        <v>0</v>
      </c>
      <c r="J274" s="16">
        <f>SUM(K274:P274)</f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f>SUM(R274:S274)</f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f t="shared" si="307"/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f>SUM(AF274:AZ274)</f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16">
        <v>0</v>
      </c>
      <c r="AU274" s="16">
        <v>0</v>
      </c>
      <c r="AV274" s="16">
        <v>0</v>
      </c>
      <c r="AW274" s="16">
        <v>0</v>
      </c>
      <c r="AX274" s="16">
        <v>0</v>
      </c>
      <c r="AY274" s="16">
        <v>0</v>
      </c>
      <c r="AZ274" s="16">
        <v>0</v>
      </c>
      <c r="BA274" s="16">
        <f t="shared" si="309"/>
        <v>0</v>
      </c>
      <c r="BB274" s="16">
        <f t="shared" si="310"/>
        <v>0</v>
      </c>
      <c r="BC274" s="16">
        <v>0</v>
      </c>
      <c r="BD274" s="16">
        <v>0</v>
      </c>
      <c r="BE274" s="16">
        <v>0</v>
      </c>
      <c r="BF274" s="16">
        <f>SUM(BG274:BH274)</f>
        <v>0</v>
      </c>
      <c r="BG274" s="16">
        <v>0</v>
      </c>
      <c r="BH274" s="16">
        <v>0</v>
      </c>
      <c r="BI274" s="16">
        <v>0</v>
      </c>
      <c r="BJ274" s="16">
        <v>0</v>
      </c>
      <c r="BK274" s="16">
        <f>SUM(BL274)</f>
        <v>0</v>
      </c>
      <c r="BL274" s="16">
        <v>0</v>
      </c>
      <c r="BM274" s="16">
        <f>SUM(BN274:BX274)</f>
        <v>0</v>
      </c>
      <c r="BN274" s="16">
        <v>0</v>
      </c>
      <c r="BO274" s="16">
        <v>0</v>
      </c>
      <c r="BP274" s="16">
        <v>0</v>
      </c>
      <c r="BQ274" s="16">
        <v>0</v>
      </c>
      <c r="BR274" s="16">
        <v>0</v>
      </c>
      <c r="BS274" s="16">
        <v>0</v>
      </c>
      <c r="BT274" s="16">
        <v>0</v>
      </c>
      <c r="BU274" s="16">
        <v>0</v>
      </c>
      <c r="BV274" s="16">
        <v>0</v>
      </c>
      <c r="BW274" s="16">
        <v>0</v>
      </c>
      <c r="BX274" s="16">
        <v>0</v>
      </c>
      <c r="BY274" s="16">
        <f t="shared" si="311"/>
        <v>17500000</v>
      </c>
      <c r="BZ274" s="16">
        <f t="shared" si="312"/>
        <v>0</v>
      </c>
      <c r="CA274" s="16">
        <f>SUM(CB274:CC274)</f>
        <v>0</v>
      </c>
      <c r="CB274" s="16">
        <v>0</v>
      </c>
      <c r="CC274" s="16">
        <v>0</v>
      </c>
      <c r="CD274" s="16">
        <f>SUM(CE274:CI274)</f>
        <v>0</v>
      </c>
      <c r="CE274" s="16">
        <v>0</v>
      </c>
      <c r="CF274" s="16">
        <v>0</v>
      </c>
      <c r="CG274" s="16">
        <v>0</v>
      </c>
      <c r="CH274" s="16">
        <v>0</v>
      </c>
      <c r="CI274" s="16">
        <v>0</v>
      </c>
      <c r="CJ274" s="16">
        <v>0</v>
      </c>
      <c r="CK274" s="16">
        <f>SUM(CL274:CP274)</f>
        <v>0</v>
      </c>
      <c r="CL274" s="16">
        <v>0</v>
      </c>
      <c r="CM274" s="16">
        <v>0</v>
      </c>
      <c r="CN274" s="16">
        <v>0</v>
      </c>
      <c r="CO274" s="16">
        <v>0</v>
      </c>
      <c r="CP274" s="16">
        <v>0</v>
      </c>
      <c r="CQ274" s="16">
        <v>0</v>
      </c>
      <c r="CR274" s="16">
        <v>0</v>
      </c>
      <c r="CS274" s="16">
        <f>1500000+16000000-16000000+16000000</f>
        <v>17500000</v>
      </c>
      <c r="CT274" s="16">
        <f>SUM(CU274)</f>
        <v>0</v>
      </c>
      <c r="CU274" s="16">
        <f>SUM(CV274:CW274)</f>
        <v>0</v>
      </c>
      <c r="CV274" s="16">
        <v>0</v>
      </c>
      <c r="CW274" s="17">
        <v>0</v>
      </c>
      <c r="CX274" s="40"/>
    </row>
    <row r="275" spans="1:102" ht="31.5" hidden="1" x14ac:dyDescent="0.25">
      <c r="A275" s="13" t="s">
        <v>1</v>
      </c>
      <c r="B275" s="14" t="s">
        <v>1</v>
      </c>
      <c r="C275" s="14" t="s">
        <v>29</v>
      </c>
      <c r="D275" s="30" t="s">
        <v>512</v>
      </c>
      <c r="E275" s="15">
        <f t="shared" si="304"/>
        <v>0</v>
      </c>
      <c r="F275" s="16">
        <f t="shared" si="305"/>
        <v>0</v>
      </c>
      <c r="G275" s="16">
        <f t="shared" si="306"/>
        <v>0</v>
      </c>
      <c r="H275" s="16">
        <v>0</v>
      </c>
      <c r="I275" s="16">
        <v>0</v>
      </c>
      <c r="J275" s="16">
        <f t="shared" si="256"/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f t="shared" si="257"/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f t="shared" si="307"/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f t="shared" si="308"/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  <c r="AT275" s="16">
        <v>0</v>
      </c>
      <c r="AU275" s="16">
        <v>0</v>
      </c>
      <c r="AV275" s="16">
        <v>0</v>
      </c>
      <c r="AW275" s="16">
        <v>0</v>
      </c>
      <c r="AX275" s="16">
        <v>0</v>
      </c>
      <c r="AY275" s="16">
        <v>0</v>
      </c>
      <c r="AZ275" s="16">
        <v>0</v>
      </c>
      <c r="BA275" s="16">
        <f t="shared" si="309"/>
        <v>0</v>
      </c>
      <c r="BB275" s="16">
        <f t="shared" si="310"/>
        <v>0</v>
      </c>
      <c r="BC275" s="16">
        <v>0</v>
      </c>
      <c r="BD275" s="16">
        <v>0</v>
      </c>
      <c r="BE275" s="16">
        <v>0</v>
      </c>
      <c r="BF275" s="16">
        <f t="shared" si="258"/>
        <v>0</v>
      </c>
      <c r="BG275" s="16">
        <v>0</v>
      </c>
      <c r="BH275" s="16">
        <v>0</v>
      </c>
      <c r="BI275" s="16">
        <v>0</v>
      </c>
      <c r="BJ275" s="16">
        <v>0</v>
      </c>
      <c r="BK275" s="16">
        <f t="shared" si="259"/>
        <v>0</v>
      </c>
      <c r="BL275" s="16">
        <v>0</v>
      </c>
      <c r="BM275" s="16">
        <f t="shared" si="260"/>
        <v>0</v>
      </c>
      <c r="BN275" s="16">
        <v>0</v>
      </c>
      <c r="BO275" s="16">
        <v>0</v>
      </c>
      <c r="BP275" s="16">
        <v>0</v>
      </c>
      <c r="BQ275" s="16">
        <v>0</v>
      </c>
      <c r="BR275" s="16">
        <v>0</v>
      </c>
      <c r="BS275" s="16">
        <v>0</v>
      </c>
      <c r="BT275" s="16">
        <v>0</v>
      </c>
      <c r="BU275" s="16">
        <v>0</v>
      </c>
      <c r="BV275" s="16">
        <v>0</v>
      </c>
      <c r="BW275" s="16">
        <v>0</v>
      </c>
      <c r="BX275" s="16">
        <v>0</v>
      </c>
      <c r="BY275" s="16">
        <f t="shared" si="311"/>
        <v>0</v>
      </c>
      <c r="BZ275" s="16">
        <f t="shared" si="312"/>
        <v>0</v>
      </c>
      <c r="CA275" s="16">
        <f t="shared" si="261"/>
        <v>0</v>
      </c>
      <c r="CB275" s="16">
        <v>0</v>
      </c>
      <c r="CC275" s="16">
        <v>0</v>
      </c>
      <c r="CD275" s="16">
        <f t="shared" si="262"/>
        <v>0</v>
      </c>
      <c r="CE275" s="16">
        <v>0</v>
      </c>
      <c r="CF275" s="16">
        <v>0</v>
      </c>
      <c r="CG275" s="16">
        <v>0</v>
      </c>
      <c r="CH275" s="16">
        <v>0</v>
      </c>
      <c r="CI275" s="16">
        <v>0</v>
      </c>
      <c r="CJ275" s="16">
        <v>0</v>
      </c>
      <c r="CK275" s="16">
        <f t="shared" si="263"/>
        <v>0</v>
      </c>
      <c r="CL275" s="16">
        <v>0</v>
      </c>
      <c r="CM275" s="16">
        <v>0</v>
      </c>
      <c r="CN275" s="16">
        <v>0</v>
      </c>
      <c r="CO275" s="16">
        <v>0</v>
      </c>
      <c r="CP275" s="16">
        <v>0</v>
      </c>
      <c r="CQ275" s="16">
        <v>0</v>
      </c>
      <c r="CR275" s="16">
        <v>0</v>
      </c>
      <c r="CS275" s="16">
        <f>2124363-2124363</f>
        <v>0</v>
      </c>
      <c r="CT275" s="16">
        <f t="shared" si="264"/>
        <v>0</v>
      </c>
      <c r="CU275" s="16">
        <f t="shared" si="265"/>
        <v>0</v>
      </c>
      <c r="CV275" s="16">
        <v>0</v>
      </c>
      <c r="CW275" s="17">
        <v>0</v>
      </c>
      <c r="CX275" s="40"/>
    </row>
    <row r="276" spans="1:102" ht="31.5" hidden="1" x14ac:dyDescent="0.25">
      <c r="A276" s="13" t="s">
        <v>1</v>
      </c>
      <c r="B276" s="14" t="s">
        <v>1</v>
      </c>
      <c r="C276" s="14" t="s">
        <v>122</v>
      </c>
      <c r="D276" s="30" t="s">
        <v>513</v>
      </c>
      <c r="E276" s="15">
        <f t="shared" si="304"/>
        <v>912435</v>
      </c>
      <c r="F276" s="16">
        <f t="shared" si="305"/>
        <v>0</v>
      </c>
      <c r="G276" s="16">
        <f t="shared" si="306"/>
        <v>0</v>
      </c>
      <c r="H276" s="16">
        <v>0</v>
      </c>
      <c r="I276" s="16">
        <v>0</v>
      </c>
      <c r="J276" s="16">
        <f t="shared" si="256"/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f t="shared" si="257"/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f t="shared" si="307"/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f t="shared" si="308"/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16">
        <v>0</v>
      </c>
      <c r="AS276" s="16">
        <v>0</v>
      </c>
      <c r="AT276" s="16">
        <v>0</v>
      </c>
      <c r="AU276" s="16">
        <v>0</v>
      </c>
      <c r="AV276" s="16">
        <v>0</v>
      </c>
      <c r="AW276" s="16">
        <v>0</v>
      </c>
      <c r="AX276" s="16">
        <v>0</v>
      </c>
      <c r="AY276" s="16">
        <v>0</v>
      </c>
      <c r="AZ276" s="16">
        <v>0</v>
      </c>
      <c r="BA276" s="16">
        <f t="shared" si="309"/>
        <v>0</v>
      </c>
      <c r="BB276" s="16">
        <f t="shared" si="310"/>
        <v>0</v>
      </c>
      <c r="BC276" s="16">
        <v>0</v>
      </c>
      <c r="BD276" s="16">
        <v>0</v>
      </c>
      <c r="BE276" s="16">
        <v>0</v>
      </c>
      <c r="BF276" s="16">
        <f t="shared" si="258"/>
        <v>0</v>
      </c>
      <c r="BG276" s="16">
        <v>0</v>
      </c>
      <c r="BH276" s="16">
        <v>0</v>
      </c>
      <c r="BI276" s="16">
        <v>0</v>
      </c>
      <c r="BJ276" s="16">
        <v>0</v>
      </c>
      <c r="BK276" s="16">
        <f t="shared" si="259"/>
        <v>0</v>
      </c>
      <c r="BL276" s="16">
        <v>0</v>
      </c>
      <c r="BM276" s="16">
        <f t="shared" si="260"/>
        <v>0</v>
      </c>
      <c r="BN276" s="16">
        <v>0</v>
      </c>
      <c r="BO276" s="16">
        <v>0</v>
      </c>
      <c r="BP276" s="16">
        <v>0</v>
      </c>
      <c r="BQ276" s="16">
        <v>0</v>
      </c>
      <c r="BR276" s="16">
        <v>0</v>
      </c>
      <c r="BS276" s="16">
        <v>0</v>
      </c>
      <c r="BT276" s="16">
        <v>0</v>
      </c>
      <c r="BU276" s="16">
        <v>0</v>
      </c>
      <c r="BV276" s="16">
        <v>0</v>
      </c>
      <c r="BW276" s="16">
        <v>0</v>
      </c>
      <c r="BX276" s="16">
        <v>0</v>
      </c>
      <c r="BY276" s="16">
        <f t="shared" si="311"/>
        <v>912435</v>
      </c>
      <c r="BZ276" s="16">
        <f t="shared" si="312"/>
        <v>0</v>
      </c>
      <c r="CA276" s="16">
        <f t="shared" si="261"/>
        <v>0</v>
      </c>
      <c r="CB276" s="16">
        <v>0</v>
      </c>
      <c r="CC276" s="16">
        <v>0</v>
      </c>
      <c r="CD276" s="16">
        <f t="shared" si="262"/>
        <v>0</v>
      </c>
      <c r="CE276" s="16">
        <v>0</v>
      </c>
      <c r="CF276" s="16">
        <v>0</v>
      </c>
      <c r="CG276" s="16">
        <v>0</v>
      </c>
      <c r="CH276" s="16">
        <v>0</v>
      </c>
      <c r="CI276" s="16">
        <v>0</v>
      </c>
      <c r="CJ276" s="16">
        <v>0</v>
      </c>
      <c r="CK276" s="16">
        <f t="shared" si="263"/>
        <v>0</v>
      </c>
      <c r="CL276" s="16">
        <v>0</v>
      </c>
      <c r="CM276" s="16">
        <v>0</v>
      </c>
      <c r="CN276" s="16">
        <v>0</v>
      </c>
      <c r="CO276" s="16">
        <v>0</v>
      </c>
      <c r="CP276" s="16">
        <v>0</v>
      </c>
      <c r="CQ276" s="16">
        <v>0</v>
      </c>
      <c r="CR276" s="16">
        <v>0</v>
      </c>
      <c r="CS276" s="16">
        <f>4662435-3750000</f>
        <v>912435</v>
      </c>
      <c r="CT276" s="16">
        <f t="shared" si="264"/>
        <v>0</v>
      </c>
      <c r="CU276" s="16">
        <f t="shared" si="265"/>
        <v>0</v>
      </c>
      <c r="CV276" s="16">
        <v>0</v>
      </c>
      <c r="CW276" s="17">
        <v>0</v>
      </c>
      <c r="CX276" s="40"/>
    </row>
    <row r="277" spans="1:102" ht="31.5" hidden="1" x14ac:dyDescent="0.25">
      <c r="A277" s="13" t="s">
        <v>1</v>
      </c>
      <c r="B277" s="14" t="s">
        <v>1</v>
      </c>
      <c r="C277" s="14" t="s">
        <v>287</v>
      </c>
      <c r="D277" s="30" t="s">
        <v>514</v>
      </c>
      <c r="E277" s="15">
        <f t="shared" si="304"/>
        <v>1309887</v>
      </c>
      <c r="F277" s="16">
        <f t="shared" si="305"/>
        <v>0</v>
      </c>
      <c r="G277" s="16">
        <f t="shared" si="306"/>
        <v>0</v>
      </c>
      <c r="H277" s="16">
        <v>0</v>
      </c>
      <c r="I277" s="16">
        <v>0</v>
      </c>
      <c r="J277" s="16">
        <f t="shared" si="256"/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f t="shared" si="257"/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f t="shared" si="307"/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f t="shared" si="308"/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  <c r="AT277" s="16">
        <v>0</v>
      </c>
      <c r="AU277" s="16">
        <v>0</v>
      </c>
      <c r="AV277" s="16">
        <v>0</v>
      </c>
      <c r="AW277" s="16">
        <v>0</v>
      </c>
      <c r="AX277" s="16">
        <v>0</v>
      </c>
      <c r="AY277" s="16">
        <v>0</v>
      </c>
      <c r="AZ277" s="16">
        <v>0</v>
      </c>
      <c r="BA277" s="16">
        <f t="shared" si="309"/>
        <v>0</v>
      </c>
      <c r="BB277" s="16">
        <f t="shared" si="310"/>
        <v>0</v>
      </c>
      <c r="BC277" s="16">
        <v>0</v>
      </c>
      <c r="BD277" s="16">
        <v>0</v>
      </c>
      <c r="BE277" s="16">
        <v>0</v>
      </c>
      <c r="BF277" s="16">
        <f t="shared" si="258"/>
        <v>0</v>
      </c>
      <c r="BG277" s="16">
        <v>0</v>
      </c>
      <c r="BH277" s="16">
        <v>0</v>
      </c>
      <c r="BI277" s="16">
        <v>0</v>
      </c>
      <c r="BJ277" s="16">
        <v>0</v>
      </c>
      <c r="BK277" s="16">
        <f t="shared" si="259"/>
        <v>0</v>
      </c>
      <c r="BL277" s="16">
        <v>0</v>
      </c>
      <c r="BM277" s="16">
        <f t="shared" si="260"/>
        <v>0</v>
      </c>
      <c r="BN277" s="16">
        <v>0</v>
      </c>
      <c r="BO277" s="16">
        <v>0</v>
      </c>
      <c r="BP277" s="16">
        <v>0</v>
      </c>
      <c r="BQ277" s="16">
        <v>0</v>
      </c>
      <c r="BR277" s="16">
        <v>0</v>
      </c>
      <c r="BS277" s="16">
        <v>0</v>
      </c>
      <c r="BT277" s="16">
        <v>0</v>
      </c>
      <c r="BU277" s="16">
        <v>0</v>
      </c>
      <c r="BV277" s="16">
        <v>0</v>
      </c>
      <c r="BW277" s="16">
        <v>0</v>
      </c>
      <c r="BX277" s="16">
        <v>0</v>
      </c>
      <c r="BY277" s="16">
        <f t="shared" si="311"/>
        <v>1309887</v>
      </c>
      <c r="BZ277" s="16">
        <f t="shared" si="312"/>
        <v>0</v>
      </c>
      <c r="CA277" s="16">
        <f t="shared" si="261"/>
        <v>0</v>
      </c>
      <c r="CB277" s="16">
        <v>0</v>
      </c>
      <c r="CC277" s="16">
        <v>0</v>
      </c>
      <c r="CD277" s="16">
        <f t="shared" si="262"/>
        <v>0</v>
      </c>
      <c r="CE277" s="16">
        <v>0</v>
      </c>
      <c r="CF277" s="16">
        <v>0</v>
      </c>
      <c r="CG277" s="16">
        <v>0</v>
      </c>
      <c r="CH277" s="16">
        <v>0</v>
      </c>
      <c r="CI277" s="16">
        <v>0</v>
      </c>
      <c r="CJ277" s="16">
        <v>0</v>
      </c>
      <c r="CK277" s="16">
        <f t="shared" si="263"/>
        <v>0</v>
      </c>
      <c r="CL277" s="16">
        <v>0</v>
      </c>
      <c r="CM277" s="16">
        <v>0</v>
      </c>
      <c r="CN277" s="16">
        <v>0</v>
      </c>
      <c r="CO277" s="16">
        <v>0</v>
      </c>
      <c r="CP277" s="16">
        <v>0</v>
      </c>
      <c r="CQ277" s="16">
        <v>0</v>
      </c>
      <c r="CR277" s="16">
        <v>0</v>
      </c>
      <c r="CS277" s="16">
        <v>1309887</v>
      </c>
      <c r="CT277" s="16">
        <f t="shared" si="264"/>
        <v>0</v>
      </c>
      <c r="CU277" s="16">
        <f t="shared" si="265"/>
        <v>0</v>
      </c>
      <c r="CV277" s="16">
        <v>0</v>
      </c>
      <c r="CW277" s="17">
        <v>0</v>
      </c>
      <c r="CX277" s="40"/>
    </row>
    <row r="278" spans="1:102" ht="31.5" hidden="1" x14ac:dyDescent="0.25">
      <c r="A278" s="13" t="s">
        <v>1</v>
      </c>
      <c r="B278" s="14" t="s">
        <v>1</v>
      </c>
      <c r="C278" s="14" t="s">
        <v>287</v>
      </c>
      <c r="D278" s="30" t="s">
        <v>515</v>
      </c>
      <c r="E278" s="15">
        <f t="shared" si="304"/>
        <v>4876573</v>
      </c>
      <c r="F278" s="16">
        <f t="shared" si="305"/>
        <v>0</v>
      </c>
      <c r="G278" s="16">
        <f t="shared" si="306"/>
        <v>0</v>
      </c>
      <c r="H278" s="16">
        <v>0</v>
      </c>
      <c r="I278" s="16">
        <v>0</v>
      </c>
      <c r="J278" s="16">
        <f t="shared" si="256"/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f t="shared" si="257"/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f t="shared" si="307"/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f t="shared" si="308"/>
        <v>0</v>
      </c>
      <c r="AF278" s="16">
        <v>0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0</v>
      </c>
      <c r="AS278" s="16">
        <v>0</v>
      </c>
      <c r="AT278" s="16">
        <v>0</v>
      </c>
      <c r="AU278" s="16">
        <v>0</v>
      </c>
      <c r="AV278" s="16">
        <v>0</v>
      </c>
      <c r="AW278" s="16">
        <v>0</v>
      </c>
      <c r="AX278" s="16">
        <v>0</v>
      </c>
      <c r="AY278" s="16">
        <v>0</v>
      </c>
      <c r="AZ278" s="16">
        <v>0</v>
      </c>
      <c r="BA278" s="16">
        <f t="shared" si="309"/>
        <v>0</v>
      </c>
      <c r="BB278" s="16">
        <f t="shared" si="310"/>
        <v>0</v>
      </c>
      <c r="BC278" s="16">
        <v>0</v>
      </c>
      <c r="BD278" s="16">
        <v>0</v>
      </c>
      <c r="BE278" s="16">
        <v>0</v>
      </c>
      <c r="BF278" s="16">
        <f t="shared" si="258"/>
        <v>0</v>
      </c>
      <c r="BG278" s="16">
        <v>0</v>
      </c>
      <c r="BH278" s="16">
        <v>0</v>
      </c>
      <c r="BI278" s="16">
        <v>0</v>
      </c>
      <c r="BJ278" s="16">
        <v>0</v>
      </c>
      <c r="BK278" s="16">
        <f t="shared" si="259"/>
        <v>0</v>
      </c>
      <c r="BL278" s="16">
        <v>0</v>
      </c>
      <c r="BM278" s="16">
        <f t="shared" si="260"/>
        <v>0</v>
      </c>
      <c r="BN278" s="16">
        <v>0</v>
      </c>
      <c r="BO278" s="16">
        <v>0</v>
      </c>
      <c r="BP278" s="16">
        <v>0</v>
      </c>
      <c r="BQ278" s="16">
        <v>0</v>
      </c>
      <c r="BR278" s="16">
        <v>0</v>
      </c>
      <c r="BS278" s="16">
        <v>0</v>
      </c>
      <c r="BT278" s="16">
        <v>0</v>
      </c>
      <c r="BU278" s="16">
        <v>0</v>
      </c>
      <c r="BV278" s="16">
        <v>0</v>
      </c>
      <c r="BW278" s="16">
        <v>0</v>
      </c>
      <c r="BX278" s="16">
        <v>0</v>
      </c>
      <c r="BY278" s="16">
        <f t="shared" si="311"/>
        <v>4876573</v>
      </c>
      <c r="BZ278" s="16">
        <f t="shared" si="312"/>
        <v>0</v>
      </c>
      <c r="CA278" s="16">
        <f t="shared" si="261"/>
        <v>0</v>
      </c>
      <c r="CB278" s="16">
        <v>0</v>
      </c>
      <c r="CC278" s="16">
        <v>0</v>
      </c>
      <c r="CD278" s="16">
        <f t="shared" si="262"/>
        <v>0</v>
      </c>
      <c r="CE278" s="16">
        <v>0</v>
      </c>
      <c r="CF278" s="16">
        <v>0</v>
      </c>
      <c r="CG278" s="16">
        <v>0</v>
      </c>
      <c r="CH278" s="16">
        <v>0</v>
      </c>
      <c r="CI278" s="16">
        <v>0</v>
      </c>
      <c r="CJ278" s="16">
        <v>0</v>
      </c>
      <c r="CK278" s="16">
        <f t="shared" si="263"/>
        <v>0</v>
      </c>
      <c r="CL278" s="16">
        <v>0</v>
      </c>
      <c r="CM278" s="16">
        <v>0</v>
      </c>
      <c r="CN278" s="16">
        <v>0</v>
      </c>
      <c r="CO278" s="16">
        <v>0</v>
      </c>
      <c r="CP278" s="16">
        <v>0</v>
      </c>
      <c r="CQ278" s="16">
        <v>0</v>
      </c>
      <c r="CR278" s="16">
        <v>0</v>
      </c>
      <c r="CS278" s="16">
        <f>2836200+1168153+872220</f>
        <v>4876573</v>
      </c>
      <c r="CT278" s="16">
        <f t="shared" si="264"/>
        <v>0</v>
      </c>
      <c r="CU278" s="16">
        <f t="shared" si="265"/>
        <v>0</v>
      </c>
      <c r="CV278" s="16">
        <v>0</v>
      </c>
      <c r="CW278" s="17">
        <v>0</v>
      </c>
      <c r="CX278" s="40"/>
    </row>
    <row r="279" spans="1:102" ht="15.75" hidden="1" x14ac:dyDescent="0.25">
      <c r="A279" s="13" t="s">
        <v>247</v>
      </c>
      <c r="B279" s="14" t="s">
        <v>107</v>
      </c>
      <c r="C279" s="14" t="s">
        <v>1</v>
      </c>
      <c r="D279" s="30" t="s">
        <v>296</v>
      </c>
      <c r="E279" s="15">
        <f t="shared" ref="E279:BP279" si="313">SUM(E280)</f>
        <v>35401990</v>
      </c>
      <c r="F279" s="16">
        <f t="shared" si="313"/>
        <v>0</v>
      </c>
      <c r="G279" s="16">
        <f t="shared" si="313"/>
        <v>0</v>
      </c>
      <c r="H279" s="16">
        <f t="shared" si="313"/>
        <v>0</v>
      </c>
      <c r="I279" s="16">
        <f t="shared" si="313"/>
        <v>0</v>
      </c>
      <c r="J279" s="16">
        <f t="shared" si="313"/>
        <v>0</v>
      </c>
      <c r="K279" s="16">
        <f t="shared" si="313"/>
        <v>0</v>
      </c>
      <c r="L279" s="16">
        <f t="shared" si="313"/>
        <v>0</v>
      </c>
      <c r="M279" s="16">
        <f t="shared" si="313"/>
        <v>0</v>
      </c>
      <c r="N279" s="16">
        <f t="shared" si="313"/>
        <v>0</v>
      </c>
      <c r="O279" s="16">
        <f t="shared" si="313"/>
        <v>0</v>
      </c>
      <c r="P279" s="16">
        <f t="shared" si="313"/>
        <v>0</v>
      </c>
      <c r="Q279" s="16">
        <f t="shared" si="313"/>
        <v>0</v>
      </c>
      <c r="R279" s="16">
        <f t="shared" si="313"/>
        <v>0</v>
      </c>
      <c r="S279" s="16">
        <f t="shared" si="313"/>
        <v>0</v>
      </c>
      <c r="T279" s="16">
        <f t="shared" si="313"/>
        <v>0</v>
      </c>
      <c r="U279" s="16">
        <f t="shared" si="313"/>
        <v>0</v>
      </c>
      <c r="V279" s="16">
        <f t="shared" si="313"/>
        <v>0</v>
      </c>
      <c r="W279" s="16">
        <f t="shared" si="313"/>
        <v>0</v>
      </c>
      <c r="X279" s="16">
        <f t="shared" si="313"/>
        <v>0</v>
      </c>
      <c r="Y279" s="16">
        <f t="shared" si="313"/>
        <v>0</v>
      </c>
      <c r="Z279" s="16">
        <f t="shared" si="313"/>
        <v>0</v>
      </c>
      <c r="AA279" s="16">
        <f t="shared" si="313"/>
        <v>0</v>
      </c>
      <c r="AB279" s="16">
        <f t="shared" si="313"/>
        <v>0</v>
      </c>
      <c r="AC279" s="16">
        <f t="shared" si="313"/>
        <v>0</v>
      </c>
      <c r="AD279" s="16">
        <f t="shared" si="313"/>
        <v>0</v>
      </c>
      <c r="AE279" s="16">
        <f t="shared" si="313"/>
        <v>0</v>
      </c>
      <c r="AF279" s="16">
        <f t="shared" si="313"/>
        <v>0</v>
      </c>
      <c r="AG279" s="16">
        <f t="shared" si="313"/>
        <v>0</v>
      </c>
      <c r="AH279" s="16">
        <f t="shared" si="313"/>
        <v>0</v>
      </c>
      <c r="AI279" s="16">
        <f t="shared" si="313"/>
        <v>0</v>
      </c>
      <c r="AJ279" s="16">
        <f t="shared" si="313"/>
        <v>0</v>
      </c>
      <c r="AK279" s="16">
        <f t="shared" si="313"/>
        <v>0</v>
      </c>
      <c r="AL279" s="16">
        <f t="shared" si="313"/>
        <v>0</v>
      </c>
      <c r="AM279" s="16">
        <f t="shared" si="313"/>
        <v>0</v>
      </c>
      <c r="AN279" s="16">
        <f t="shared" si="313"/>
        <v>0</v>
      </c>
      <c r="AO279" s="16">
        <f t="shared" si="313"/>
        <v>0</v>
      </c>
      <c r="AP279" s="16">
        <f t="shared" si="313"/>
        <v>0</v>
      </c>
      <c r="AQ279" s="16">
        <f t="shared" si="313"/>
        <v>0</v>
      </c>
      <c r="AR279" s="16">
        <f t="shared" si="313"/>
        <v>0</v>
      </c>
      <c r="AS279" s="16">
        <f t="shared" si="313"/>
        <v>0</v>
      </c>
      <c r="AT279" s="16">
        <f t="shared" si="313"/>
        <v>0</v>
      </c>
      <c r="AU279" s="16">
        <f t="shared" si="313"/>
        <v>0</v>
      </c>
      <c r="AV279" s="16">
        <f t="shared" si="313"/>
        <v>0</v>
      </c>
      <c r="AW279" s="16">
        <f t="shared" si="313"/>
        <v>0</v>
      </c>
      <c r="AX279" s="16">
        <f t="shared" si="313"/>
        <v>0</v>
      </c>
      <c r="AY279" s="16">
        <f t="shared" si="313"/>
        <v>0</v>
      </c>
      <c r="AZ279" s="16">
        <f t="shared" si="313"/>
        <v>0</v>
      </c>
      <c r="BA279" s="16">
        <f t="shared" si="313"/>
        <v>0</v>
      </c>
      <c r="BB279" s="16">
        <f t="shared" si="313"/>
        <v>0</v>
      </c>
      <c r="BC279" s="16">
        <f t="shared" si="313"/>
        <v>0</v>
      </c>
      <c r="BD279" s="16">
        <f t="shared" si="313"/>
        <v>0</v>
      </c>
      <c r="BE279" s="16">
        <f t="shared" si="313"/>
        <v>0</v>
      </c>
      <c r="BF279" s="16">
        <f t="shared" si="313"/>
        <v>0</v>
      </c>
      <c r="BG279" s="16">
        <f t="shared" si="313"/>
        <v>0</v>
      </c>
      <c r="BH279" s="16">
        <f t="shared" si="313"/>
        <v>0</v>
      </c>
      <c r="BI279" s="16">
        <f t="shared" si="313"/>
        <v>0</v>
      </c>
      <c r="BJ279" s="16">
        <f t="shared" si="313"/>
        <v>0</v>
      </c>
      <c r="BK279" s="16">
        <f t="shared" si="313"/>
        <v>0</v>
      </c>
      <c r="BL279" s="16">
        <f t="shared" si="313"/>
        <v>0</v>
      </c>
      <c r="BM279" s="16">
        <f t="shared" si="313"/>
        <v>0</v>
      </c>
      <c r="BN279" s="16">
        <f t="shared" si="313"/>
        <v>0</v>
      </c>
      <c r="BO279" s="16">
        <f t="shared" si="313"/>
        <v>0</v>
      </c>
      <c r="BP279" s="16">
        <f t="shared" si="313"/>
        <v>0</v>
      </c>
      <c r="BQ279" s="16">
        <f t="shared" ref="BQ279:CW279" si="314">SUM(BQ280)</f>
        <v>0</v>
      </c>
      <c r="BR279" s="16">
        <f t="shared" si="314"/>
        <v>0</v>
      </c>
      <c r="BS279" s="16">
        <f t="shared" si="314"/>
        <v>0</v>
      </c>
      <c r="BT279" s="16">
        <f t="shared" si="314"/>
        <v>0</v>
      </c>
      <c r="BU279" s="16">
        <f t="shared" si="314"/>
        <v>0</v>
      </c>
      <c r="BV279" s="16">
        <f t="shared" si="314"/>
        <v>0</v>
      </c>
      <c r="BW279" s="16">
        <f t="shared" si="314"/>
        <v>0</v>
      </c>
      <c r="BX279" s="16">
        <f t="shared" si="314"/>
        <v>0</v>
      </c>
      <c r="BY279" s="16">
        <f t="shared" si="314"/>
        <v>35401990</v>
      </c>
      <c r="BZ279" s="16">
        <f t="shared" si="314"/>
        <v>0</v>
      </c>
      <c r="CA279" s="16">
        <f t="shared" si="314"/>
        <v>0</v>
      </c>
      <c r="CB279" s="16">
        <f t="shared" si="314"/>
        <v>0</v>
      </c>
      <c r="CC279" s="16">
        <f t="shared" si="314"/>
        <v>0</v>
      </c>
      <c r="CD279" s="16">
        <f t="shared" si="314"/>
        <v>0</v>
      </c>
      <c r="CE279" s="16">
        <f t="shared" si="314"/>
        <v>0</v>
      </c>
      <c r="CF279" s="16">
        <f t="shared" si="314"/>
        <v>0</v>
      </c>
      <c r="CG279" s="16">
        <f t="shared" si="314"/>
        <v>0</v>
      </c>
      <c r="CH279" s="16">
        <f t="shared" si="314"/>
        <v>0</v>
      </c>
      <c r="CI279" s="16">
        <f t="shared" si="314"/>
        <v>0</v>
      </c>
      <c r="CJ279" s="16">
        <f t="shared" si="314"/>
        <v>0</v>
      </c>
      <c r="CK279" s="16">
        <f t="shared" si="314"/>
        <v>0</v>
      </c>
      <c r="CL279" s="16">
        <f t="shared" si="314"/>
        <v>0</v>
      </c>
      <c r="CM279" s="16">
        <f t="shared" si="314"/>
        <v>0</v>
      </c>
      <c r="CN279" s="16">
        <f t="shared" si="314"/>
        <v>0</v>
      </c>
      <c r="CO279" s="16">
        <f t="shared" si="314"/>
        <v>0</v>
      </c>
      <c r="CP279" s="16">
        <f t="shared" si="314"/>
        <v>0</v>
      </c>
      <c r="CQ279" s="16">
        <f t="shared" si="314"/>
        <v>0</v>
      </c>
      <c r="CR279" s="16">
        <f t="shared" si="314"/>
        <v>0</v>
      </c>
      <c r="CS279" s="16">
        <f t="shared" si="314"/>
        <v>35401990</v>
      </c>
      <c r="CT279" s="16">
        <f t="shared" si="314"/>
        <v>0</v>
      </c>
      <c r="CU279" s="16">
        <f t="shared" si="314"/>
        <v>0</v>
      </c>
      <c r="CV279" s="16">
        <f t="shared" si="314"/>
        <v>0</v>
      </c>
      <c r="CW279" s="17">
        <f t="shared" si="314"/>
        <v>0</v>
      </c>
      <c r="CX279" s="40"/>
    </row>
    <row r="280" spans="1:102" ht="15.75" hidden="1" x14ac:dyDescent="0.25">
      <c r="A280" s="13" t="s">
        <v>1</v>
      </c>
      <c r="B280" s="14" t="s">
        <v>1</v>
      </c>
      <c r="C280" s="14" t="s">
        <v>297</v>
      </c>
      <c r="D280" s="30" t="s">
        <v>296</v>
      </c>
      <c r="E280" s="15">
        <f>SUM(F280+BY280+CT280)</f>
        <v>35401990</v>
      </c>
      <c r="F280" s="16">
        <f>SUM(G280+BA280)</f>
        <v>0</v>
      </c>
      <c r="G280" s="16">
        <f>SUM(H280+I280+J280+Q280+T280+U280+V280+AE280)</f>
        <v>0</v>
      </c>
      <c r="H280" s="16">
        <v>0</v>
      </c>
      <c r="I280" s="16">
        <v>0</v>
      </c>
      <c r="J280" s="16">
        <f t="shared" si="256"/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f t="shared" si="257"/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f>SUM(W280:AD280)</f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f>SUM(AF280:AZ280)</f>
        <v>0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16">
        <v>0</v>
      </c>
      <c r="AS280" s="16">
        <v>0</v>
      </c>
      <c r="AT280" s="16">
        <v>0</v>
      </c>
      <c r="AU280" s="16">
        <v>0</v>
      </c>
      <c r="AV280" s="16">
        <v>0</v>
      </c>
      <c r="AW280" s="16">
        <v>0</v>
      </c>
      <c r="AX280" s="16">
        <v>0</v>
      </c>
      <c r="AY280" s="16">
        <v>0</v>
      </c>
      <c r="AZ280" s="16">
        <v>0</v>
      </c>
      <c r="BA280" s="16">
        <f>SUM(BB280+BF280+BI280+BK280+BM280)</f>
        <v>0</v>
      </c>
      <c r="BB280" s="16">
        <f>SUM(BC280:BE280)</f>
        <v>0</v>
      </c>
      <c r="BC280" s="16">
        <v>0</v>
      </c>
      <c r="BD280" s="16">
        <v>0</v>
      </c>
      <c r="BE280" s="16">
        <v>0</v>
      </c>
      <c r="BF280" s="16">
        <f t="shared" si="258"/>
        <v>0</v>
      </c>
      <c r="BG280" s="16">
        <v>0</v>
      </c>
      <c r="BH280" s="16">
        <v>0</v>
      </c>
      <c r="BI280" s="16">
        <v>0</v>
      </c>
      <c r="BJ280" s="16">
        <v>0</v>
      </c>
      <c r="BK280" s="16">
        <f t="shared" si="259"/>
        <v>0</v>
      </c>
      <c r="BL280" s="16">
        <v>0</v>
      </c>
      <c r="BM280" s="16">
        <f t="shared" si="260"/>
        <v>0</v>
      </c>
      <c r="BN280" s="16">
        <v>0</v>
      </c>
      <c r="BO280" s="16">
        <v>0</v>
      </c>
      <c r="BP280" s="16">
        <v>0</v>
      </c>
      <c r="BQ280" s="16">
        <v>0</v>
      </c>
      <c r="BR280" s="16">
        <v>0</v>
      </c>
      <c r="BS280" s="16">
        <v>0</v>
      </c>
      <c r="BT280" s="16">
        <v>0</v>
      </c>
      <c r="BU280" s="16">
        <v>0</v>
      </c>
      <c r="BV280" s="16">
        <v>0</v>
      </c>
      <c r="BW280" s="16">
        <v>0</v>
      </c>
      <c r="BX280" s="16">
        <v>0</v>
      </c>
      <c r="BY280" s="16">
        <f>SUM(BZ280+CS280)</f>
        <v>35401990</v>
      </c>
      <c r="BZ280" s="16">
        <f>SUM(CA280+CD280+CK280)</f>
        <v>0</v>
      </c>
      <c r="CA280" s="16">
        <f t="shared" si="261"/>
        <v>0</v>
      </c>
      <c r="CB280" s="16">
        <v>0</v>
      </c>
      <c r="CC280" s="16">
        <v>0</v>
      </c>
      <c r="CD280" s="16">
        <f t="shared" si="262"/>
        <v>0</v>
      </c>
      <c r="CE280" s="16">
        <v>0</v>
      </c>
      <c r="CF280" s="16">
        <v>0</v>
      </c>
      <c r="CG280" s="16">
        <v>0</v>
      </c>
      <c r="CH280" s="16">
        <v>0</v>
      </c>
      <c r="CI280" s="16">
        <v>0</v>
      </c>
      <c r="CJ280" s="16">
        <v>0</v>
      </c>
      <c r="CK280" s="16">
        <f t="shared" si="263"/>
        <v>0</v>
      </c>
      <c r="CL280" s="16">
        <v>0</v>
      </c>
      <c r="CM280" s="16">
        <v>0</v>
      </c>
      <c r="CN280" s="16">
        <v>0</v>
      </c>
      <c r="CO280" s="16">
        <v>0</v>
      </c>
      <c r="CP280" s="16">
        <v>0</v>
      </c>
      <c r="CQ280" s="16">
        <v>0</v>
      </c>
      <c r="CR280" s="16">
        <v>0</v>
      </c>
      <c r="CS280" s="16">
        <f>6000000-5000+15419800+13585200+401990</f>
        <v>35401990</v>
      </c>
      <c r="CT280" s="16">
        <f t="shared" si="264"/>
        <v>0</v>
      </c>
      <c r="CU280" s="16">
        <f t="shared" si="265"/>
        <v>0</v>
      </c>
      <c r="CV280" s="16">
        <v>0</v>
      </c>
      <c r="CW280" s="17">
        <v>0</v>
      </c>
      <c r="CX280" s="40"/>
    </row>
    <row r="281" spans="1:102" ht="31.5" hidden="1" x14ac:dyDescent="0.25">
      <c r="A281" s="18" t="s">
        <v>298</v>
      </c>
      <c r="B281" s="19" t="s">
        <v>1</v>
      </c>
      <c r="C281" s="19" t="s">
        <v>1</v>
      </c>
      <c r="D281" s="31" t="s">
        <v>299</v>
      </c>
      <c r="E281" s="20">
        <f>SUM(E282)</f>
        <v>100452017</v>
      </c>
      <c r="F281" s="21">
        <f t="shared" ref="F281:BS282" si="315">SUM(F282)</f>
        <v>0</v>
      </c>
      <c r="G281" s="21">
        <f t="shared" si="315"/>
        <v>0</v>
      </c>
      <c r="H281" s="21">
        <f t="shared" si="315"/>
        <v>0</v>
      </c>
      <c r="I281" s="21">
        <f t="shared" si="315"/>
        <v>0</v>
      </c>
      <c r="J281" s="21">
        <f t="shared" si="315"/>
        <v>0</v>
      </c>
      <c r="K281" s="21">
        <f t="shared" si="315"/>
        <v>0</v>
      </c>
      <c r="L281" s="21">
        <f t="shared" si="315"/>
        <v>0</v>
      </c>
      <c r="M281" s="21">
        <f t="shared" si="315"/>
        <v>0</v>
      </c>
      <c r="N281" s="21">
        <f t="shared" si="315"/>
        <v>0</v>
      </c>
      <c r="O281" s="21">
        <f t="shared" si="315"/>
        <v>0</v>
      </c>
      <c r="P281" s="21">
        <f t="shared" si="315"/>
        <v>0</v>
      </c>
      <c r="Q281" s="21">
        <f t="shared" si="315"/>
        <v>0</v>
      </c>
      <c r="R281" s="21">
        <f t="shared" si="315"/>
        <v>0</v>
      </c>
      <c r="S281" s="21">
        <f t="shared" si="315"/>
        <v>0</v>
      </c>
      <c r="T281" s="21">
        <f t="shared" si="315"/>
        <v>0</v>
      </c>
      <c r="U281" s="21">
        <f t="shared" si="315"/>
        <v>0</v>
      </c>
      <c r="V281" s="21">
        <f t="shared" si="315"/>
        <v>0</v>
      </c>
      <c r="W281" s="21">
        <f t="shared" si="315"/>
        <v>0</v>
      </c>
      <c r="X281" s="21">
        <f t="shared" si="315"/>
        <v>0</v>
      </c>
      <c r="Y281" s="21">
        <f t="shared" si="315"/>
        <v>0</v>
      </c>
      <c r="Z281" s="21">
        <f t="shared" si="315"/>
        <v>0</v>
      </c>
      <c r="AA281" s="21">
        <f t="shared" si="315"/>
        <v>0</v>
      </c>
      <c r="AB281" s="21">
        <f t="shared" si="315"/>
        <v>0</v>
      </c>
      <c r="AC281" s="21">
        <f t="shared" si="315"/>
        <v>0</v>
      </c>
      <c r="AD281" s="21">
        <f t="shared" si="315"/>
        <v>0</v>
      </c>
      <c r="AE281" s="21">
        <f t="shared" si="315"/>
        <v>0</v>
      </c>
      <c r="AF281" s="21">
        <f t="shared" si="315"/>
        <v>0</v>
      </c>
      <c r="AG281" s="21">
        <f t="shared" si="315"/>
        <v>0</v>
      </c>
      <c r="AH281" s="21">
        <f t="shared" si="315"/>
        <v>0</v>
      </c>
      <c r="AI281" s="21">
        <f t="shared" si="315"/>
        <v>0</v>
      </c>
      <c r="AJ281" s="21">
        <f t="shared" si="315"/>
        <v>0</v>
      </c>
      <c r="AK281" s="21">
        <f t="shared" si="315"/>
        <v>0</v>
      </c>
      <c r="AL281" s="21">
        <f t="shared" si="315"/>
        <v>0</v>
      </c>
      <c r="AM281" s="21">
        <f t="shared" si="315"/>
        <v>0</v>
      </c>
      <c r="AN281" s="21">
        <f t="shared" si="315"/>
        <v>0</v>
      </c>
      <c r="AO281" s="21">
        <f t="shared" si="315"/>
        <v>0</v>
      </c>
      <c r="AP281" s="21">
        <f t="shared" si="315"/>
        <v>0</v>
      </c>
      <c r="AQ281" s="21">
        <f t="shared" si="315"/>
        <v>0</v>
      </c>
      <c r="AR281" s="21">
        <f t="shared" si="315"/>
        <v>0</v>
      </c>
      <c r="AS281" s="21">
        <f t="shared" si="315"/>
        <v>0</v>
      </c>
      <c r="AT281" s="21">
        <f t="shared" si="315"/>
        <v>0</v>
      </c>
      <c r="AU281" s="21">
        <f t="shared" si="315"/>
        <v>0</v>
      </c>
      <c r="AV281" s="21">
        <f t="shared" si="315"/>
        <v>0</v>
      </c>
      <c r="AW281" s="21">
        <f t="shared" si="315"/>
        <v>0</v>
      </c>
      <c r="AX281" s="21">
        <f t="shared" si="315"/>
        <v>0</v>
      </c>
      <c r="AY281" s="21">
        <f t="shared" si="315"/>
        <v>0</v>
      </c>
      <c r="AZ281" s="21">
        <f t="shared" si="315"/>
        <v>0</v>
      </c>
      <c r="BA281" s="21">
        <f t="shared" si="315"/>
        <v>0</v>
      </c>
      <c r="BB281" s="21">
        <f t="shared" si="315"/>
        <v>0</v>
      </c>
      <c r="BC281" s="21">
        <f t="shared" si="315"/>
        <v>0</v>
      </c>
      <c r="BD281" s="21">
        <f t="shared" si="315"/>
        <v>0</v>
      </c>
      <c r="BE281" s="21">
        <f t="shared" si="315"/>
        <v>0</v>
      </c>
      <c r="BF281" s="21">
        <f t="shared" si="315"/>
        <v>0</v>
      </c>
      <c r="BG281" s="21">
        <f t="shared" si="315"/>
        <v>0</v>
      </c>
      <c r="BH281" s="21">
        <f t="shared" si="315"/>
        <v>0</v>
      </c>
      <c r="BI281" s="21">
        <f t="shared" si="315"/>
        <v>0</v>
      </c>
      <c r="BJ281" s="21">
        <f t="shared" si="315"/>
        <v>0</v>
      </c>
      <c r="BK281" s="21">
        <f t="shared" si="315"/>
        <v>0</v>
      </c>
      <c r="BL281" s="21">
        <f t="shared" si="315"/>
        <v>0</v>
      </c>
      <c r="BM281" s="21">
        <f t="shared" si="315"/>
        <v>0</v>
      </c>
      <c r="BN281" s="21">
        <f t="shared" si="315"/>
        <v>0</v>
      </c>
      <c r="BO281" s="21">
        <f t="shared" si="315"/>
        <v>0</v>
      </c>
      <c r="BP281" s="21">
        <f t="shared" si="315"/>
        <v>0</v>
      </c>
      <c r="BQ281" s="21">
        <f t="shared" si="315"/>
        <v>0</v>
      </c>
      <c r="BR281" s="21">
        <f t="shared" si="315"/>
        <v>0</v>
      </c>
      <c r="BS281" s="21">
        <f t="shared" si="315"/>
        <v>0</v>
      </c>
      <c r="BT281" s="21">
        <f t="shared" ref="BT281:CW282" si="316">SUM(BT282)</f>
        <v>0</v>
      </c>
      <c r="BU281" s="21">
        <f t="shared" si="316"/>
        <v>0</v>
      </c>
      <c r="BV281" s="21">
        <f t="shared" si="316"/>
        <v>0</v>
      </c>
      <c r="BW281" s="21">
        <f t="shared" si="316"/>
        <v>0</v>
      </c>
      <c r="BX281" s="21">
        <f t="shared" si="316"/>
        <v>0</v>
      </c>
      <c r="BY281" s="21">
        <f t="shared" si="316"/>
        <v>0</v>
      </c>
      <c r="BZ281" s="21">
        <f t="shared" si="316"/>
        <v>0</v>
      </c>
      <c r="CA281" s="21">
        <f t="shared" si="316"/>
        <v>0</v>
      </c>
      <c r="CB281" s="21">
        <f t="shared" si="316"/>
        <v>0</v>
      </c>
      <c r="CC281" s="21">
        <f t="shared" si="316"/>
        <v>0</v>
      </c>
      <c r="CD281" s="21">
        <f t="shared" si="316"/>
        <v>0</v>
      </c>
      <c r="CE281" s="21">
        <f t="shared" si="316"/>
        <v>0</v>
      </c>
      <c r="CF281" s="21">
        <f t="shared" si="316"/>
        <v>0</v>
      </c>
      <c r="CG281" s="21">
        <f t="shared" si="316"/>
        <v>0</v>
      </c>
      <c r="CH281" s="21">
        <f t="shared" si="316"/>
        <v>0</v>
      </c>
      <c r="CI281" s="21">
        <f t="shared" si="316"/>
        <v>0</v>
      </c>
      <c r="CJ281" s="21">
        <f t="shared" si="316"/>
        <v>0</v>
      </c>
      <c r="CK281" s="21">
        <f t="shared" si="316"/>
        <v>0</v>
      </c>
      <c r="CL281" s="21">
        <f t="shared" si="316"/>
        <v>0</v>
      </c>
      <c r="CM281" s="21">
        <f t="shared" si="316"/>
        <v>0</v>
      </c>
      <c r="CN281" s="21">
        <f t="shared" si="316"/>
        <v>0</v>
      </c>
      <c r="CO281" s="21">
        <f t="shared" si="316"/>
        <v>0</v>
      </c>
      <c r="CP281" s="21">
        <f t="shared" si="316"/>
        <v>0</v>
      </c>
      <c r="CQ281" s="21">
        <f t="shared" si="316"/>
        <v>0</v>
      </c>
      <c r="CR281" s="21">
        <f t="shared" si="316"/>
        <v>0</v>
      </c>
      <c r="CS281" s="21">
        <f t="shared" si="316"/>
        <v>0</v>
      </c>
      <c r="CT281" s="21">
        <f t="shared" si="316"/>
        <v>100452017</v>
      </c>
      <c r="CU281" s="21">
        <f t="shared" si="316"/>
        <v>100452017</v>
      </c>
      <c r="CV281" s="21">
        <f t="shared" si="316"/>
        <v>0</v>
      </c>
      <c r="CW281" s="22">
        <f t="shared" si="316"/>
        <v>100452017</v>
      </c>
      <c r="CX281" s="40"/>
    </row>
    <row r="282" spans="1:102" ht="15.75" hidden="1" x14ac:dyDescent="0.25">
      <c r="A282" s="13" t="s">
        <v>300</v>
      </c>
      <c r="B282" s="14" t="s">
        <v>3</v>
      </c>
      <c r="C282" s="14" t="s">
        <v>1</v>
      </c>
      <c r="D282" s="30" t="s">
        <v>301</v>
      </c>
      <c r="E282" s="15">
        <f>SUM(E283)</f>
        <v>100452017</v>
      </c>
      <c r="F282" s="16">
        <f t="shared" si="315"/>
        <v>0</v>
      </c>
      <c r="G282" s="16">
        <f t="shared" si="315"/>
        <v>0</v>
      </c>
      <c r="H282" s="16">
        <f t="shared" si="315"/>
        <v>0</v>
      </c>
      <c r="I282" s="16">
        <f t="shared" si="315"/>
        <v>0</v>
      </c>
      <c r="J282" s="16">
        <f t="shared" si="315"/>
        <v>0</v>
      </c>
      <c r="K282" s="16">
        <f t="shared" si="315"/>
        <v>0</v>
      </c>
      <c r="L282" s="16">
        <f t="shared" si="315"/>
        <v>0</v>
      </c>
      <c r="M282" s="16">
        <f t="shared" si="315"/>
        <v>0</v>
      </c>
      <c r="N282" s="16">
        <f t="shared" si="315"/>
        <v>0</v>
      </c>
      <c r="O282" s="16">
        <f t="shared" si="315"/>
        <v>0</v>
      </c>
      <c r="P282" s="16">
        <f t="shared" si="315"/>
        <v>0</v>
      </c>
      <c r="Q282" s="16">
        <f t="shared" si="315"/>
        <v>0</v>
      </c>
      <c r="R282" s="16">
        <f t="shared" si="315"/>
        <v>0</v>
      </c>
      <c r="S282" s="16">
        <f t="shared" si="315"/>
        <v>0</v>
      </c>
      <c r="T282" s="16">
        <f t="shared" si="315"/>
        <v>0</v>
      </c>
      <c r="U282" s="16">
        <f t="shared" si="315"/>
        <v>0</v>
      </c>
      <c r="V282" s="16">
        <f t="shared" si="315"/>
        <v>0</v>
      </c>
      <c r="W282" s="16">
        <f t="shared" si="315"/>
        <v>0</v>
      </c>
      <c r="X282" s="16">
        <f t="shared" si="315"/>
        <v>0</v>
      </c>
      <c r="Y282" s="16">
        <f t="shared" si="315"/>
        <v>0</v>
      </c>
      <c r="Z282" s="16">
        <f t="shared" si="315"/>
        <v>0</v>
      </c>
      <c r="AA282" s="16">
        <f t="shared" si="315"/>
        <v>0</v>
      </c>
      <c r="AB282" s="16">
        <f t="shared" si="315"/>
        <v>0</v>
      </c>
      <c r="AC282" s="16">
        <f t="shared" si="315"/>
        <v>0</v>
      </c>
      <c r="AD282" s="16">
        <f t="shared" si="315"/>
        <v>0</v>
      </c>
      <c r="AE282" s="16">
        <f t="shared" si="315"/>
        <v>0</v>
      </c>
      <c r="AF282" s="16">
        <f t="shared" si="315"/>
        <v>0</v>
      </c>
      <c r="AG282" s="16">
        <f t="shared" si="315"/>
        <v>0</v>
      </c>
      <c r="AH282" s="16">
        <f t="shared" si="315"/>
        <v>0</v>
      </c>
      <c r="AI282" s="16">
        <f t="shared" si="315"/>
        <v>0</v>
      </c>
      <c r="AJ282" s="16">
        <f t="shared" si="315"/>
        <v>0</v>
      </c>
      <c r="AK282" s="16">
        <f t="shared" si="315"/>
        <v>0</v>
      </c>
      <c r="AL282" s="16">
        <f t="shared" si="315"/>
        <v>0</v>
      </c>
      <c r="AM282" s="16">
        <f t="shared" si="315"/>
        <v>0</v>
      </c>
      <c r="AN282" s="16">
        <f t="shared" si="315"/>
        <v>0</v>
      </c>
      <c r="AO282" s="16">
        <f t="shared" si="315"/>
        <v>0</v>
      </c>
      <c r="AP282" s="16">
        <f t="shared" si="315"/>
        <v>0</v>
      </c>
      <c r="AQ282" s="16">
        <f t="shared" si="315"/>
        <v>0</v>
      </c>
      <c r="AR282" s="16">
        <f t="shared" si="315"/>
        <v>0</v>
      </c>
      <c r="AS282" s="16">
        <f t="shared" si="315"/>
        <v>0</v>
      </c>
      <c r="AT282" s="16">
        <f t="shared" si="315"/>
        <v>0</v>
      </c>
      <c r="AU282" s="16">
        <f t="shared" si="315"/>
        <v>0</v>
      </c>
      <c r="AV282" s="16">
        <f t="shared" si="315"/>
        <v>0</v>
      </c>
      <c r="AW282" s="16">
        <f t="shared" si="315"/>
        <v>0</v>
      </c>
      <c r="AX282" s="16">
        <f t="shared" si="315"/>
        <v>0</v>
      </c>
      <c r="AY282" s="16">
        <f t="shared" si="315"/>
        <v>0</v>
      </c>
      <c r="AZ282" s="16">
        <f t="shared" si="315"/>
        <v>0</v>
      </c>
      <c r="BA282" s="16">
        <f t="shared" si="315"/>
        <v>0</v>
      </c>
      <c r="BB282" s="16">
        <f t="shared" si="315"/>
        <v>0</v>
      </c>
      <c r="BC282" s="16">
        <f t="shared" si="315"/>
        <v>0</v>
      </c>
      <c r="BD282" s="16">
        <f t="shared" si="315"/>
        <v>0</v>
      </c>
      <c r="BE282" s="16">
        <f t="shared" si="315"/>
        <v>0</v>
      </c>
      <c r="BF282" s="16">
        <f t="shared" si="315"/>
        <v>0</v>
      </c>
      <c r="BG282" s="16">
        <f t="shared" si="315"/>
        <v>0</v>
      </c>
      <c r="BH282" s="16">
        <f t="shared" si="315"/>
        <v>0</v>
      </c>
      <c r="BI282" s="16">
        <f t="shared" si="315"/>
        <v>0</v>
      </c>
      <c r="BJ282" s="16">
        <f t="shared" si="315"/>
        <v>0</v>
      </c>
      <c r="BK282" s="16">
        <f t="shared" si="315"/>
        <v>0</v>
      </c>
      <c r="BL282" s="16">
        <f t="shared" si="315"/>
        <v>0</v>
      </c>
      <c r="BM282" s="16">
        <f t="shared" si="315"/>
        <v>0</v>
      </c>
      <c r="BN282" s="16">
        <f t="shared" si="315"/>
        <v>0</v>
      </c>
      <c r="BO282" s="16">
        <f t="shared" si="315"/>
        <v>0</v>
      </c>
      <c r="BP282" s="16">
        <f t="shared" si="315"/>
        <v>0</v>
      </c>
      <c r="BQ282" s="16">
        <f t="shared" si="315"/>
        <v>0</v>
      </c>
      <c r="BR282" s="16">
        <f t="shared" si="315"/>
        <v>0</v>
      </c>
      <c r="BS282" s="16">
        <f t="shared" si="315"/>
        <v>0</v>
      </c>
      <c r="BT282" s="16">
        <f t="shared" si="316"/>
        <v>0</v>
      </c>
      <c r="BU282" s="16">
        <f t="shared" si="316"/>
        <v>0</v>
      </c>
      <c r="BV282" s="16">
        <f t="shared" si="316"/>
        <v>0</v>
      </c>
      <c r="BW282" s="16">
        <f t="shared" si="316"/>
        <v>0</v>
      </c>
      <c r="BX282" s="16">
        <f t="shared" si="316"/>
        <v>0</v>
      </c>
      <c r="BY282" s="16">
        <f t="shared" si="316"/>
        <v>0</v>
      </c>
      <c r="BZ282" s="16">
        <f t="shared" si="316"/>
        <v>0</v>
      </c>
      <c r="CA282" s="16">
        <f t="shared" si="316"/>
        <v>0</v>
      </c>
      <c r="CB282" s="16">
        <f t="shared" si="316"/>
        <v>0</v>
      </c>
      <c r="CC282" s="16">
        <f t="shared" si="316"/>
        <v>0</v>
      </c>
      <c r="CD282" s="16">
        <f t="shared" si="316"/>
        <v>0</v>
      </c>
      <c r="CE282" s="16">
        <f t="shared" si="316"/>
        <v>0</v>
      </c>
      <c r="CF282" s="16">
        <f t="shared" si="316"/>
        <v>0</v>
      </c>
      <c r="CG282" s="16">
        <f t="shared" si="316"/>
        <v>0</v>
      </c>
      <c r="CH282" s="16">
        <f t="shared" si="316"/>
        <v>0</v>
      </c>
      <c r="CI282" s="16">
        <f t="shared" si="316"/>
        <v>0</v>
      </c>
      <c r="CJ282" s="16">
        <f t="shared" si="316"/>
        <v>0</v>
      </c>
      <c r="CK282" s="16">
        <f t="shared" si="316"/>
        <v>0</v>
      </c>
      <c r="CL282" s="16">
        <f t="shared" si="316"/>
        <v>0</v>
      </c>
      <c r="CM282" s="16">
        <f t="shared" si="316"/>
        <v>0</v>
      </c>
      <c r="CN282" s="16">
        <f t="shared" si="316"/>
        <v>0</v>
      </c>
      <c r="CO282" s="16">
        <f t="shared" si="316"/>
        <v>0</v>
      </c>
      <c r="CP282" s="16">
        <f t="shared" si="316"/>
        <v>0</v>
      </c>
      <c r="CQ282" s="16">
        <f t="shared" si="316"/>
        <v>0</v>
      </c>
      <c r="CR282" s="16">
        <f t="shared" si="316"/>
        <v>0</v>
      </c>
      <c r="CS282" s="16">
        <f t="shared" si="316"/>
        <v>0</v>
      </c>
      <c r="CT282" s="16">
        <f t="shared" si="316"/>
        <v>100452017</v>
      </c>
      <c r="CU282" s="16">
        <f t="shared" si="316"/>
        <v>100452017</v>
      </c>
      <c r="CV282" s="16">
        <f t="shared" si="316"/>
        <v>0</v>
      </c>
      <c r="CW282" s="17">
        <f t="shared" si="316"/>
        <v>100452017</v>
      </c>
      <c r="CX282" s="40"/>
    </row>
    <row r="283" spans="1:102" ht="15.75" hidden="1" x14ac:dyDescent="0.25">
      <c r="A283" s="13" t="s">
        <v>1</v>
      </c>
      <c r="B283" s="14" t="s">
        <v>1</v>
      </c>
      <c r="C283" s="14" t="s">
        <v>43</v>
      </c>
      <c r="D283" s="30" t="s">
        <v>302</v>
      </c>
      <c r="E283" s="15">
        <f>SUM(F283+BY283+CT283)</f>
        <v>100452017</v>
      </c>
      <c r="F283" s="16">
        <f>SUM(G283+BA283)</f>
        <v>0</v>
      </c>
      <c r="G283" s="16">
        <f>SUM(H283+I283+J283+Q283+T283+U283+V283+AE283)</f>
        <v>0</v>
      </c>
      <c r="H283" s="16">
        <v>0</v>
      </c>
      <c r="I283" s="16">
        <v>0</v>
      </c>
      <c r="J283" s="16">
        <f t="shared" si="256"/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f t="shared" si="257"/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f>SUM(W283:AD283)</f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f>SUM(AF283:AZ283)</f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0</v>
      </c>
      <c r="AS283" s="16">
        <v>0</v>
      </c>
      <c r="AT283" s="16">
        <v>0</v>
      </c>
      <c r="AU283" s="16">
        <v>0</v>
      </c>
      <c r="AV283" s="16">
        <v>0</v>
      </c>
      <c r="AW283" s="16">
        <v>0</v>
      </c>
      <c r="AX283" s="16">
        <v>0</v>
      </c>
      <c r="AY283" s="16">
        <v>0</v>
      </c>
      <c r="AZ283" s="16">
        <v>0</v>
      </c>
      <c r="BA283" s="16">
        <f>SUM(BB283+BF283+BI283+BK283+BM283)</f>
        <v>0</v>
      </c>
      <c r="BB283" s="16">
        <f>SUM(BC283:BE283)</f>
        <v>0</v>
      </c>
      <c r="BC283" s="16">
        <v>0</v>
      </c>
      <c r="BD283" s="16">
        <v>0</v>
      </c>
      <c r="BE283" s="16">
        <v>0</v>
      </c>
      <c r="BF283" s="16">
        <f t="shared" si="258"/>
        <v>0</v>
      </c>
      <c r="BG283" s="16">
        <v>0</v>
      </c>
      <c r="BH283" s="16">
        <v>0</v>
      </c>
      <c r="BI283" s="16">
        <v>0</v>
      </c>
      <c r="BJ283" s="16">
        <v>0</v>
      </c>
      <c r="BK283" s="16">
        <f t="shared" si="259"/>
        <v>0</v>
      </c>
      <c r="BL283" s="16">
        <v>0</v>
      </c>
      <c r="BM283" s="16">
        <f t="shared" si="260"/>
        <v>0</v>
      </c>
      <c r="BN283" s="16">
        <v>0</v>
      </c>
      <c r="BO283" s="16">
        <v>0</v>
      </c>
      <c r="BP283" s="16">
        <v>0</v>
      </c>
      <c r="BQ283" s="16">
        <v>0</v>
      </c>
      <c r="BR283" s="16">
        <v>0</v>
      </c>
      <c r="BS283" s="16">
        <v>0</v>
      </c>
      <c r="BT283" s="16">
        <v>0</v>
      </c>
      <c r="BU283" s="16">
        <v>0</v>
      </c>
      <c r="BV283" s="16">
        <v>0</v>
      </c>
      <c r="BW283" s="16">
        <v>0</v>
      </c>
      <c r="BX283" s="16">
        <v>0</v>
      </c>
      <c r="BY283" s="16">
        <f>SUM(BZ283+CS283)</f>
        <v>0</v>
      </c>
      <c r="BZ283" s="16">
        <f>SUM(CA283+CD283+CK283)</f>
        <v>0</v>
      </c>
      <c r="CA283" s="16">
        <f t="shared" si="261"/>
        <v>0</v>
      </c>
      <c r="CB283" s="16">
        <v>0</v>
      </c>
      <c r="CC283" s="16">
        <v>0</v>
      </c>
      <c r="CD283" s="16">
        <f t="shared" si="262"/>
        <v>0</v>
      </c>
      <c r="CE283" s="16">
        <v>0</v>
      </c>
      <c r="CF283" s="16">
        <v>0</v>
      </c>
      <c r="CG283" s="16">
        <v>0</v>
      </c>
      <c r="CH283" s="16">
        <v>0</v>
      </c>
      <c r="CI283" s="16">
        <v>0</v>
      </c>
      <c r="CJ283" s="16">
        <v>0</v>
      </c>
      <c r="CK283" s="16">
        <f t="shared" si="263"/>
        <v>0</v>
      </c>
      <c r="CL283" s="16">
        <v>0</v>
      </c>
      <c r="CM283" s="16">
        <v>0</v>
      </c>
      <c r="CN283" s="16">
        <v>0</v>
      </c>
      <c r="CO283" s="16">
        <v>0</v>
      </c>
      <c r="CP283" s="16">
        <v>0</v>
      </c>
      <c r="CQ283" s="16">
        <v>0</v>
      </c>
      <c r="CR283" s="16">
        <v>0</v>
      </c>
      <c r="CS283" s="16">
        <v>0</v>
      </c>
      <c r="CT283" s="16">
        <f t="shared" si="264"/>
        <v>100452017</v>
      </c>
      <c r="CU283" s="16">
        <f t="shared" si="265"/>
        <v>100452017</v>
      </c>
      <c r="CV283" s="16">
        <v>0</v>
      </c>
      <c r="CW283" s="17">
        <f>100000000+452017</f>
        <v>100452017</v>
      </c>
      <c r="CX283" s="40"/>
    </row>
    <row r="284" spans="1:102" ht="15.75" hidden="1" x14ac:dyDescent="0.25">
      <c r="A284" s="18" t="s">
        <v>303</v>
      </c>
      <c r="B284" s="19" t="s">
        <v>1</v>
      </c>
      <c r="C284" s="19" t="s">
        <v>1</v>
      </c>
      <c r="D284" s="31" t="s">
        <v>304</v>
      </c>
      <c r="E284" s="20">
        <f>SUM(E285+E287+E289+E291+E293+E295+E297)</f>
        <v>447007284</v>
      </c>
      <c r="F284" s="21">
        <f t="shared" ref="F284:BS284" si="317">SUM(F285+F287+F289+F291+F293+F295+F297)</f>
        <v>157208403</v>
      </c>
      <c r="G284" s="21">
        <f t="shared" si="317"/>
        <v>101204730</v>
      </c>
      <c r="H284" s="21">
        <f t="shared" si="317"/>
        <v>30446811</v>
      </c>
      <c r="I284" s="21">
        <f t="shared" si="317"/>
        <v>754957</v>
      </c>
      <c r="J284" s="21">
        <f t="shared" si="317"/>
        <v>16782055</v>
      </c>
      <c r="K284" s="21">
        <f t="shared" si="317"/>
        <v>137984</v>
      </c>
      <c r="L284" s="21">
        <f t="shared" si="317"/>
        <v>1170870</v>
      </c>
      <c r="M284" s="21">
        <f t="shared" si="317"/>
        <v>0</v>
      </c>
      <c r="N284" s="21">
        <f t="shared" si="317"/>
        <v>16000</v>
      </c>
      <c r="O284" s="21">
        <f t="shared" si="317"/>
        <v>13214539</v>
      </c>
      <c r="P284" s="21">
        <f t="shared" si="317"/>
        <v>2242662</v>
      </c>
      <c r="Q284" s="21">
        <f t="shared" si="317"/>
        <v>70827</v>
      </c>
      <c r="R284" s="21">
        <f t="shared" si="317"/>
        <v>14057</v>
      </c>
      <c r="S284" s="21">
        <f t="shared" si="317"/>
        <v>56770</v>
      </c>
      <c r="T284" s="21">
        <f t="shared" si="317"/>
        <v>8000</v>
      </c>
      <c r="U284" s="21">
        <f t="shared" si="317"/>
        <v>389546</v>
      </c>
      <c r="V284" s="21">
        <f t="shared" si="317"/>
        <v>1129867</v>
      </c>
      <c r="W284" s="21">
        <f t="shared" si="317"/>
        <v>65088</v>
      </c>
      <c r="X284" s="21">
        <f t="shared" si="317"/>
        <v>3921</v>
      </c>
      <c r="Y284" s="21">
        <f t="shared" si="317"/>
        <v>883977</v>
      </c>
      <c r="Z284" s="21">
        <f t="shared" si="317"/>
        <v>58735</v>
      </c>
      <c r="AA284" s="21">
        <f t="shared" si="317"/>
        <v>62560</v>
      </c>
      <c r="AB284" s="21">
        <f t="shared" si="317"/>
        <v>0</v>
      </c>
      <c r="AC284" s="21">
        <f t="shared" si="317"/>
        <v>0</v>
      </c>
      <c r="AD284" s="21">
        <f t="shared" si="317"/>
        <v>55586</v>
      </c>
      <c r="AE284" s="21">
        <f t="shared" si="317"/>
        <v>51622667</v>
      </c>
      <c r="AF284" s="21">
        <f t="shared" si="317"/>
        <v>0</v>
      </c>
      <c r="AG284" s="21">
        <f t="shared" si="317"/>
        <v>138947</v>
      </c>
      <c r="AH284" s="21">
        <f t="shared" si="317"/>
        <v>136162</v>
      </c>
      <c r="AI284" s="21">
        <f t="shared" si="317"/>
        <v>0</v>
      </c>
      <c r="AJ284" s="21">
        <f t="shared" si="317"/>
        <v>6320</v>
      </c>
      <c r="AK284" s="21">
        <f t="shared" si="317"/>
        <v>29485</v>
      </c>
      <c r="AL284" s="21">
        <f t="shared" si="317"/>
        <v>1173</v>
      </c>
      <c r="AM284" s="21">
        <f t="shared" si="317"/>
        <v>27627</v>
      </c>
      <c r="AN284" s="21">
        <f t="shared" si="317"/>
        <v>14550</v>
      </c>
      <c r="AO284" s="21">
        <f t="shared" si="317"/>
        <v>0</v>
      </c>
      <c r="AP284" s="21">
        <f>SUM(AP285+AP287+AP289+AP291+AP293+AP295+AP297)</f>
        <v>0</v>
      </c>
      <c r="AQ284" s="21">
        <f t="shared" si="317"/>
        <v>0</v>
      </c>
      <c r="AR284" s="21">
        <f t="shared" si="317"/>
        <v>0</v>
      </c>
      <c r="AS284" s="21">
        <f t="shared" si="317"/>
        <v>0</v>
      </c>
      <c r="AT284" s="21">
        <f t="shared" si="317"/>
        <v>0</v>
      </c>
      <c r="AU284" s="21">
        <f t="shared" si="317"/>
        <v>0</v>
      </c>
      <c r="AV284" s="21">
        <f t="shared" si="317"/>
        <v>13031549</v>
      </c>
      <c r="AW284" s="21">
        <f t="shared" si="317"/>
        <v>9231087</v>
      </c>
      <c r="AX284" s="21">
        <f t="shared" si="317"/>
        <v>0</v>
      </c>
      <c r="AY284" s="21">
        <f t="shared" si="317"/>
        <v>268851</v>
      </c>
      <c r="AZ284" s="21">
        <f t="shared" si="317"/>
        <v>28736916</v>
      </c>
      <c r="BA284" s="21">
        <f t="shared" si="317"/>
        <v>56003673</v>
      </c>
      <c r="BB284" s="21">
        <f t="shared" si="317"/>
        <v>0</v>
      </c>
      <c r="BC284" s="21">
        <f t="shared" si="317"/>
        <v>0</v>
      </c>
      <c r="BD284" s="21">
        <f t="shared" si="317"/>
        <v>0</v>
      </c>
      <c r="BE284" s="21">
        <f t="shared" si="317"/>
        <v>0</v>
      </c>
      <c r="BF284" s="21">
        <f t="shared" si="317"/>
        <v>4776987</v>
      </c>
      <c r="BG284" s="21">
        <f t="shared" si="317"/>
        <v>0</v>
      </c>
      <c r="BH284" s="21">
        <f t="shared" si="317"/>
        <v>4776987</v>
      </c>
      <c r="BI284" s="21">
        <f t="shared" si="317"/>
        <v>8336675</v>
      </c>
      <c r="BJ284" s="21">
        <f t="shared" si="317"/>
        <v>0</v>
      </c>
      <c r="BK284" s="21">
        <f t="shared" si="317"/>
        <v>0</v>
      </c>
      <c r="BL284" s="21">
        <f t="shared" si="317"/>
        <v>0</v>
      </c>
      <c r="BM284" s="21">
        <f t="shared" si="317"/>
        <v>42890011</v>
      </c>
      <c r="BN284" s="21">
        <f t="shared" si="317"/>
        <v>0</v>
      </c>
      <c r="BO284" s="21">
        <f t="shared" si="317"/>
        <v>0</v>
      </c>
      <c r="BP284" s="21">
        <f t="shared" si="317"/>
        <v>0</v>
      </c>
      <c r="BQ284" s="21">
        <f t="shared" si="317"/>
        <v>0</v>
      </c>
      <c r="BR284" s="21">
        <f t="shared" si="317"/>
        <v>0</v>
      </c>
      <c r="BS284" s="21">
        <f t="shared" si="317"/>
        <v>0</v>
      </c>
      <c r="BT284" s="21">
        <f t="shared" ref="BT284:CW284" si="318">SUM(BT285+BT287+BT289+BT291+BT293+BT295+BT297)</f>
        <v>0</v>
      </c>
      <c r="BU284" s="21">
        <f t="shared" si="318"/>
        <v>1401135</v>
      </c>
      <c r="BV284" s="21">
        <f t="shared" si="318"/>
        <v>0</v>
      </c>
      <c r="BW284" s="21">
        <f t="shared" si="318"/>
        <v>915294</v>
      </c>
      <c r="BX284" s="21">
        <f t="shared" si="318"/>
        <v>40573582</v>
      </c>
      <c r="BY284" s="21">
        <f t="shared" si="318"/>
        <v>289798881</v>
      </c>
      <c r="BZ284" s="21">
        <f t="shared" si="318"/>
        <v>277698881</v>
      </c>
      <c r="CA284" s="21">
        <f t="shared" si="318"/>
        <v>42251875</v>
      </c>
      <c r="CB284" s="21">
        <f t="shared" si="318"/>
        <v>299196</v>
      </c>
      <c r="CC284" s="21">
        <f t="shared" si="318"/>
        <v>41952679</v>
      </c>
      <c r="CD284" s="21">
        <f t="shared" si="318"/>
        <v>140327479</v>
      </c>
      <c r="CE284" s="21">
        <f t="shared" si="318"/>
        <v>0</v>
      </c>
      <c r="CF284" s="21">
        <f>SUM(CF285+CF287+CF289+CF291+CF293+CF295+CF297)</f>
        <v>0</v>
      </c>
      <c r="CG284" s="21">
        <f t="shared" si="318"/>
        <v>122186255</v>
      </c>
      <c r="CH284" s="21">
        <f t="shared" si="318"/>
        <v>10703103</v>
      </c>
      <c r="CI284" s="21">
        <f t="shared" si="318"/>
        <v>7197854</v>
      </c>
      <c r="CJ284" s="21">
        <f t="shared" si="318"/>
        <v>240267</v>
      </c>
      <c r="CK284" s="21">
        <f t="shared" si="318"/>
        <v>95119527</v>
      </c>
      <c r="CL284" s="21">
        <f t="shared" si="318"/>
        <v>2114966</v>
      </c>
      <c r="CM284" s="21">
        <f>SUM(CM285+CM287+CM289+CM291+CM293+CM295+CM297)</f>
        <v>0</v>
      </c>
      <c r="CN284" s="21">
        <f t="shared" si="318"/>
        <v>77686125</v>
      </c>
      <c r="CO284" s="21">
        <f t="shared" si="318"/>
        <v>5318436</v>
      </c>
      <c r="CP284" s="21">
        <f t="shared" si="318"/>
        <v>10000000</v>
      </c>
      <c r="CQ284" s="21">
        <f t="shared" si="318"/>
        <v>0</v>
      </c>
      <c r="CR284" s="21">
        <f t="shared" si="318"/>
        <v>0</v>
      </c>
      <c r="CS284" s="21">
        <f t="shared" si="318"/>
        <v>12100000</v>
      </c>
      <c r="CT284" s="21">
        <f t="shared" si="318"/>
        <v>0</v>
      </c>
      <c r="CU284" s="21">
        <f t="shared" si="318"/>
        <v>0</v>
      </c>
      <c r="CV284" s="21">
        <f t="shared" si="318"/>
        <v>0</v>
      </c>
      <c r="CW284" s="22">
        <f t="shared" si="318"/>
        <v>0</v>
      </c>
      <c r="CX284" s="40"/>
    </row>
    <row r="285" spans="1:102" ht="15.75" hidden="1" x14ac:dyDescent="0.25">
      <c r="A285" s="13" t="s">
        <v>305</v>
      </c>
      <c r="B285" s="14" t="s">
        <v>7</v>
      </c>
      <c r="C285" s="14" t="s">
        <v>1</v>
      </c>
      <c r="D285" s="30" t="s">
        <v>306</v>
      </c>
      <c r="E285" s="15">
        <f t="shared" ref="E285:BP285" si="319">SUM(E286)</f>
        <v>4776987</v>
      </c>
      <c r="F285" s="16">
        <f t="shared" si="319"/>
        <v>4776987</v>
      </c>
      <c r="G285" s="16">
        <f t="shared" si="319"/>
        <v>0</v>
      </c>
      <c r="H285" s="16">
        <f t="shared" si="319"/>
        <v>0</v>
      </c>
      <c r="I285" s="16">
        <f t="shared" si="319"/>
        <v>0</v>
      </c>
      <c r="J285" s="16">
        <f t="shared" si="319"/>
        <v>0</v>
      </c>
      <c r="K285" s="16">
        <f t="shared" si="319"/>
        <v>0</v>
      </c>
      <c r="L285" s="16">
        <f t="shared" si="319"/>
        <v>0</v>
      </c>
      <c r="M285" s="16">
        <f t="shared" si="319"/>
        <v>0</v>
      </c>
      <c r="N285" s="16">
        <f t="shared" si="319"/>
        <v>0</v>
      </c>
      <c r="O285" s="16">
        <f t="shared" si="319"/>
        <v>0</v>
      </c>
      <c r="P285" s="16">
        <f t="shared" si="319"/>
        <v>0</v>
      </c>
      <c r="Q285" s="16">
        <f t="shared" si="319"/>
        <v>0</v>
      </c>
      <c r="R285" s="16">
        <f t="shared" si="319"/>
        <v>0</v>
      </c>
      <c r="S285" s="16">
        <f t="shared" si="319"/>
        <v>0</v>
      </c>
      <c r="T285" s="16">
        <f t="shared" si="319"/>
        <v>0</v>
      </c>
      <c r="U285" s="16">
        <f t="shared" si="319"/>
        <v>0</v>
      </c>
      <c r="V285" s="16">
        <f t="shared" si="319"/>
        <v>0</v>
      </c>
      <c r="W285" s="16">
        <f t="shared" si="319"/>
        <v>0</v>
      </c>
      <c r="X285" s="16">
        <f t="shared" si="319"/>
        <v>0</v>
      </c>
      <c r="Y285" s="16">
        <f t="shared" si="319"/>
        <v>0</v>
      </c>
      <c r="Z285" s="16">
        <f t="shared" si="319"/>
        <v>0</v>
      </c>
      <c r="AA285" s="16">
        <f t="shared" si="319"/>
        <v>0</v>
      </c>
      <c r="AB285" s="16">
        <f t="shared" si="319"/>
        <v>0</v>
      </c>
      <c r="AC285" s="16">
        <f t="shared" si="319"/>
        <v>0</v>
      </c>
      <c r="AD285" s="16">
        <f t="shared" si="319"/>
        <v>0</v>
      </c>
      <c r="AE285" s="16">
        <f t="shared" si="319"/>
        <v>0</v>
      </c>
      <c r="AF285" s="16">
        <f t="shared" si="319"/>
        <v>0</v>
      </c>
      <c r="AG285" s="16">
        <f t="shared" si="319"/>
        <v>0</v>
      </c>
      <c r="AH285" s="16">
        <f t="shared" si="319"/>
        <v>0</v>
      </c>
      <c r="AI285" s="16">
        <f t="shared" si="319"/>
        <v>0</v>
      </c>
      <c r="AJ285" s="16">
        <f t="shared" si="319"/>
        <v>0</v>
      </c>
      <c r="AK285" s="16">
        <f t="shared" si="319"/>
        <v>0</v>
      </c>
      <c r="AL285" s="16">
        <f t="shared" si="319"/>
        <v>0</v>
      </c>
      <c r="AM285" s="16">
        <f t="shared" si="319"/>
        <v>0</v>
      </c>
      <c r="AN285" s="16">
        <f t="shared" si="319"/>
        <v>0</v>
      </c>
      <c r="AO285" s="16">
        <f t="shared" si="319"/>
        <v>0</v>
      </c>
      <c r="AP285" s="16">
        <f t="shared" si="319"/>
        <v>0</v>
      </c>
      <c r="AQ285" s="16">
        <f t="shared" si="319"/>
        <v>0</v>
      </c>
      <c r="AR285" s="16">
        <f t="shared" si="319"/>
        <v>0</v>
      </c>
      <c r="AS285" s="16">
        <f t="shared" si="319"/>
        <v>0</v>
      </c>
      <c r="AT285" s="16">
        <f t="shared" si="319"/>
        <v>0</v>
      </c>
      <c r="AU285" s="16">
        <f t="shared" si="319"/>
        <v>0</v>
      </c>
      <c r="AV285" s="16">
        <f t="shared" si="319"/>
        <v>0</v>
      </c>
      <c r="AW285" s="16">
        <f t="shared" si="319"/>
        <v>0</v>
      </c>
      <c r="AX285" s="16">
        <f t="shared" si="319"/>
        <v>0</v>
      </c>
      <c r="AY285" s="16">
        <f t="shared" si="319"/>
        <v>0</v>
      </c>
      <c r="AZ285" s="16">
        <f t="shared" si="319"/>
        <v>0</v>
      </c>
      <c r="BA285" s="16">
        <f t="shared" si="319"/>
        <v>4776987</v>
      </c>
      <c r="BB285" s="16">
        <f t="shared" si="319"/>
        <v>0</v>
      </c>
      <c r="BC285" s="16">
        <f t="shared" si="319"/>
        <v>0</v>
      </c>
      <c r="BD285" s="16">
        <f t="shared" si="319"/>
        <v>0</v>
      </c>
      <c r="BE285" s="16">
        <f t="shared" si="319"/>
        <v>0</v>
      </c>
      <c r="BF285" s="16">
        <f t="shared" si="319"/>
        <v>4776987</v>
      </c>
      <c r="BG285" s="16">
        <f t="shared" si="319"/>
        <v>0</v>
      </c>
      <c r="BH285" s="16">
        <f t="shared" si="319"/>
        <v>4776987</v>
      </c>
      <c r="BI285" s="16">
        <f t="shared" si="319"/>
        <v>0</v>
      </c>
      <c r="BJ285" s="16">
        <f t="shared" si="319"/>
        <v>0</v>
      </c>
      <c r="BK285" s="16">
        <f t="shared" si="319"/>
        <v>0</v>
      </c>
      <c r="BL285" s="16">
        <f t="shared" si="319"/>
        <v>0</v>
      </c>
      <c r="BM285" s="16">
        <f t="shared" si="319"/>
        <v>0</v>
      </c>
      <c r="BN285" s="16">
        <f t="shared" si="319"/>
        <v>0</v>
      </c>
      <c r="BO285" s="16">
        <f t="shared" si="319"/>
        <v>0</v>
      </c>
      <c r="BP285" s="16">
        <f t="shared" si="319"/>
        <v>0</v>
      </c>
      <c r="BQ285" s="16">
        <f t="shared" ref="BQ285:CW285" si="320">SUM(BQ286)</f>
        <v>0</v>
      </c>
      <c r="BR285" s="16">
        <f t="shared" si="320"/>
        <v>0</v>
      </c>
      <c r="BS285" s="16">
        <f t="shared" si="320"/>
        <v>0</v>
      </c>
      <c r="BT285" s="16">
        <f t="shared" si="320"/>
        <v>0</v>
      </c>
      <c r="BU285" s="16">
        <f t="shared" si="320"/>
        <v>0</v>
      </c>
      <c r="BV285" s="16">
        <f t="shared" si="320"/>
        <v>0</v>
      </c>
      <c r="BW285" s="16">
        <f t="shared" si="320"/>
        <v>0</v>
      </c>
      <c r="BX285" s="16">
        <f t="shared" si="320"/>
        <v>0</v>
      </c>
      <c r="BY285" s="16">
        <f t="shared" si="320"/>
        <v>0</v>
      </c>
      <c r="BZ285" s="16">
        <f t="shared" si="320"/>
        <v>0</v>
      </c>
      <c r="CA285" s="16">
        <f t="shared" si="320"/>
        <v>0</v>
      </c>
      <c r="CB285" s="16">
        <f t="shared" si="320"/>
        <v>0</v>
      </c>
      <c r="CC285" s="16">
        <f t="shared" si="320"/>
        <v>0</v>
      </c>
      <c r="CD285" s="16">
        <f t="shared" si="320"/>
        <v>0</v>
      </c>
      <c r="CE285" s="16">
        <f t="shared" si="320"/>
        <v>0</v>
      </c>
      <c r="CF285" s="16">
        <f t="shared" si="320"/>
        <v>0</v>
      </c>
      <c r="CG285" s="16">
        <f t="shared" si="320"/>
        <v>0</v>
      </c>
      <c r="CH285" s="16">
        <f t="shared" si="320"/>
        <v>0</v>
      </c>
      <c r="CI285" s="16">
        <f t="shared" si="320"/>
        <v>0</v>
      </c>
      <c r="CJ285" s="16">
        <f t="shared" si="320"/>
        <v>0</v>
      </c>
      <c r="CK285" s="16">
        <f t="shared" si="320"/>
        <v>0</v>
      </c>
      <c r="CL285" s="16">
        <f t="shared" si="320"/>
        <v>0</v>
      </c>
      <c r="CM285" s="16">
        <f t="shared" si="320"/>
        <v>0</v>
      </c>
      <c r="CN285" s="16">
        <f t="shared" si="320"/>
        <v>0</v>
      </c>
      <c r="CO285" s="16">
        <f t="shared" si="320"/>
        <v>0</v>
      </c>
      <c r="CP285" s="16">
        <f t="shared" si="320"/>
        <v>0</v>
      </c>
      <c r="CQ285" s="16">
        <f t="shared" si="320"/>
        <v>0</v>
      </c>
      <c r="CR285" s="16">
        <f t="shared" si="320"/>
        <v>0</v>
      </c>
      <c r="CS285" s="16">
        <f t="shared" si="320"/>
        <v>0</v>
      </c>
      <c r="CT285" s="16">
        <f t="shared" si="320"/>
        <v>0</v>
      </c>
      <c r="CU285" s="16">
        <f t="shared" si="320"/>
        <v>0</v>
      </c>
      <c r="CV285" s="16">
        <f t="shared" si="320"/>
        <v>0</v>
      </c>
      <c r="CW285" s="17">
        <f t="shared" si="320"/>
        <v>0</v>
      </c>
      <c r="CX285" s="40"/>
    </row>
    <row r="286" spans="1:102" ht="15.75" hidden="1" x14ac:dyDescent="0.25">
      <c r="A286" s="13" t="s">
        <v>1</v>
      </c>
      <c r="B286" s="14" t="s">
        <v>1</v>
      </c>
      <c r="C286" s="14" t="s">
        <v>307</v>
      </c>
      <c r="D286" s="30" t="s">
        <v>306</v>
      </c>
      <c r="E286" s="15">
        <f>SUM(F286+BY286+CT286)</f>
        <v>4776987</v>
      </c>
      <c r="F286" s="16">
        <f>SUM(G286+BA286)</f>
        <v>4776987</v>
      </c>
      <c r="G286" s="16">
        <f>SUM(H286+I286+J286+Q286+T286+U286+V286+AE286)</f>
        <v>0</v>
      </c>
      <c r="H286" s="16">
        <v>0</v>
      </c>
      <c r="I286" s="16">
        <v>0</v>
      </c>
      <c r="J286" s="16">
        <f t="shared" ref="J286:J298" si="321">SUM(K286:P286)</f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f t="shared" ref="Q286:Q298" si="322">SUM(R286:S286)</f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f>SUM(W286:AD286)</f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f>SUM(AF286:AZ286)</f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16">
        <v>0</v>
      </c>
      <c r="AR286" s="16">
        <v>0</v>
      </c>
      <c r="AS286" s="16">
        <v>0</v>
      </c>
      <c r="AT286" s="16">
        <v>0</v>
      </c>
      <c r="AU286" s="16">
        <v>0</v>
      </c>
      <c r="AV286" s="16">
        <v>0</v>
      </c>
      <c r="AW286" s="16">
        <v>0</v>
      </c>
      <c r="AX286" s="16">
        <v>0</v>
      </c>
      <c r="AY286" s="16">
        <v>0</v>
      </c>
      <c r="AZ286" s="16">
        <v>0</v>
      </c>
      <c r="BA286" s="16">
        <f>SUM(BB286+BF286+BI286+BK286+BM286)</f>
        <v>4776987</v>
      </c>
      <c r="BB286" s="16">
        <f>SUM(BC286:BE286)</f>
        <v>0</v>
      </c>
      <c r="BC286" s="16">
        <v>0</v>
      </c>
      <c r="BD286" s="16">
        <v>0</v>
      </c>
      <c r="BE286" s="16">
        <v>0</v>
      </c>
      <c r="BF286" s="16">
        <f t="shared" ref="BF286:BF298" si="323">SUM(BG286:BH286)</f>
        <v>4776987</v>
      </c>
      <c r="BG286" s="16">
        <v>0</v>
      </c>
      <c r="BH286" s="16">
        <f>6578160+549620-2350793</f>
        <v>4776987</v>
      </c>
      <c r="BI286" s="16">
        <v>0</v>
      </c>
      <c r="BJ286" s="16">
        <v>0</v>
      </c>
      <c r="BK286" s="16">
        <f t="shared" ref="BK286:BK298" si="324">SUM(BL286)</f>
        <v>0</v>
      </c>
      <c r="BL286" s="16">
        <v>0</v>
      </c>
      <c r="BM286" s="16">
        <f t="shared" ref="BM286:BM298" si="325">SUM(BN286:BX286)</f>
        <v>0</v>
      </c>
      <c r="BN286" s="16">
        <v>0</v>
      </c>
      <c r="BO286" s="16">
        <v>0</v>
      </c>
      <c r="BP286" s="16">
        <v>0</v>
      </c>
      <c r="BQ286" s="16">
        <v>0</v>
      </c>
      <c r="BR286" s="16">
        <v>0</v>
      </c>
      <c r="BS286" s="16">
        <v>0</v>
      </c>
      <c r="BT286" s="16">
        <v>0</v>
      </c>
      <c r="BU286" s="16">
        <v>0</v>
      </c>
      <c r="BV286" s="16">
        <v>0</v>
      </c>
      <c r="BW286" s="16">
        <v>0</v>
      </c>
      <c r="BX286" s="16">
        <v>0</v>
      </c>
      <c r="BY286" s="16">
        <f>SUM(BZ286+CS286)</f>
        <v>0</v>
      </c>
      <c r="BZ286" s="16">
        <f>SUM(CA286+CD286+CK286)</f>
        <v>0</v>
      </c>
      <c r="CA286" s="16">
        <f t="shared" ref="CA286:CA298" si="326">SUM(CB286:CC286)</f>
        <v>0</v>
      </c>
      <c r="CB286" s="16">
        <v>0</v>
      </c>
      <c r="CC286" s="16">
        <v>0</v>
      </c>
      <c r="CD286" s="16">
        <f t="shared" ref="CD286:CD298" si="327">SUM(CE286:CI286)</f>
        <v>0</v>
      </c>
      <c r="CE286" s="16">
        <v>0</v>
      </c>
      <c r="CF286" s="16">
        <v>0</v>
      </c>
      <c r="CG286" s="16">
        <v>0</v>
      </c>
      <c r="CH286" s="16">
        <v>0</v>
      </c>
      <c r="CI286" s="16">
        <v>0</v>
      </c>
      <c r="CJ286" s="16">
        <v>0</v>
      </c>
      <c r="CK286" s="16">
        <f t="shared" ref="CK286:CK298" si="328">SUM(CL286:CP286)</f>
        <v>0</v>
      </c>
      <c r="CL286" s="16">
        <v>0</v>
      </c>
      <c r="CM286" s="16">
        <v>0</v>
      </c>
      <c r="CN286" s="16">
        <v>0</v>
      </c>
      <c r="CO286" s="16">
        <v>0</v>
      </c>
      <c r="CP286" s="16">
        <v>0</v>
      </c>
      <c r="CQ286" s="16">
        <v>0</v>
      </c>
      <c r="CR286" s="16">
        <v>0</v>
      </c>
      <c r="CS286" s="16">
        <v>0</v>
      </c>
      <c r="CT286" s="16">
        <f t="shared" ref="CT286:CT298" si="329">SUM(CU286)</f>
        <v>0</v>
      </c>
      <c r="CU286" s="16">
        <f t="shared" ref="CU286:CU298" si="330">SUM(CV286:CW286)</f>
        <v>0</v>
      </c>
      <c r="CV286" s="16">
        <v>0</v>
      </c>
      <c r="CW286" s="17">
        <v>0</v>
      </c>
      <c r="CX286" s="40"/>
    </row>
    <row r="287" spans="1:102" ht="31.5" hidden="1" x14ac:dyDescent="0.25">
      <c r="A287" s="13" t="s">
        <v>305</v>
      </c>
      <c r="B287" s="14" t="s">
        <v>47</v>
      </c>
      <c r="C287" s="14" t="s">
        <v>1</v>
      </c>
      <c r="D287" s="30" t="s">
        <v>308</v>
      </c>
      <c r="E287" s="15">
        <f t="shared" ref="E287:AJ287" si="331">SUM(E288)</f>
        <v>64927109</v>
      </c>
      <c r="F287" s="16">
        <f t="shared" si="331"/>
        <v>61523020</v>
      </c>
      <c r="G287" s="16">
        <f t="shared" si="331"/>
        <v>51709739</v>
      </c>
      <c r="H287" s="16">
        <f t="shared" si="331"/>
        <v>30446811</v>
      </c>
      <c r="I287" s="16">
        <f t="shared" si="331"/>
        <v>754957</v>
      </c>
      <c r="J287" s="16">
        <f t="shared" si="331"/>
        <v>3871109</v>
      </c>
      <c r="K287" s="16">
        <f t="shared" si="331"/>
        <v>137984</v>
      </c>
      <c r="L287" s="16">
        <f t="shared" si="331"/>
        <v>1083970</v>
      </c>
      <c r="M287" s="16">
        <f t="shared" si="331"/>
        <v>0</v>
      </c>
      <c r="N287" s="16">
        <f t="shared" si="331"/>
        <v>16000</v>
      </c>
      <c r="O287" s="16">
        <f t="shared" si="331"/>
        <v>1760695</v>
      </c>
      <c r="P287" s="16">
        <f t="shared" si="331"/>
        <v>872460</v>
      </c>
      <c r="Q287" s="16">
        <f t="shared" si="331"/>
        <v>70827</v>
      </c>
      <c r="R287" s="16">
        <f t="shared" si="331"/>
        <v>14057</v>
      </c>
      <c r="S287" s="16">
        <f t="shared" si="331"/>
        <v>56770</v>
      </c>
      <c r="T287" s="16">
        <f t="shared" si="331"/>
        <v>8000</v>
      </c>
      <c r="U287" s="16">
        <f t="shared" si="331"/>
        <v>389546</v>
      </c>
      <c r="V287" s="16">
        <f t="shared" si="331"/>
        <v>1129867</v>
      </c>
      <c r="W287" s="16">
        <f t="shared" si="331"/>
        <v>65088</v>
      </c>
      <c r="X287" s="16">
        <f t="shared" si="331"/>
        <v>3921</v>
      </c>
      <c r="Y287" s="16">
        <f t="shared" si="331"/>
        <v>883977</v>
      </c>
      <c r="Z287" s="16">
        <f t="shared" si="331"/>
        <v>58735</v>
      </c>
      <c r="AA287" s="16">
        <f t="shared" si="331"/>
        <v>62560</v>
      </c>
      <c r="AB287" s="16">
        <f t="shared" si="331"/>
        <v>0</v>
      </c>
      <c r="AC287" s="16">
        <f t="shared" si="331"/>
        <v>0</v>
      </c>
      <c r="AD287" s="16">
        <f t="shared" si="331"/>
        <v>55586</v>
      </c>
      <c r="AE287" s="16">
        <f t="shared" si="331"/>
        <v>15038622</v>
      </c>
      <c r="AF287" s="16">
        <f t="shared" si="331"/>
        <v>0</v>
      </c>
      <c r="AG287" s="16">
        <f t="shared" si="331"/>
        <v>138947</v>
      </c>
      <c r="AH287" s="16">
        <f t="shared" si="331"/>
        <v>136162</v>
      </c>
      <c r="AI287" s="16">
        <f t="shared" si="331"/>
        <v>0</v>
      </c>
      <c r="AJ287" s="16">
        <f t="shared" si="331"/>
        <v>6320</v>
      </c>
      <c r="AK287" s="16">
        <f t="shared" ref="AK287:CV287" si="332">SUM(AK288)</f>
        <v>29485</v>
      </c>
      <c r="AL287" s="16">
        <f t="shared" si="332"/>
        <v>1173</v>
      </c>
      <c r="AM287" s="16">
        <f t="shared" si="332"/>
        <v>27627</v>
      </c>
      <c r="AN287" s="16">
        <f t="shared" si="332"/>
        <v>14550</v>
      </c>
      <c r="AO287" s="16">
        <f t="shared" si="332"/>
        <v>0</v>
      </c>
      <c r="AP287" s="16">
        <f t="shared" si="332"/>
        <v>0</v>
      </c>
      <c r="AQ287" s="16">
        <f t="shared" si="332"/>
        <v>0</v>
      </c>
      <c r="AR287" s="16">
        <f t="shared" si="332"/>
        <v>0</v>
      </c>
      <c r="AS287" s="16">
        <f t="shared" si="332"/>
        <v>0</v>
      </c>
      <c r="AT287" s="16">
        <f t="shared" si="332"/>
        <v>0</v>
      </c>
      <c r="AU287" s="16">
        <f t="shared" si="332"/>
        <v>0</v>
      </c>
      <c r="AV287" s="16">
        <f t="shared" si="332"/>
        <v>0</v>
      </c>
      <c r="AW287" s="16">
        <f t="shared" si="332"/>
        <v>9231087</v>
      </c>
      <c r="AX287" s="16">
        <f t="shared" si="332"/>
        <v>0</v>
      </c>
      <c r="AY287" s="16">
        <f t="shared" si="332"/>
        <v>268851</v>
      </c>
      <c r="AZ287" s="16">
        <f t="shared" si="332"/>
        <v>5184420</v>
      </c>
      <c r="BA287" s="16">
        <f t="shared" si="332"/>
        <v>9813281</v>
      </c>
      <c r="BB287" s="16">
        <f t="shared" si="332"/>
        <v>0</v>
      </c>
      <c r="BC287" s="16">
        <f t="shared" si="332"/>
        <v>0</v>
      </c>
      <c r="BD287" s="16">
        <f t="shared" si="332"/>
        <v>0</v>
      </c>
      <c r="BE287" s="16">
        <f t="shared" si="332"/>
        <v>0</v>
      </c>
      <c r="BF287" s="16">
        <f t="shared" si="332"/>
        <v>0</v>
      </c>
      <c r="BG287" s="16">
        <f t="shared" si="332"/>
        <v>0</v>
      </c>
      <c r="BH287" s="16">
        <f t="shared" si="332"/>
        <v>0</v>
      </c>
      <c r="BI287" s="16">
        <f t="shared" si="332"/>
        <v>0</v>
      </c>
      <c r="BJ287" s="16">
        <f t="shared" si="332"/>
        <v>0</v>
      </c>
      <c r="BK287" s="16">
        <f t="shared" si="332"/>
        <v>0</v>
      </c>
      <c r="BL287" s="16">
        <f t="shared" si="332"/>
        <v>0</v>
      </c>
      <c r="BM287" s="16">
        <f t="shared" si="332"/>
        <v>9813281</v>
      </c>
      <c r="BN287" s="16">
        <f t="shared" si="332"/>
        <v>0</v>
      </c>
      <c r="BO287" s="16">
        <f t="shared" si="332"/>
        <v>0</v>
      </c>
      <c r="BP287" s="16">
        <f t="shared" si="332"/>
        <v>0</v>
      </c>
      <c r="BQ287" s="16">
        <f t="shared" si="332"/>
        <v>0</v>
      </c>
      <c r="BR287" s="16">
        <f t="shared" si="332"/>
        <v>0</v>
      </c>
      <c r="BS287" s="16">
        <f t="shared" si="332"/>
        <v>0</v>
      </c>
      <c r="BT287" s="16">
        <f t="shared" si="332"/>
        <v>0</v>
      </c>
      <c r="BU287" s="16">
        <f t="shared" si="332"/>
        <v>0</v>
      </c>
      <c r="BV287" s="16">
        <f t="shared" si="332"/>
        <v>0</v>
      </c>
      <c r="BW287" s="16">
        <f t="shared" si="332"/>
        <v>915294</v>
      </c>
      <c r="BX287" s="16">
        <f t="shared" si="332"/>
        <v>8897987</v>
      </c>
      <c r="BY287" s="16">
        <f t="shared" si="332"/>
        <v>3404089</v>
      </c>
      <c r="BZ287" s="16">
        <f t="shared" si="332"/>
        <v>3404089</v>
      </c>
      <c r="CA287" s="16">
        <f t="shared" si="332"/>
        <v>2354041</v>
      </c>
      <c r="CB287" s="16">
        <f t="shared" si="332"/>
        <v>0</v>
      </c>
      <c r="CC287" s="16">
        <f t="shared" si="332"/>
        <v>2354041</v>
      </c>
      <c r="CD287" s="16">
        <f t="shared" si="332"/>
        <v>569664</v>
      </c>
      <c r="CE287" s="16">
        <f t="shared" si="332"/>
        <v>0</v>
      </c>
      <c r="CF287" s="16">
        <f t="shared" si="332"/>
        <v>0</v>
      </c>
      <c r="CG287" s="16">
        <f t="shared" si="332"/>
        <v>0</v>
      </c>
      <c r="CH287" s="16">
        <f t="shared" si="332"/>
        <v>329397</v>
      </c>
      <c r="CI287" s="16">
        <f t="shared" si="332"/>
        <v>0</v>
      </c>
      <c r="CJ287" s="16">
        <f t="shared" si="332"/>
        <v>240267</v>
      </c>
      <c r="CK287" s="16">
        <f t="shared" si="332"/>
        <v>480384</v>
      </c>
      <c r="CL287" s="16">
        <f t="shared" si="332"/>
        <v>0</v>
      </c>
      <c r="CM287" s="16">
        <f t="shared" si="332"/>
        <v>0</v>
      </c>
      <c r="CN287" s="16">
        <f t="shared" si="332"/>
        <v>250000</v>
      </c>
      <c r="CO287" s="16">
        <f t="shared" si="332"/>
        <v>230384</v>
      </c>
      <c r="CP287" s="16">
        <f t="shared" si="332"/>
        <v>0</v>
      </c>
      <c r="CQ287" s="16">
        <f t="shared" si="332"/>
        <v>0</v>
      </c>
      <c r="CR287" s="16">
        <f t="shared" si="332"/>
        <v>0</v>
      </c>
      <c r="CS287" s="16">
        <f t="shared" si="332"/>
        <v>0</v>
      </c>
      <c r="CT287" s="16">
        <f t="shared" si="332"/>
        <v>0</v>
      </c>
      <c r="CU287" s="16">
        <f t="shared" si="332"/>
        <v>0</v>
      </c>
      <c r="CV287" s="16">
        <f t="shared" si="332"/>
        <v>0</v>
      </c>
      <c r="CW287" s="17">
        <f t="shared" ref="CW287" si="333">SUM(CW288)</f>
        <v>0</v>
      </c>
      <c r="CX287" s="40"/>
    </row>
    <row r="288" spans="1:102" ht="31.5" hidden="1" x14ac:dyDescent="0.25">
      <c r="A288" s="13" t="s">
        <v>1</v>
      </c>
      <c r="B288" s="14" t="s">
        <v>1</v>
      </c>
      <c r="C288" s="14" t="s">
        <v>211</v>
      </c>
      <c r="D288" s="30" t="s">
        <v>308</v>
      </c>
      <c r="E288" s="15">
        <f>SUM(F288+BY288+CT288)</f>
        <v>64927109</v>
      </c>
      <c r="F288" s="16">
        <f>SUM(G288+BA288)</f>
        <v>61523020</v>
      </c>
      <c r="G288" s="16">
        <f>SUM(H288+I288+J288+Q288+T288+U288+V288+AE288)</f>
        <v>51709739</v>
      </c>
      <c r="H288" s="16">
        <f>32048779-1601968</f>
        <v>30446811</v>
      </c>
      <c r="I288" s="16">
        <f>1218144-463187</f>
        <v>754957</v>
      </c>
      <c r="J288" s="16">
        <f t="shared" si="321"/>
        <v>3871109</v>
      </c>
      <c r="K288" s="16">
        <f>77600+60384</f>
        <v>137984</v>
      </c>
      <c r="L288" s="16">
        <f>1720316-636346</f>
        <v>1083970</v>
      </c>
      <c r="M288" s="16">
        <v>0</v>
      </c>
      <c r="N288" s="16">
        <f>38102-22102</f>
        <v>16000</v>
      </c>
      <c r="O288" s="16">
        <f>2357171-596476</f>
        <v>1760695</v>
      </c>
      <c r="P288" s="16">
        <f>1189729-317269</f>
        <v>872460</v>
      </c>
      <c r="Q288" s="16">
        <f t="shared" si="322"/>
        <v>70827</v>
      </c>
      <c r="R288" s="16">
        <f>5073+8984</f>
        <v>14057</v>
      </c>
      <c r="S288" s="16">
        <f>248321-191551</f>
        <v>56770</v>
      </c>
      <c r="T288" s="16">
        <f>12820-4820</f>
        <v>8000</v>
      </c>
      <c r="U288" s="16">
        <f>475143-85597</f>
        <v>389546</v>
      </c>
      <c r="V288" s="16">
        <f>SUM(W288:AD288)</f>
        <v>1129867</v>
      </c>
      <c r="W288" s="16">
        <f>94170-29082</f>
        <v>65088</v>
      </c>
      <c r="X288" s="16">
        <f>3876+45</f>
        <v>3921</v>
      </c>
      <c r="Y288" s="16">
        <f>834175+49802</f>
        <v>883977</v>
      </c>
      <c r="Z288" s="16">
        <f>50032+8703</f>
        <v>58735</v>
      </c>
      <c r="AA288" s="16">
        <f>86169-23609</f>
        <v>62560</v>
      </c>
      <c r="AB288" s="16">
        <v>0</v>
      </c>
      <c r="AC288" s="16">
        <v>0</v>
      </c>
      <c r="AD288" s="16">
        <f>53085+2501</f>
        <v>55586</v>
      </c>
      <c r="AE288" s="16">
        <f>SUM(AF288:AZ288)</f>
        <v>15038622</v>
      </c>
      <c r="AF288" s="16">
        <v>0</v>
      </c>
      <c r="AG288" s="16">
        <f>181187-61051+18811</f>
        <v>138947</v>
      </c>
      <c r="AH288" s="16">
        <f>414761-278599</f>
        <v>136162</v>
      </c>
      <c r="AI288" s="16">
        <v>0</v>
      </c>
      <c r="AJ288" s="16">
        <f>22086-15766</f>
        <v>6320</v>
      </c>
      <c r="AK288" s="16">
        <f>107095-77610</f>
        <v>29485</v>
      </c>
      <c r="AL288" s="16">
        <f>320488-319315</f>
        <v>1173</v>
      </c>
      <c r="AM288" s="16">
        <f>28450+4-827</f>
        <v>27627</v>
      </c>
      <c r="AN288" s="16">
        <v>14550</v>
      </c>
      <c r="AO288" s="16">
        <v>0</v>
      </c>
      <c r="AP288" s="16">
        <v>0</v>
      </c>
      <c r="AQ288" s="16">
        <v>0</v>
      </c>
      <c r="AR288" s="16">
        <v>0</v>
      </c>
      <c r="AS288" s="16">
        <v>0</v>
      </c>
      <c r="AT288" s="16">
        <v>0</v>
      </c>
      <c r="AU288" s="16">
        <v>0</v>
      </c>
      <c r="AV288" s="16">
        <v>0</v>
      </c>
      <c r="AW288" s="16">
        <f>0+9231087</f>
        <v>9231087</v>
      </c>
      <c r="AX288" s="16">
        <v>0</v>
      </c>
      <c r="AY288" s="16">
        <f>0+268851</f>
        <v>268851</v>
      </c>
      <c r="AZ288" s="16">
        <f>6693110-4-1508686</f>
        <v>5184420</v>
      </c>
      <c r="BA288" s="16">
        <f>SUM(BB288+BF288+BI288+BK288+BM288)</f>
        <v>9813281</v>
      </c>
      <c r="BB288" s="16">
        <f>SUM(BC288:BE288)</f>
        <v>0</v>
      </c>
      <c r="BC288" s="16">
        <v>0</v>
      </c>
      <c r="BD288" s="16">
        <v>0</v>
      </c>
      <c r="BE288" s="16">
        <v>0</v>
      </c>
      <c r="BF288" s="16">
        <f t="shared" si="323"/>
        <v>0</v>
      </c>
      <c r="BG288" s="16">
        <v>0</v>
      </c>
      <c r="BH288" s="16">
        <v>0</v>
      </c>
      <c r="BI288" s="16">
        <v>0</v>
      </c>
      <c r="BJ288" s="16">
        <v>0</v>
      </c>
      <c r="BK288" s="16">
        <f t="shared" si="324"/>
        <v>0</v>
      </c>
      <c r="BL288" s="16">
        <v>0</v>
      </c>
      <c r="BM288" s="16">
        <f t="shared" si="325"/>
        <v>9813281</v>
      </c>
      <c r="BN288" s="16">
        <v>0</v>
      </c>
      <c r="BO288" s="16">
        <v>0</v>
      </c>
      <c r="BP288" s="16">
        <v>0</v>
      </c>
      <c r="BQ288" s="16">
        <v>0</v>
      </c>
      <c r="BR288" s="16">
        <v>0</v>
      </c>
      <c r="BS288" s="16">
        <v>0</v>
      </c>
      <c r="BT288" s="16">
        <v>0</v>
      </c>
      <c r="BU288" s="16">
        <v>0</v>
      </c>
      <c r="BV288" s="16">
        <v>0</v>
      </c>
      <c r="BW288" s="16">
        <f>1060010-144716</f>
        <v>915294</v>
      </c>
      <c r="BX288" s="16">
        <f>18579386-9681399</f>
        <v>8897987</v>
      </c>
      <c r="BY288" s="16">
        <f>SUM(BZ288+CS288)</f>
        <v>3404089</v>
      </c>
      <c r="BZ288" s="16">
        <f>SUM(CA288+CD288+CK288)</f>
        <v>3404089</v>
      </c>
      <c r="CA288" s="16">
        <f t="shared" si="326"/>
        <v>2354041</v>
      </c>
      <c r="CB288" s="16">
        <v>0</v>
      </c>
      <c r="CC288" s="16">
        <f>3106000-751959</f>
        <v>2354041</v>
      </c>
      <c r="CD288" s="16">
        <f>SUM(CE288:CJ288)</f>
        <v>569664</v>
      </c>
      <c r="CE288" s="16">
        <v>0</v>
      </c>
      <c r="CF288" s="16">
        <v>0</v>
      </c>
      <c r="CG288" s="16">
        <v>0</v>
      </c>
      <c r="CH288" s="16">
        <f>656654-327257</f>
        <v>329397</v>
      </c>
      <c r="CI288" s="16">
        <v>0</v>
      </c>
      <c r="CJ288" s="16">
        <f>0+240267</f>
        <v>240267</v>
      </c>
      <c r="CK288" s="16">
        <f t="shared" si="328"/>
        <v>480384</v>
      </c>
      <c r="CL288" s="16">
        <v>0</v>
      </c>
      <c r="CM288" s="16">
        <v>0</v>
      </c>
      <c r="CN288" s="16">
        <f>0+250000</f>
        <v>250000</v>
      </c>
      <c r="CO288" s="16">
        <f>0+230384</f>
        <v>230384</v>
      </c>
      <c r="CP288" s="16">
        <v>0</v>
      </c>
      <c r="CQ288" s="16">
        <v>0</v>
      </c>
      <c r="CR288" s="16">
        <v>0</v>
      </c>
      <c r="CS288" s="16">
        <v>0</v>
      </c>
      <c r="CT288" s="16">
        <f t="shared" si="329"/>
        <v>0</v>
      </c>
      <c r="CU288" s="16">
        <f t="shared" si="330"/>
        <v>0</v>
      </c>
      <c r="CV288" s="16">
        <v>0</v>
      </c>
      <c r="CW288" s="17">
        <v>0</v>
      </c>
      <c r="CX288" s="40"/>
    </row>
    <row r="289" spans="1:102" ht="31.5" hidden="1" x14ac:dyDescent="0.25">
      <c r="A289" s="13" t="s">
        <v>305</v>
      </c>
      <c r="B289" s="14" t="s">
        <v>117</v>
      </c>
      <c r="C289" s="14" t="s">
        <v>1</v>
      </c>
      <c r="D289" s="30" t="s">
        <v>309</v>
      </c>
      <c r="E289" s="15">
        <f t="shared" ref="E289:AJ289" si="334">SUM(E290)</f>
        <v>31675595</v>
      </c>
      <c r="F289" s="16">
        <f t="shared" si="334"/>
        <v>31675595</v>
      </c>
      <c r="G289" s="16">
        <f t="shared" si="334"/>
        <v>0</v>
      </c>
      <c r="H289" s="16">
        <f t="shared" si="334"/>
        <v>0</v>
      </c>
      <c r="I289" s="16">
        <f t="shared" si="334"/>
        <v>0</v>
      </c>
      <c r="J289" s="16">
        <f t="shared" si="334"/>
        <v>0</v>
      </c>
      <c r="K289" s="16">
        <f t="shared" si="334"/>
        <v>0</v>
      </c>
      <c r="L289" s="16">
        <f t="shared" si="334"/>
        <v>0</v>
      </c>
      <c r="M289" s="16">
        <f t="shared" si="334"/>
        <v>0</v>
      </c>
      <c r="N289" s="16">
        <f t="shared" si="334"/>
        <v>0</v>
      </c>
      <c r="O289" s="16">
        <f t="shared" si="334"/>
        <v>0</v>
      </c>
      <c r="P289" s="16">
        <f t="shared" si="334"/>
        <v>0</v>
      </c>
      <c r="Q289" s="16">
        <f t="shared" si="334"/>
        <v>0</v>
      </c>
      <c r="R289" s="16">
        <f t="shared" si="334"/>
        <v>0</v>
      </c>
      <c r="S289" s="16">
        <f t="shared" si="334"/>
        <v>0</v>
      </c>
      <c r="T289" s="16">
        <f t="shared" si="334"/>
        <v>0</v>
      </c>
      <c r="U289" s="16">
        <f t="shared" si="334"/>
        <v>0</v>
      </c>
      <c r="V289" s="16">
        <f t="shared" si="334"/>
        <v>0</v>
      </c>
      <c r="W289" s="16">
        <f t="shared" si="334"/>
        <v>0</v>
      </c>
      <c r="X289" s="16">
        <f t="shared" si="334"/>
        <v>0</v>
      </c>
      <c r="Y289" s="16">
        <f t="shared" si="334"/>
        <v>0</v>
      </c>
      <c r="Z289" s="16">
        <f t="shared" si="334"/>
        <v>0</v>
      </c>
      <c r="AA289" s="16">
        <f t="shared" si="334"/>
        <v>0</v>
      </c>
      <c r="AB289" s="16">
        <f t="shared" si="334"/>
        <v>0</v>
      </c>
      <c r="AC289" s="16">
        <f t="shared" si="334"/>
        <v>0</v>
      </c>
      <c r="AD289" s="16">
        <f t="shared" si="334"/>
        <v>0</v>
      </c>
      <c r="AE289" s="16">
        <f t="shared" si="334"/>
        <v>0</v>
      </c>
      <c r="AF289" s="16">
        <f t="shared" si="334"/>
        <v>0</v>
      </c>
      <c r="AG289" s="16">
        <f t="shared" si="334"/>
        <v>0</v>
      </c>
      <c r="AH289" s="16">
        <f t="shared" si="334"/>
        <v>0</v>
      </c>
      <c r="AI289" s="16">
        <f t="shared" si="334"/>
        <v>0</v>
      </c>
      <c r="AJ289" s="16">
        <f t="shared" si="334"/>
        <v>0</v>
      </c>
      <c r="AK289" s="16">
        <f t="shared" ref="AK289:CV289" si="335">SUM(AK290)</f>
        <v>0</v>
      </c>
      <c r="AL289" s="16">
        <f t="shared" si="335"/>
        <v>0</v>
      </c>
      <c r="AM289" s="16">
        <f t="shared" si="335"/>
        <v>0</v>
      </c>
      <c r="AN289" s="16">
        <f t="shared" si="335"/>
        <v>0</v>
      </c>
      <c r="AO289" s="16">
        <f t="shared" si="335"/>
        <v>0</v>
      </c>
      <c r="AP289" s="16">
        <f t="shared" si="335"/>
        <v>0</v>
      </c>
      <c r="AQ289" s="16">
        <f t="shared" si="335"/>
        <v>0</v>
      </c>
      <c r="AR289" s="16">
        <f t="shared" si="335"/>
        <v>0</v>
      </c>
      <c r="AS289" s="16">
        <f t="shared" si="335"/>
        <v>0</v>
      </c>
      <c r="AT289" s="16">
        <f t="shared" si="335"/>
        <v>0</v>
      </c>
      <c r="AU289" s="16">
        <f t="shared" si="335"/>
        <v>0</v>
      </c>
      <c r="AV289" s="16">
        <f t="shared" si="335"/>
        <v>0</v>
      </c>
      <c r="AW289" s="16">
        <f t="shared" si="335"/>
        <v>0</v>
      </c>
      <c r="AX289" s="16">
        <f t="shared" si="335"/>
        <v>0</v>
      </c>
      <c r="AY289" s="16">
        <f t="shared" si="335"/>
        <v>0</v>
      </c>
      <c r="AZ289" s="16">
        <f t="shared" si="335"/>
        <v>0</v>
      </c>
      <c r="BA289" s="16">
        <f t="shared" si="335"/>
        <v>31675595</v>
      </c>
      <c r="BB289" s="16">
        <f t="shared" si="335"/>
        <v>0</v>
      </c>
      <c r="BC289" s="16">
        <f t="shared" si="335"/>
        <v>0</v>
      </c>
      <c r="BD289" s="16">
        <f t="shared" si="335"/>
        <v>0</v>
      </c>
      <c r="BE289" s="16">
        <f t="shared" si="335"/>
        <v>0</v>
      </c>
      <c r="BF289" s="16">
        <f t="shared" si="335"/>
        <v>0</v>
      </c>
      <c r="BG289" s="16">
        <f t="shared" si="335"/>
        <v>0</v>
      </c>
      <c r="BH289" s="16">
        <f t="shared" si="335"/>
        <v>0</v>
      </c>
      <c r="BI289" s="16">
        <f t="shared" si="335"/>
        <v>0</v>
      </c>
      <c r="BJ289" s="16">
        <f t="shared" si="335"/>
        <v>0</v>
      </c>
      <c r="BK289" s="16">
        <f t="shared" si="335"/>
        <v>0</v>
      </c>
      <c r="BL289" s="16">
        <f t="shared" si="335"/>
        <v>0</v>
      </c>
      <c r="BM289" s="16">
        <f t="shared" si="335"/>
        <v>31675595</v>
      </c>
      <c r="BN289" s="16">
        <f t="shared" si="335"/>
        <v>0</v>
      </c>
      <c r="BO289" s="16">
        <f t="shared" si="335"/>
        <v>0</v>
      </c>
      <c r="BP289" s="16">
        <f t="shared" si="335"/>
        <v>0</v>
      </c>
      <c r="BQ289" s="16">
        <f t="shared" si="335"/>
        <v>0</v>
      </c>
      <c r="BR289" s="16">
        <f t="shared" si="335"/>
        <v>0</v>
      </c>
      <c r="BS289" s="16">
        <f t="shared" si="335"/>
        <v>0</v>
      </c>
      <c r="BT289" s="16">
        <f t="shared" si="335"/>
        <v>0</v>
      </c>
      <c r="BU289" s="16">
        <f t="shared" si="335"/>
        <v>0</v>
      </c>
      <c r="BV289" s="16">
        <f t="shared" si="335"/>
        <v>0</v>
      </c>
      <c r="BW289" s="16">
        <f t="shared" si="335"/>
        <v>0</v>
      </c>
      <c r="BX289" s="16">
        <f t="shared" si="335"/>
        <v>31675595</v>
      </c>
      <c r="BY289" s="16">
        <f t="shared" si="335"/>
        <v>0</v>
      </c>
      <c r="BZ289" s="16">
        <f t="shared" si="335"/>
        <v>0</v>
      </c>
      <c r="CA289" s="16">
        <f t="shared" si="335"/>
        <v>0</v>
      </c>
      <c r="CB289" s="16">
        <f t="shared" si="335"/>
        <v>0</v>
      </c>
      <c r="CC289" s="16">
        <f t="shared" si="335"/>
        <v>0</v>
      </c>
      <c r="CD289" s="16">
        <f t="shared" si="335"/>
        <v>0</v>
      </c>
      <c r="CE289" s="16">
        <f t="shared" si="335"/>
        <v>0</v>
      </c>
      <c r="CF289" s="16">
        <f t="shared" si="335"/>
        <v>0</v>
      </c>
      <c r="CG289" s="16">
        <f t="shared" si="335"/>
        <v>0</v>
      </c>
      <c r="CH289" s="16">
        <f t="shared" si="335"/>
        <v>0</v>
      </c>
      <c r="CI289" s="16">
        <f t="shared" si="335"/>
        <v>0</v>
      </c>
      <c r="CJ289" s="16">
        <f t="shared" si="335"/>
        <v>0</v>
      </c>
      <c r="CK289" s="16">
        <f t="shared" si="335"/>
        <v>0</v>
      </c>
      <c r="CL289" s="16">
        <f t="shared" si="335"/>
        <v>0</v>
      </c>
      <c r="CM289" s="16">
        <f t="shared" si="335"/>
        <v>0</v>
      </c>
      <c r="CN289" s="16">
        <f t="shared" si="335"/>
        <v>0</v>
      </c>
      <c r="CO289" s="16">
        <f t="shared" si="335"/>
        <v>0</v>
      </c>
      <c r="CP289" s="16">
        <f t="shared" si="335"/>
        <v>0</v>
      </c>
      <c r="CQ289" s="16">
        <f t="shared" si="335"/>
        <v>0</v>
      </c>
      <c r="CR289" s="16">
        <f t="shared" si="335"/>
        <v>0</v>
      </c>
      <c r="CS289" s="16">
        <f t="shared" si="335"/>
        <v>0</v>
      </c>
      <c r="CT289" s="16">
        <f t="shared" si="335"/>
        <v>0</v>
      </c>
      <c r="CU289" s="16">
        <f t="shared" si="335"/>
        <v>0</v>
      </c>
      <c r="CV289" s="16">
        <f t="shared" si="335"/>
        <v>0</v>
      </c>
      <c r="CW289" s="17">
        <f t="shared" ref="CW289" si="336">SUM(CW290)</f>
        <v>0</v>
      </c>
      <c r="CX289" s="40"/>
    </row>
    <row r="290" spans="1:102" ht="31.5" hidden="1" x14ac:dyDescent="0.25">
      <c r="A290" s="13" t="s">
        <v>1</v>
      </c>
      <c r="B290" s="14" t="s">
        <v>1</v>
      </c>
      <c r="C290" s="14" t="s">
        <v>29</v>
      </c>
      <c r="D290" s="30" t="s">
        <v>310</v>
      </c>
      <c r="E290" s="15">
        <f>SUM(F290+BY290+CT290)</f>
        <v>31675595</v>
      </c>
      <c r="F290" s="16">
        <f>SUM(G290+BA290)</f>
        <v>31675595</v>
      </c>
      <c r="G290" s="16">
        <f>SUM(H290+I290+J290+Q290+T290+U290+V290+AE290)</f>
        <v>0</v>
      </c>
      <c r="H290" s="16">
        <v>0</v>
      </c>
      <c r="I290" s="16">
        <v>0</v>
      </c>
      <c r="J290" s="16">
        <f t="shared" si="321"/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f t="shared" si="322"/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f>SUM(W290:AD290)</f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f>SUM(AF290:AZ290)</f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16">
        <v>0</v>
      </c>
      <c r="AS290" s="16">
        <v>0</v>
      </c>
      <c r="AT290" s="16">
        <v>0</v>
      </c>
      <c r="AU290" s="16">
        <v>0</v>
      </c>
      <c r="AV290" s="16">
        <v>0</v>
      </c>
      <c r="AW290" s="16">
        <v>0</v>
      </c>
      <c r="AX290" s="16">
        <v>0</v>
      </c>
      <c r="AY290" s="16">
        <v>0</v>
      </c>
      <c r="AZ290" s="16">
        <v>0</v>
      </c>
      <c r="BA290" s="16">
        <f>SUM(BB290+BF290+BI290+BK290+BM290)</f>
        <v>31675595</v>
      </c>
      <c r="BB290" s="16">
        <f>SUM(BC290:BE290)</f>
        <v>0</v>
      </c>
      <c r="BC290" s="16">
        <v>0</v>
      </c>
      <c r="BD290" s="16">
        <v>0</v>
      </c>
      <c r="BE290" s="16">
        <v>0</v>
      </c>
      <c r="BF290" s="16">
        <f t="shared" si="323"/>
        <v>0</v>
      </c>
      <c r="BG290" s="16">
        <v>0</v>
      </c>
      <c r="BH290" s="16">
        <v>0</v>
      </c>
      <c r="BI290" s="16">
        <v>0</v>
      </c>
      <c r="BJ290" s="16">
        <v>0</v>
      </c>
      <c r="BK290" s="16">
        <f t="shared" si="324"/>
        <v>0</v>
      </c>
      <c r="BL290" s="16">
        <v>0</v>
      </c>
      <c r="BM290" s="16">
        <f t="shared" si="325"/>
        <v>31675595</v>
      </c>
      <c r="BN290" s="16">
        <v>0</v>
      </c>
      <c r="BO290" s="16">
        <v>0</v>
      </c>
      <c r="BP290" s="16">
        <v>0</v>
      </c>
      <c r="BQ290" s="16">
        <v>0</v>
      </c>
      <c r="BR290" s="16">
        <v>0</v>
      </c>
      <c r="BS290" s="16">
        <v>0</v>
      </c>
      <c r="BT290" s="16">
        <v>0</v>
      </c>
      <c r="BU290" s="16">
        <v>0</v>
      </c>
      <c r="BV290" s="16">
        <v>0</v>
      </c>
      <c r="BW290" s="16">
        <v>0</v>
      </c>
      <c r="BX290" s="16">
        <f>45653982-13978387</f>
        <v>31675595</v>
      </c>
      <c r="BY290" s="16">
        <f>SUM(BZ290+CS290)</f>
        <v>0</v>
      </c>
      <c r="BZ290" s="16">
        <f>SUM(CA290+CD290+CK290)</f>
        <v>0</v>
      </c>
      <c r="CA290" s="16">
        <f t="shared" si="326"/>
        <v>0</v>
      </c>
      <c r="CB290" s="16">
        <v>0</v>
      </c>
      <c r="CC290" s="16">
        <v>0</v>
      </c>
      <c r="CD290" s="16">
        <f t="shared" si="327"/>
        <v>0</v>
      </c>
      <c r="CE290" s="16">
        <v>0</v>
      </c>
      <c r="CF290" s="16">
        <v>0</v>
      </c>
      <c r="CG290" s="16">
        <v>0</v>
      </c>
      <c r="CH290" s="16">
        <v>0</v>
      </c>
      <c r="CI290" s="16">
        <v>0</v>
      </c>
      <c r="CJ290" s="16">
        <v>0</v>
      </c>
      <c r="CK290" s="16">
        <f t="shared" si="328"/>
        <v>0</v>
      </c>
      <c r="CL290" s="16">
        <v>0</v>
      </c>
      <c r="CM290" s="16">
        <v>0</v>
      </c>
      <c r="CN290" s="16">
        <v>0</v>
      </c>
      <c r="CO290" s="16">
        <v>0</v>
      </c>
      <c r="CP290" s="16">
        <v>0</v>
      </c>
      <c r="CQ290" s="16">
        <v>0</v>
      </c>
      <c r="CR290" s="16">
        <v>0</v>
      </c>
      <c r="CS290" s="16">
        <v>0</v>
      </c>
      <c r="CT290" s="16">
        <f t="shared" si="329"/>
        <v>0</v>
      </c>
      <c r="CU290" s="16">
        <f t="shared" si="330"/>
        <v>0</v>
      </c>
      <c r="CV290" s="16">
        <v>0</v>
      </c>
      <c r="CW290" s="17">
        <v>0</v>
      </c>
      <c r="CX290" s="40"/>
    </row>
    <row r="291" spans="1:102" ht="15.75" hidden="1" x14ac:dyDescent="0.25">
      <c r="A291" s="13" t="s">
        <v>305</v>
      </c>
      <c r="B291" s="14" t="s">
        <v>100</v>
      </c>
      <c r="C291" s="14" t="s">
        <v>1</v>
      </c>
      <c r="D291" s="30" t="s">
        <v>311</v>
      </c>
      <c r="E291" s="15">
        <f t="shared" ref="E291:BP291" si="337">SUM(E292)</f>
        <v>313738422</v>
      </c>
      <c r="F291" s="16">
        <f t="shared" si="337"/>
        <v>27343630</v>
      </c>
      <c r="G291" s="16">
        <f t="shared" si="337"/>
        <v>25942495</v>
      </c>
      <c r="H291" s="16">
        <f t="shared" si="337"/>
        <v>0</v>
      </c>
      <c r="I291" s="16">
        <f t="shared" si="337"/>
        <v>0</v>
      </c>
      <c r="J291" s="16">
        <f t="shared" si="337"/>
        <v>12910946</v>
      </c>
      <c r="K291" s="16">
        <f t="shared" si="337"/>
        <v>0</v>
      </c>
      <c r="L291" s="16">
        <f t="shared" si="337"/>
        <v>86900</v>
      </c>
      <c r="M291" s="16">
        <f t="shared" si="337"/>
        <v>0</v>
      </c>
      <c r="N291" s="16">
        <f t="shared" si="337"/>
        <v>0</v>
      </c>
      <c r="O291" s="16">
        <f t="shared" si="337"/>
        <v>11453844</v>
      </c>
      <c r="P291" s="16">
        <f t="shared" si="337"/>
        <v>1370202</v>
      </c>
      <c r="Q291" s="16">
        <f t="shared" si="337"/>
        <v>0</v>
      </c>
      <c r="R291" s="16">
        <f t="shared" si="337"/>
        <v>0</v>
      </c>
      <c r="S291" s="16">
        <f t="shared" si="337"/>
        <v>0</v>
      </c>
      <c r="T291" s="16">
        <f t="shared" si="337"/>
        <v>0</v>
      </c>
      <c r="U291" s="16">
        <f t="shared" si="337"/>
        <v>0</v>
      </c>
      <c r="V291" s="16">
        <f t="shared" si="337"/>
        <v>0</v>
      </c>
      <c r="W291" s="16">
        <f t="shared" si="337"/>
        <v>0</v>
      </c>
      <c r="X291" s="16">
        <f t="shared" si="337"/>
        <v>0</v>
      </c>
      <c r="Y291" s="16">
        <f t="shared" si="337"/>
        <v>0</v>
      </c>
      <c r="Z291" s="16">
        <f t="shared" si="337"/>
        <v>0</v>
      </c>
      <c r="AA291" s="16">
        <f t="shared" si="337"/>
        <v>0</v>
      </c>
      <c r="AB291" s="16">
        <f t="shared" si="337"/>
        <v>0</v>
      </c>
      <c r="AC291" s="16">
        <f t="shared" si="337"/>
        <v>0</v>
      </c>
      <c r="AD291" s="16">
        <f t="shared" si="337"/>
        <v>0</v>
      </c>
      <c r="AE291" s="16">
        <f t="shared" si="337"/>
        <v>13031549</v>
      </c>
      <c r="AF291" s="16">
        <f t="shared" si="337"/>
        <v>0</v>
      </c>
      <c r="AG291" s="16">
        <f t="shared" si="337"/>
        <v>0</v>
      </c>
      <c r="AH291" s="16">
        <f t="shared" si="337"/>
        <v>0</v>
      </c>
      <c r="AI291" s="16">
        <f t="shared" si="337"/>
        <v>0</v>
      </c>
      <c r="AJ291" s="16">
        <f t="shared" si="337"/>
        <v>0</v>
      </c>
      <c r="AK291" s="16">
        <f t="shared" si="337"/>
        <v>0</v>
      </c>
      <c r="AL291" s="16">
        <f t="shared" si="337"/>
        <v>0</v>
      </c>
      <c r="AM291" s="16">
        <f t="shared" si="337"/>
        <v>0</v>
      </c>
      <c r="AN291" s="16">
        <f t="shared" si="337"/>
        <v>0</v>
      </c>
      <c r="AO291" s="16">
        <f t="shared" si="337"/>
        <v>0</v>
      </c>
      <c r="AP291" s="16">
        <f t="shared" si="337"/>
        <v>0</v>
      </c>
      <c r="AQ291" s="16">
        <f t="shared" si="337"/>
        <v>0</v>
      </c>
      <c r="AR291" s="16">
        <f t="shared" si="337"/>
        <v>0</v>
      </c>
      <c r="AS291" s="16">
        <f t="shared" si="337"/>
        <v>0</v>
      </c>
      <c r="AT291" s="16">
        <f t="shared" si="337"/>
        <v>0</v>
      </c>
      <c r="AU291" s="16">
        <f t="shared" si="337"/>
        <v>0</v>
      </c>
      <c r="AV291" s="16">
        <f t="shared" si="337"/>
        <v>13031549</v>
      </c>
      <c r="AW291" s="16">
        <f t="shared" si="337"/>
        <v>0</v>
      </c>
      <c r="AX291" s="16">
        <f t="shared" si="337"/>
        <v>0</v>
      </c>
      <c r="AY291" s="16">
        <f t="shared" si="337"/>
        <v>0</v>
      </c>
      <c r="AZ291" s="16">
        <f t="shared" si="337"/>
        <v>0</v>
      </c>
      <c r="BA291" s="16">
        <f t="shared" si="337"/>
        <v>1401135</v>
      </c>
      <c r="BB291" s="16">
        <f t="shared" si="337"/>
        <v>0</v>
      </c>
      <c r="BC291" s="16">
        <f t="shared" si="337"/>
        <v>0</v>
      </c>
      <c r="BD291" s="16">
        <f t="shared" si="337"/>
        <v>0</v>
      </c>
      <c r="BE291" s="16">
        <f t="shared" si="337"/>
        <v>0</v>
      </c>
      <c r="BF291" s="16">
        <f t="shared" si="337"/>
        <v>0</v>
      </c>
      <c r="BG291" s="16">
        <f t="shared" si="337"/>
        <v>0</v>
      </c>
      <c r="BH291" s="16">
        <f t="shared" si="337"/>
        <v>0</v>
      </c>
      <c r="BI291" s="16">
        <f t="shared" si="337"/>
        <v>0</v>
      </c>
      <c r="BJ291" s="16">
        <f t="shared" si="337"/>
        <v>0</v>
      </c>
      <c r="BK291" s="16">
        <f t="shared" si="337"/>
        <v>0</v>
      </c>
      <c r="BL291" s="16">
        <f t="shared" si="337"/>
        <v>0</v>
      </c>
      <c r="BM291" s="16">
        <f t="shared" si="337"/>
        <v>1401135</v>
      </c>
      <c r="BN291" s="16">
        <f t="shared" si="337"/>
        <v>0</v>
      </c>
      <c r="BO291" s="16">
        <f t="shared" si="337"/>
        <v>0</v>
      </c>
      <c r="BP291" s="16">
        <f t="shared" si="337"/>
        <v>0</v>
      </c>
      <c r="BQ291" s="16">
        <f t="shared" ref="BQ291:CW291" si="338">SUM(BQ292)</f>
        <v>0</v>
      </c>
      <c r="BR291" s="16">
        <f t="shared" si="338"/>
        <v>0</v>
      </c>
      <c r="BS291" s="16">
        <f t="shared" si="338"/>
        <v>0</v>
      </c>
      <c r="BT291" s="16">
        <f t="shared" si="338"/>
        <v>0</v>
      </c>
      <c r="BU291" s="16">
        <f t="shared" si="338"/>
        <v>1401135</v>
      </c>
      <c r="BV291" s="16">
        <f t="shared" si="338"/>
        <v>0</v>
      </c>
      <c r="BW291" s="16">
        <f t="shared" si="338"/>
        <v>0</v>
      </c>
      <c r="BX291" s="16">
        <f t="shared" si="338"/>
        <v>0</v>
      </c>
      <c r="BY291" s="16">
        <f t="shared" si="338"/>
        <v>286394792</v>
      </c>
      <c r="BZ291" s="16">
        <f t="shared" si="338"/>
        <v>274294792</v>
      </c>
      <c r="CA291" s="16">
        <f t="shared" si="338"/>
        <v>39897834</v>
      </c>
      <c r="CB291" s="16">
        <f t="shared" si="338"/>
        <v>299196</v>
      </c>
      <c r="CC291" s="16">
        <f t="shared" si="338"/>
        <v>39598638</v>
      </c>
      <c r="CD291" s="16">
        <f t="shared" si="338"/>
        <v>139757815</v>
      </c>
      <c r="CE291" s="16">
        <f t="shared" si="338"/>
        <v>0</v>
      </c>
      <c r="CF291" s="16">
        <f t="shared" si="338"/>
        <v>0</v>
      </c>
      <c r="CG291" s="16">
        <f t="shared" si="338"/>
        <v>122186255</v>
      </c>
      <c r="CH291" s="16">
        <f t="shared" si="338"/>
        <v>10373706</v>
      </c>
      <c r="CI291" s="16">
        <f t="shared" si="338"/>
        <v>7197854</v>
      </c>
      <c r="CJ291" s="16">
        <f t="shared" si="338"/>
        <v>0</v>
      </c>
      <c r="CK291" s="16">
        <f t="shared" si="338"/>
        <v>94639143</v>
      </c>
      <c r="CL291" s="16">
        <f t="shared" si="338"/>
        <v>2114966</v>
      </c>
      <c r="CM291" s="16">
        <f t="shared" si="338"/>
        <v>0</v>
      </c>
      <c r="CN291" s="16">
        <f t="shared" si="338"/>
        <v>77436125</v>
      </c>
      <c r="CO291" s="16">
        <f t="shared" si="338"/>
        <v>5088052</v>
      </c>
      <c r="CP291" s="16">
        <f t="shared" si="338"/>
        <v>10000000</v>
      </c>
      <c r="CQ291" s="16">
        <f t="shared" si="338"/>
        <v>0</v>
      </c>
      <c r="CR291" s="16">
        <f t="shared" si="338"/>
        <v>0</v>
      </c>
      <c r="CS291" s="16">
        <f t="shared" si="338"/>
        <v>12100000</v>
      </c>
      <c r="CT291" s="16">
        <f t="shared" si="338"/>
        <v>0</v>
      </c>
      <c r="CU291" s="16">
        <f t="shared" si="338"/>
        <v>0</v>
      </c>
      <c r="CV291" s="16">
        <f t="shared" si="338"/>
        <v>0</v>
      </c>
      <c r="CW291" s="17">
        <f t="shared" si="338"/>
        <v>0</v>
      </c>
      <c r="CX291" s="40"/>
    </row>
    <row r="292" spans="1:102" ht="15.75" hidden="1" x14ac:dyDescent="0.25">
      <c r="A292" s="13" t="s">
        <v>1</v>
      </c>
      <c r="B292" s="14" t="s">
        <v>1</v>
      </c>
      <c r="C292" s="14" t="s">
        <v>312</v>
      </c>
      <c r="D292" s="30" t="s">
        <v>311</v>
      </c>
      <c r="E292" s="15">
        <f>SUM(F292+BY292+CT292)</f>
        <v>313738422</v>
      </c>
      <c r="F292" s="16">
        <f>SUM(G292+BA292)</f>
        <v>27343630</v>
      </c>
      <c r="G292" s="16">
        <f>SUM(H292+I292+J292+Q292+T292+U292+V292+AE292)</f>
        <v>25942495</v>
      </c>
      <c r="H292" s="16">
        <v>0</v>
      </c>
      <c r="I292" s="16">
        <v>0</v>
      </c>
      <c r="J292" s="16">
        <f t="shared" si="321"/>
        <v>12910946</v>
      </c>
      <c r="K292" s="16">
        <f>3111047-3111047</f>
        <v>0</v>
      </c>
      <c r="L292" s="16">
        <v>86900</v>
      </c>
      <c r="M292" s="16">
        <v>0</v>
      </c>
      <c r="N292" s="16">
        <v>0</v>
      </c>
      <c r="O292" s="16">
        <f>11331550+122294</f>
        <v>11453844</v>
      </c>
      <c r="P292" s="16">
        <f>2122009+57686-836439+26946</f>
        <v>1370202</v>
      </c>
      <c r="Q292" s="16">
        <f t="shared" si="322"/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f>SUM(W292:AD292)</f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f>SUM(AF292:AZ292)</f>
        <v>13031549</v>
      </c>
      <c r="AF292" s="16">
        <v>0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16">
        <v>0</v>
      </c>
      <c r="AS292" s="16">
        <v>0</v>
      </c>
      <c r="AT292" s="16">
        <v>0</v>
      </c>
      <c r="AU292" s="16">
        <v>0</v>
      </c>
      <c r="AV292" s="16">
        <f>11974851+1056698</f>
        <v>13031549</v>
      </c>
      <c r="AW292" s="16">
        <v>0</v>
      </c>
      <c r="AX292" s="16">
        <v>0</v>
      </c>
      <c r="AY292" s="16">
        <v>0</v>
      </c>
      <c r="AZ292" s="16">
        <v>0</v>
      </c>
      <c r="BA292" s="16">
        <f>SUM(BB292+BF292+BI292+BK292+BM292)</f>
        <v>1401135</v>
      </c>
      <c r="BB292" s="16">
        <f>SUM(BC292:BE292)</f>
        <v>0</v>
      </c>
      <c r="BC292" s="16">
        <v>0</v>
      </c>
      <c r="BD292" s="16">
        <v>0</v>
      </c>
      <c r="BE292" s="16">
        <v>0</v>
      </c>
      <c r="BF292" s="16">
        <f t="shared" si="323"/>
        <v>0</v>
      </c>
      <c r="BG292" s="16">
        <v>0</v>
      </c>
      <c r="BH292" s="16">
        <v>0</v>
      </c>
      <c r="BI292" s="16">
        <v>0</v>
      </c>
      <c r="BJ292" s="16">
        <v>0</v>
      </c>
      <c r="BK292" s="16">
        <f t="shared" si="324"/>
        <v>0</v>
      </c>
      <c r="BL292" s="16">
        <v>0</v>
      </c>
      <c r="BM292" s="16">
        <f t="shared" si="325"/>
        <v>1401135</v>
      </c>
      <c r="BN292" s="16">
        <v>0</v>
      </c>
      <c r="BO292" s="16">
        <v>0</v>
      </c>
      <c r="BP292" s="16">
        <v>0</v>
      </c>
      <c r="BQ292" s="16">
        <v>0</v>
      </c>
      <c r="BR292" s="16">
        <v>0</v>
      </c>
      <c r="BS292" s="16">
        <v>0</v>
      </c>
      <c r="BT292" s="16">
        <v>0</v>
      </c>
      <c r="BU292" s="16">
        <v>1401135</v>
      </c>
      <c r="BV292" s="16">
        <v>0</v>
      </c>
      <c r="BW292" s="16">
        <v>0</v>
      </c>
      <c r="BX292" s="16">
        <v>0</v>
      </c>
      <c r="BY292" s="16">
        <f>SUM(BZ292+CS292)</f>
        <v>286394792</v>
      </c>
      <c r="BZ292" s="16">
        <f>SUM(CA292+CD292+CK292)</f>
        <v>274294792</v>
      </c>
      <c r="CA292" s="16">
        <f t="shared" si="326"/>
        <v>39897834</v>
      </c>
      <c r="CB292" s="16">
        <f>9200000-1253218-7647586</f>
        <v>299196</v>
      </c>
      <c r="CC292" s="41">
        <f>42553434+3781831+14279769-30683748+8000000+1667352</f>
        <v>39598638</v>
      </c>
      <c r="CD292" s="16">
        <f t="shared" si="327"/>
        <v>139757815</v>
      </c>
      <c r="CE292" s="16">
        <v>0</v>
      </c>
      <c r="CF292" s="16">
        <f>535000-535000</f>
        <v>0</v>
      </c>
      <c r="CG292" s="16">
        <f>56721870+43684815-47253+21000000+826823</f>
        <v>122186255</v>
      </c>
      <c r="CH292" s="16">
        <f>11878757+775280-2280331</f>
        <v>10373706</v>
      </c>
      <c r="CI292" s="16">
        <f>19356246+223729-12932121+550000</f>
        <v>7197854</v>
      </c>
      <c r="CJ292" s="16"/>
      <c r="CK292" s="16">
        <f t="shared" si="328"/>
        <v>94639143</v>
      </c>
      <c r="CL292" s="16">
        <f>1594966+520000</f>
        <v>2114966</v>
      </c>
      <c r="CM292" s="16">
        <f>998000-998000</f>
        <v>0</v>
      </c>
      <c r="CN292" s="16">
        <f>92081157+2588545-16967125+1427846-1694298</f>
        <v>77436125</v>
      </c>
      <c r="CO292" s="16">
        <f>12007156+309913-7229017</f>
        <v>5088052</v>
      </c>
      <c r="CP292" s="16">
        <f>2000000+7000000+1000000</f>
        <v>10000000</v>
      </c>
      <c r="CQ292" s="16">
        <v>0</v>
      </c>
      <c r="CR292" s="16">
        <v>0</v>
      </c>
      <c r="CS292" s="16">
        <f>15100000-3000000</f>
        <v>12100000</v>
      </c>
      <c r="CT292" s="16">
        <f t="shared" si="329"/>
        <v>0</v>
      </c>
      <c r="CU292" s="16">
        <f t="shared" si="330"/>
        <v>0</v>
      </c>
      <c r="CV292" s="16">
        <v>0</v>
      </c>
      <c r="CW292" s="17">
        <v>0</v>
      </c>
      <c r="CX292" s="40"/>
    </row>
    <row r="293" spans="1:102" ht="15.75" hidden="1" x14ac:dyDescent="0.25">
      <c r="A293" s="13" t="s">
        <v>305</v>
      </c>
      <c r="B293" s="14" t="s">
        <v>54</v>
      </c>
      <c r="C293" s="14" t="s">
        <v>1</v>
      </c>
      <c r="D293" s="30" t="s">
        <v>313</v>
      </c>
      <c r="E293" s="15">
        <f t="shared" ref="E293:BP293" si="339">SUM(E294)</f>
        <v>23552496</v>
      </c>
      <c r="F293" s="16">
        <f t="shared" si="339"/>
        <v>23552496</v>
      </c>
      <c r="G293" s="16">
        <f t="shared" si="339"/>
        <v>23552496</v>
      </c>
      <c r="H293" s="16">
        <f t="shared" si="339"/>
        <v>0</v>
      </c>
      <c r="I293" s="16">
        <f t="shared" si="339"/>
        <v>0</v>
      </c>
      <c r="J293" s="16">
        <f t="shared" si="339"/>
        <v>0</v>
      </c>
      <c r="K293" s="16">
        <f t="shared" si="339"/>
        <v>0</v>
      </c>
      <c r="L293" s="16">
        <f t="shared" si="339"/>
        <v>0</v>
      </c>
      <c r="M293" s="16">
        <f t="shared" si="339"/>
        <v>0</v>
      </c>
      <c r="N293" s="16">
        <f t="shared" si="339"/>
        <v>0</v>
      </c>
      <c r="O293" s="16">
        <f t="shared" si="339"/>
        <v>0</v>
      </c>
      <c r="P293" s="16">
        <f t="shared" si="339"/>
        <v>0</v>
      </c>
      <c r="Q293" s="16">
        <f t="shared" si="339"/>
        <v>0</v>
      </c>
      <c r="R293" s="16">
        <f t="shared" si="339"/>
        <v>0</v>
      </c>
      <c r="S293" s="16">
        <f t="shared" si="339"/>
        <v>0</v>
      </c>
      <c r="T293" s="16">
        <f t="shared" si="339"/>
        <v>0</v>
      </c>
      <c r="U293" s="16">
        <f t="shared" si="339"/>
        <v>0</v>
      </c>
      <c r="V293" s="16">
        <f t="shared" si="339"/>
        <v>0</v>
      </c>
      <c r="W293" s="16">
        <f t="shared" si="339"/>
        <v>0</v>
      </c>
      <c r="X293" s="16">
        <f t="shared" si="339"/>
        <v>0</v>
      </c>
      <c r="Y293" s="16">
        <f t="shared" si="339"/>
        <v>0</v>
      </c>
      <c r="Z293" s="16">
        <f t="shared" si="339"/>
        <v>0</v>
      </c>
      <c r="AA293" s="16">
        <f t="shared" si="339"/>
        <v>0</v>
      </c>
      <c r="AB293" s="16">
        <f t="shared" si="339"/>
        <v>0</v>
      </c>
      <c r="AC293" s="16">
        <f t="shared" si="339"/>
        <v>0</v>
      </c>
      <c r="AD293" s="16">
        <f t="shared" si="339"/>
        <v>0</v>
      </c>
      <c r="AE293" s="16">
        <f t="shared" si="339"/>
        <v>23552496</v>
      </c>
      <c r="AF293" s="16">
        <f t="shared" si="339"/>
        <v>0</v>
      </c>
      <c r="AG293" s="16">
        <f t="shared" si="339"/>
        <v>0</v>
      </c>
      <c r="AH293" s="16">
        <f t="shared" si="339"/>
        <v>0</v>
      </c>
      <c r="AI293" s="16">
        <f t="shared" si="339"/>
        <v>0</v>
      </c>
      <c r="AJ293" s="16">
        <f t="shared" si="339"/>
        <v>0</v>
      </c>
      <c r="AK293" s="16">
        <f t="shared" si="339"/>
        <v>0</v>
      </c>
      <c r="AL293" s="16">
        <f t="shared" si="339"/>
        <v>0</v>
      </c>
      <c r="AM293" s="16">
        <f t="shared" si="339"/>
        <v>0</v>
      </c>
      <c r="AN293" s="16">
        <f t="shared" si="339"/>
        <v>0</v>
      </c>
      <c r="AO293" s="16">
        <f t="shared" si="339"/>
        <v>0</v>
      </c>
      <c r="AP293" s="16">
        <f t="shared" si="339"/>
        <v>0</v>
      </c>
      <c r="AQ293" s="16">
        <f t="shared" si="339"/>
        <v>0</v>
      </c>
      <c r="AR293" s="16">
        <f t="shared" si="339"/>
        <v>0</v>
      </c>
      <c r="AS293" s="16">
        <f t="shared" si="339"/>
        <v>0</v>
      </c>
      <c r="AT293" s="16">
        <f t="shared" si="339"/>
        <v>0</v>
      </c>
      <c r="AU293" s="16">
        <f t="shared" si="339"/>
        <v>0</v>
      </c>
      <c r="AV293" s="16">
        <f t="shared" si="339"/>
        <v>0</v>
      </c>
      <c r="AW293" s="16">
        <f t="shared" si="339"/>
        <v>0</v>
      </c>
      <c r="AX293" s="16">
        <f t="shared" si="339"/>
        <v>0</v>
      </c>
      <c r="AY293" s="16">
        <f t="shared" si="339"/>
        <v>0</v>
      </c>
      <c r="AZ293" s="16">
        <f t="shared" si="339"/>
        <v>23552496</v>
      </c>
      <c r="BA293" s="16">
        <f t="shared" si="339"/>
        <v>0</v>
      </c>
      <c r="BB293" s="16">
        <f t="shared" si="339"/>
        <v>0</v>
      </c>
      <c r="BC293" s="16">
        <f t="shared" si="339"/>
        <v>0</v>
      </c>
      <c r="BD293" s="16">
        <f t="shared" si="339"/>
        <v>0</v>
      </c>
      <c r="BE293" s="16">
        <f t="shared" si="339"/>
        <v>0</v>
      </c>
      <c r="BF293" s="16">
        <f t="shared" si="339"/>
        <v>0</v>
      </c>
      <c r="BG293" s="16">
        <f t="shared" si="339"/>
        <v>0</v>
      </c>
      <c r="BH293" s="16">
        <f t="shared" si="339"/>
        <v>0</v>
      </c>
      <c r="BI293" s="16">
        <f t="shared" si="339"/>
        <v>0</v>
      </c>
      <c r="BJ293" s="16">
        <f t="shared" si="339"/>
        <v>0</v>
      </c>
      <c r="BK293" s="16">
        <f t="shared" si="339"/>
        <v>0</v>
      </c>
      <c r="BL293" s="16">
        <f t="shared" si="339"/>
        <v>0</v>
      </c>
      <c r="BM293" s="16">
        <f t="shared" si="339"/>
        <v>0</v>
      </c>
      <c r="BN293" s="16">
        <f t="shared" si="339"/>
        <v>0</v>
      </c>
      <c r="BO293" s="16">
        <f t="shared" si="339"/>
        <v>0</v>
      </c>
      <c r="BP293" s="16">
        <f t="shared" si="339"/>
        <v>0</v>
      </c>
      <c r="BQ293" s="16">
        <f t="shared" ref="BQ293:CW293" si="340">SUM(BQ294)</f>
        <v>0</v>
      </c>
      <c r="BR293" s="16">
        <f t="shared" si="340"/>
        <v>0</v>
      </c>
      <c r="BS293" s="16">
        <f t="shared" si="340"/>
        <v>0</v>
      </c>
      <c r="BT293" s="16">
        <f t="shared" si="340"/>
        <v>0</v>
      </c>
      <c r="BU293" s="16">
        <f t="shared" si="340"/>
        <v>0</v>
      </c>
      <c r="BV293" s="16">
        <f t="shared" si="340"/>
        <v>0</v>
      </c>
      <c r="BW293" s="16">
        <f t="shared" si="340"/>
        <v>0</v>
      </c>
      <c r="BX293" s="16">
        <f t="shared" si="340"/>
        <v>0</v>
      </c>
      <c r="BY293" s="16">
        <f t="shared" si="340"/>
        <v>0</v>
      </c>
      <c r="BZ293" s="16">
        <f t="shared" si="340"/>
        <v>0</v>
      </c>
      <c r="CA293" s="16">
        <f t="shared" si="340"/>
        <v>0</v>
      </c>
      <c r="CB293" s="16">
        <f t="shared" si="340"/>
        <v>0</v>
      </c>
      <c r="CC293" s="16">
        <f t="shared" si="340"/>
        <v>0</v>
      </c>
      <c r="CD293" s="16">
        <f t="shared" si="340"/>
        <v>0</v>
      </c>
      <c r="CE293" s="16">
        <f t="shared" si="340"/>
        <v>0</v>
      </c>
      <c r="CF293" s="16">
        <f t="shared" si="340"/>
        <v>0</v>
      </c>
      <c r="CG293" s="16">
        <f t="shared" si="340"/>
        <v>0</v>
      </c>
      <c r="CH293" s="16">
        <f t="shared" si="340"/>
        <v>0</v>
      </c>
      <c r="CI293" s="16">
        <f t="shared" si="340"/>
        <v>0</v>
      </c>
      <c r="CJ293" s="16">
        <f t="shared" si="340"/>
        <v>0</v>
      </c>
      <c r="CK293" s="16">
        <f t="shared" si="340"/>
        <v>0</v>
      </c>
      <c r="CL293" s="16">
        <f t="shared" si="340"/>
        <v>0</v>
      </c>
      <c r="CM293" s="16">
        <f t="shared" si="340"/>
        <v>0</v>
      </c>
      <c r="CN293" s="16">
        <f t="shared" si="340"/>
        <v>0</v>
      </c>
      <c r="CO293" s="16">
        <f t="shared" si="340"/>
        <v>0</v>
      </c>
      <c r="CP293" s="16">
        <f t="shared" si="340"/>
        <v>0</v>
      </c>
      <c r="CQ293" s="16">
        <f t="shared" si="340"/>
        <v>0</v>
      </c>
      <c r="CR293" s="16">
        <f t="shared" si="340"/>
        <v>0</v>
      </c>
      <c r="CS293" s="16">
        <f t="shared" si="340"/>
        <v>0</v>
      </c>
      <c r="CT293" s="16">
        <f t="shared" si="340"/>
        <v>0</v>
      </c>
      <c r="CU293" s="16">
        <f t="shared" si="340"/>
        <v>0</v>
      </c>
      <c r="CV293" s="16">
        <f t="shared" si="340"/>
        <v>0</v>
      </c>
      <c r="CW293" s="17">
        <f t="shared" si="340"/>
        <v>0</v>
      </c>
      <c r="CX293" s="40"/>
    </row>
    <row r="294" spans="1:102" s="36" customFormat="1" ht="15.75" hidden="1" x14ac:dyDescent="0.25">
      <c r="A294" s="13" t="s">
        <v>1</v>
      </c>
      <c r="B294" s="14" t="s">
        <v>1</v>
      </c>
      <c r="C294" s="14" t="s">
        <v>287</v>
      </c>
      <c r="D294" s="30" t="s">
        <v>313</v>
      </c>
      <c r="E294" s="15">
        <f>SUM(F294+BY294+CT294)</f>
        <v>23552496</v>
      </c>
      <c r="F294" s="16">
        <f>SUM(G294+BA294)</f>
        <v>23552496</v>
      </c>
      <c r="G294" s="16">
        <f>SUM(H294+I294+J294+Q294+T294+U294+V294+AE294)</f>
        <v>23552496</v>
      </c>
      <c r="H294" s="16">
        <v>0</v>
      </c>
      <c r="I294" s="16">
        <v>0</v>
      </c>
      <c r="J294" s="16">
        <f t="shared" si="321"/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f t="shared" si="322"/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f>SUM(W294:AD294)</f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16">
        <v>0</v>
      </c>
      <c r="AE294" s="16">
        <f>SUM(AF294:AZ294)</f>
        <v>23552496</v>
      </c>
      <c r="AF294" s="16">
        <v>0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16">
        <v>0</v>
      </c>
      <c r="AR294" s="16">
        <v>0</v>
      </c>
      <c r="AS294" s="16">
        <v>0</v>
      </c>
      <c r="AT294" s="16">
        <v>0</v>
      </c>
      <c r="AU294" s="16">
        <v>0</v>
      </c>
      <c r="AV294" s="16">
        <v>0</v>
      </c>
      <c r="AW294" s="16">
        <v>0</v>
      </c>
      <c r="AX294" s="16">
        <v>0</v>
      </c>
      <c r="AY294" s="16">
        <v>0</v>
      </c>
      <c r="AZ294" s="16">
        <f>23163034+8387867-7998405</f>
        <v>23552496</v>
      </c>
      <c r="BA294" s="16">
        <f>SUM(BB294+BF294+BI294+BK294+BM294)</f>
        <v>0</v>
      </c>
      <c r="BB294" s="16">
        <f>SUM(BC294:BE294)</f>
        <v>0</v>
      </c>
      <c r="BC294" s="16">
        <v>0</v>
      </c>
      <c r="BD294" s="16">
        <v>0</v>
      </c>
      <c r="BE294" s="16">
        <v>0</v>
      </c>
      <c r="BF294" s="16">
        <f t="shared" si="323"/>
        <v>0</v>
      </c>
      <c r="BG294" s="16">
        <v>0</v>
      </c>
      <c r="BH294" s="16">
        <v>0</v>
      </c>
      <c r="BI294" s="16">
        <v>0</v>
      </c>
      <c r="BJ294" s="16">
        <v>0</v>
      </c>
      <c r="BK294" s="16">
        <f t="shared" si="324"/>
        <v>0</v>
      </c>
      <c r="BL294" s="16">
        <v>0</v>
      </c>
      <c r="BM294" s="16">
        <f t="shared" si="325"/>
        <v>0</v>
      </c>
      <c r="BN294" s="16">
        <v>0</v>
      </c>
      <c r="BO294" s="16">
        <v>0</v>
      </c>
      <c r="BP294" s="16">
        <v>0</v>
      </c>
      <c r="BQ294" s="16">
        <v>0</v>
      </c>
      <c r="BR294" s="16">
        <v>0</v>
      </c>
      <c r="BS294" s="16">
        <v>0</v>
      </c>
      <c r="BT294" s="16">
        <v>0</v>
      </c>
      <c r="BU294" s="16">
        <v>0</v>
      </c>
      <c r="BV294" s="16">
        <v>0</v>
      </c>
      <c r="BW294" s="16">
        <v>0</v>
      </c>
      <c r="BX294" s="16">
        <v>0</v>
      </c>
      <c r="BY294" s="16">
        <f>SUM(BZ294+CS294)</f>
        <v>0</v>
      </c>
      <c r="BZ294" s="16">
        <f>SUM(CA294+CD294+CK294)</f>
        <v>0</v>
      </c>
      <c r="CA294" s="16">
        <f t="shared" si="326"/>
        <v>0</v>
      </c>
      <c r="CB294" s="16">
        <v>0</v>
      </c>
      <c r="CC294" s="16">
        <v>0</v>
      </c>
      <c r="CD294" s="16">
        <f t="shared" si="327"/>
        <v>0</v>
      </c>
      <c r="CE294" s="16">
        <v>0</v>
      </c>
      <c r="CF294" s="16">
        <v>0</v>
      </c>
      <c r="CG294" s="16">
        <v>0</v>
      </c>
      <c r="CH294" s="16">
        <v>0</v>
      </c>
      <c r="CI294" s="16">
        <v>0</v>
      </c>
      <c r="CJ294" s="16">
        <v>0</v>
      </c>
      <c r="CK294" s="16">
        <f t="shared" si="328"/>
        <v>0</v>
      </c>
      <c r="CL294" s="16">
        <v>0</v>
      </c>
      <c r="CM294" s="16">
        <v>0</v>
      </c>
      <c r="CN294" s="16">
        <v>0</v>
      </c>
      <c r="CO294" s="16">
        <v>0</v>
      </c>
      <c r="CP294" s="16">
        <v>0</v>
      </c>
      <c r="CQ294" s="16">
        <v>0</v>
      </c>
      <c r="CR294" s="16">
        <v>0</v>
      </c>
      <c r="CS294" s="16">
        <v>0</v>
      </c>
      <c r="CT294" s="16">
        <f t="shared" si="329"/>
        <v>0</v>
      </c>
      <c r="CU294" s="16">
        <f t="shared" si="330"/>
        <v>0</v>
      </c>
      <c r="CV294" s="16">
        <v>0</v>
      </c>
      <c r="CW294" s="17">
        <v>0</v>
      </c>
      <c r="CX294" s="40"/>
    </row>
    <row r="295" spans="1:102" ht="15.75" hidden="1" x14ac:dyDescent="0.25">
      <c r="A295" s="13" t="s">
        <v>305</v>
      </c>
      <c r="B295" s="14" t="s">
        <v>107</v>
      </c>
      <c r="C295" s="14" t="s">
        <v>1</v>
      </c>
      <c r="D295" s="30" t="s">
        <v>314</v>
      </c>
      <c r="E295" s="15">
        <f t="shared" ref="E295:BP295" si="341">SUM(E296)</f>
        <v>0</v>
      </c>
      <c r="F295" s="16">
        <f t="shared" si="341"/>
        <v>0</v>
      </c>
      <c r="G295" s="16">
        <f t="shared" si="341"/>
        <v>0</v>
      </c>
      <c r="H295" s="16">
        <f t="shared" si="341"/>
        <v>0</v>
      </c>
      <c r="I295" s="16">
        <f t="shared" si="341"/>
        <v>0</v>
      </c>
      <c r="J295" s="16">
        <f t="shared" si="341"/>
        <v>0</v>
      </c>
      <c r="K295" s="16">
        <f t="shared" si="341"/>
        <v>0</v>
      </c>
      <c r="L295" s="16">
        <f t="shared" si="341"/>
        <v>0</v>
      </c>
      <c r="M295" s="16">
        <f t="shared" si="341"/>
        <v>0</v>
      </c>
      <c r="N295" s="16">
        <f t="shared" si="341"/>
        <v>0</v>
      </c>
      <c r="O295" s="16">
        <f t="shared" si="341"/>
        <v>0</v>
      </c>
      <c r="P295" s="16">
        <f t="shared" si="341"/>
        <v>0</v>
      </c>
      <c r="Q295" s="16">
        <f t="shared" si="341"/>
        <v>0</v>
      </c>
      <c r="R295" s="16">
        <f t="shared" si="341"/>
        <v>0</v>
      </c>
      <c r="S295" s="16">
        <f t="shared" si="341"/>
        <v>0</v>
      </c>
      <c r="T295" s="16">
        <f t="shared" si="341"/>
        <v>0</v>
      </c>
      <c r="U295" s="16">
        <f t="shared" si="341"/>
        <v>0</v>
      </c>
      <c r="V295" s="16">
        <f t="shared" si="341"/>
        <v>0</v>
      </c>
      <c r="W295" s="16">
        <f t="shared" si="341"/>
        <v>0</v>
      </c>
      <c r="X295" s="16">
        <f t="shared" si="341"/>
        <v>0</v>
      </c>
      <c r="Y295" s="16">
        <f t="shared" si="341"/>
        <v>0</v>
      </c>
      <c r="Z295" s="16">
        <f t="shared" si="341"/>
        <v>0</v>
      </c>
      <c r="AA295" s="16">
        <f t="shared" si="341"/>
        <v>0</v>
      </c>
      <c r="AB295" s="16">
        <f t="shared" si="341"/>
        <v>0</v>
      </c>
      <c r="AC295" s="16">
        <f t="shared" si="341"/>
        <v>0</v>
      </c>
      <c r="AD295" s="16">
        <f t="shared" si="341"/>
        <v>0</v>
      </c>
      <c r="AE295" s="16">
        <f t="shared" si="341"/>
        <v>0</v>
      </c>
      <c r="AF295" s="16">
        <f t="shared" si="341"/>
        <v>0</v>
      </c>
      <c r="AG295" s="16">
        <f t="shared" si="341"/>
        <v>0</v>
      </c>
      <c r="AH295" s="16">
        <f t="shared" si="341"/>
        <v>0</v>
      </c>
      <c r="AI295" s="16">
        <f t="shared" si="341"/>
        <v>0</v>
      </c>
      <c r="AJ295" s="16">
        <f t="shared" si="341"/>
        <v>0</v>
      </c>
      <c r="AK295" s="16">
        <f t="shared" si="341"/>
        <v>0</v>
      </c>
      <c r="AL295" s="16">
        <f t="shared" si="341"/>
        <v>0</v>
      </c>
      <c r="AM295" s="16">
        <f t="shared" si="341"/>
        <v>0</v>
      </c>
      <c r="AN295" s="16">
        <f t="shared" si="341"/>
        <v>0</v>
      </c>
      <c r="AO295" s="16">
        <f t="shared" si="341"/>
        <v>0</v>
      </c>
      <c r="AP295" s="16">
        <f t="shared" si="341"/>
        <v>0</v>
      </c>
      <c r="AQ295" s="16">
        <f t="shared" si="341"/>
        <v>0</v>
      </c>
      <c r="AR295" s="16">
        <f t="shared" si="341"/>
        <v>0</v>
      </c>
      <c r="AS295" s="16">
        <f t="shared" si="341"/>
        <v>0</v>
      </c>
      <c r="AT295" s="16">
        <f t="shared" si="341"/>
        <v>0</v>
      </c>
      <c r="AU295" s="16">
        <f t="shared" si="341"/>
        <v>0</v>
      </c>
      <c r="AV295" s="16">
        <f t="shared" si="341"/>
        <v>0</v>
      </c>
      <c r="AW295" s="16">
        <f t="shared" si="341"/>
        <v>0</v>
      </c>
      <c r="AX295" s="16">
        <f t="shared" si="341"/>
        <v>0</v>
      </c>
      <c r="AY295" s="16">
        <f t="shared" si="341"/>
        <v>0</v>
      </c>
      <c r="AZ295" s="16">
        <f t="shared" si="341"/>
        <v>0</v>
      </c>
      <c r="BA295" s="16">
        <f t="shared" si="341"/>
        <v>0</v>
      </c>
      <c r="BB295" s="16">
        <f t="shared" si="341"/>
        <v>0</v>
      </c>
      <c r="BC295" s="16">
        <f t="shared" si="341"/>
        <v>0</v>
      </c>
      <c r="BD295" s="16">
        <f t="shared" si="341"/>
        <v>0</v>
      </c>
      <c r="BE295" s="16">
        <f t="shared" si="341"/>
        <v>0</v>
      </c>
      <c r="BF295" s="16">
        <f t="shared" si="341"/>
        <v>0</v>
      </c>
      <c r="BG295" s="16">
        <f t="shared" si="341"/>
        <v>0</v>
      </c>
      <c r="BH295" s="16">
        <f t="shared" si="341"/>
        <v>0</v>
      </c>
      <c r="BI295" s="16">
        <f t="shared" si="341"/>
        <v>0</v>
      </c>
      <c r="BJ295" s="16">
        <f t="shared" si="341"/>
        <v>0</v>
      </c>
      <c r="BK295" s="16">
        <f t="shared" si="341"/>
        <v>0</v>
      </c>
      <c r="BL295" s="16">
        <f t="shared" si="341"/>
        <v>0</v>
      </c>
      <c r="BM295" s="16">
        <f t="shared" si="341"/>
        <v>0</v>
      </c>
      <c r="BN295" s="16">
        <f t="shared" si="341"/>
        <v>0</v>
      </c>
      <c r="BO295" s="16">
        <f t="shared" si="341"/>
        <v>0</v>
      </c>
      <c r="BP295" s="16">
        <f t="shared" si="341"/>
        <v>0</v>
      </c>
      <c r="BQ295" s="16">
        <f t="shared" ref="BQ295:CW295" si="342">SUM(BQ296)</f>
        <v>0</v>
      </c>
      <c r="BR295" s="16">
        <f t="shared" si="342"/>
        <v>0</v>
      </c>
      <c r="BS295" s="16">
        <f t="shared" si="342"/>
        <v>0</v>
      </c>
      <c r="BT295" s="16">
        <f t="shared" si="342"/>
        <v>0</v>
      </c>
      <c r="BU295" s="16">
        <f t="shared" si="342"/>
        <v>0</v>
      </c>
      <c r="BV295" s="16">
        <f t="shared" si="342"/>
        <v>0</v>
      </c>
      <c r="BW295" s="16">
        <f t="shared" si="342"/>
        <v>0</v>
      </c>
      <c r="BX295" s="16">
        <f t="shared" si="342"/>
        <v>0</v>
      </c>
      <c r="BY295" s="16">
        <f t="shared" si="342"/>
        <v>0</v>
      </c>
      <c r="BZ295" s="16">
        <f t="shared" si="342"/>
        <v>0</v>
      </c>
      <c r="CA295" s="16">
        <f t="shared" si="342"/>
        <v>0</v>
      </c>
      <c r="CB295" s="16">
        <f t="shared" si="342"/>
        <v>0</v>
      </c>
      <c r="CC295" s="16">
        <f t="shared" si="342"/>
        <v>0</v>
      </c>
      <c r="CD295" s="16">
        <f t="shared" si="342"/>
        <v>0</v>
      </c>
      <c r="CE295" s="16">
        <f t="shared" si="342"/>
        <v>0</v>
      </c>
      <c r="CF295" s="16">
        <f t="shared" si="342"/>
        <v>0</v>
      </c>
      <c r="CG295" s="16">
        <f t="shared" si="342"/>
        <v>0</v>
      </c>
      <c r="CH295" s="16">
        <f t="shared" si="342"/>
        <v>0</v>
      </c>
      <c r="CI295" s="16">
        <f t="shared" si="342"/>
        <v>0</v>
      </c>
      <c r="CJ295" s="16">
        <f t="shared" si="342"/>
        <v>0</v>
      </c>
      <c r="CK295" s="16">
        <f t="shared" si="342"/>
        <v>0</v>
      </c>
      <c r="CL295" s="16">
        <f t="shared" si="342"/>
        <v>0</v>
      </c>
      <c r="CM295" s="16">
        <f t="shared" si="342"/>
        <v>0</v>
      </c>
      <c r="CN295" s="16">
        <f t="shared" si="342"/>
        <v>0</v>
      </c>
      <c r="CO295" s="16">
        <f t="shared" si="342"/>
        <v>0</v>
      </c>
      <c r="CP295" s="16">
        <f t="shared" si="342"/>
        <v>0</v>
      </c>
      <c r="CQ295" s="16">
        <f t="shared" si="342"/>
        <v>0</v>
      </c>
      <c r="CR295" s="16">
        <f t="shared" si="342"/>
        <v>0</v>
      </c>
      <c r="CS295" s="16">
        <f t="shared" si="342"/>
        <v>0</v>
      </c>
      <c r="CT295" s="16">
        <f t="shared" si="342"/>
        <v>0</v>
      </c>
      <c r="CU295" s="16">
        <f t="shared" si="342"/>
        <v>0</v>
      </c>
      <c r="CV295" s="16">
        <f t="shared" si="342"/>
        <v>0</v>
      </c>
      <c r="CW295" s="17">
        <f t="shared" si="342"/>
        <v>0</v>
      </c>
      <c r="CX295" s="40"/>
    </row>
    <row r="296" spans="1:102" ht="15.75" hidden="1" x14ac:dyDescent="0.25">
      <c r="A296" s="13" t="s">
        <v>1</v>
      </c>
      <c r="B296" s="14" t="s">
        <v>1</v>
      </c>
      <c r="C296" s="14" t="s">
        <v>287</v>
      </c>
      <c r="D296" s="30" t="s">
        <v>314</v>
      </c>
      <c r="E296" s="15">
        <f>SUM(F296+BY296+CT296)</f>
        <v>0</v>
      </c>
      <c r="F296" s="16">
        <f>SUM(G296+BA296)</f>
        <v>0</v>
      </c>
      <c r="G296" s="16">
        <f>SUM(H296+I296+J296+Q296+T296+U296+V296+AE296)</f>
        <v>0</v>
      </c>
      <c r="H296" s="16">
        <v>0</v>
      </c>
      <c r="I296" s="16">
        <v>0</v>
      </c>
      <c r="J296" s="16">
        <f t="shared" si="321"/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f t="shared" si="322"/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f>SUM(W296:AD296)</f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16">
        <v>0</v>
      </c>
      <c r="AE296" s="16">
        <f>SUM(AF296:AZ296)</f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0</v>
      </c>
      <c r="AP296" s="16">
        <v>0</v>
      </c>
      <c r="AQ296" s="16">
        <v>0</v>
      </c>
      <c r="AR296" s="16">
        <v>0</v>
      </c>
      <c r="AS296" s="16">
        <v>0</v>
      </c>
      <c r="AT296" s="16">
        <v>0</v>
      </c>
      <c r="AU296" s="16">
        <v>0</v>
      </c>
      <c r="AV296" s="16">
        <v>0</v>
      </c>
      <c r="AW296" s="16">
        <v>0</v>
      </c>
      <c r="AX296" s="16">
        <v>0</v>
      </c>
      <c r="AY296" s="16">
        <v>0</v>
      </c>
      <c r="AZ296" s="16">
        <v>0</v>
      </c>
      <c r="BA296" s="16">
        <f>SUM(BB296+BF296+BI296+BK296+BM296)</f>
        <v>0</v>
      </c>
      <c r="BB296" s="16">
        <f>SUM(BC296:BE296)</f>
        <v>0</v>
      </c>
      <c r="BC296" s="16">
        <v>0</v>
      </c>
      <c r="BD296" s="16">
        <v>0</v>
      </c>
      <c r="BE296" s="16">
        <v>0</v>
      </c>
      <c r="BF296" s="16">
        <f t="shared" si="323"/>
        <v>0</v>
      </c>
      <c r="BG296" s="16">
        <v>0</v>
      </c>
      <c r="BH296" s="16">
        <v>0</v>
      </c>
      <c r="BI296" s="16">
        <v>0</v>
      </c>
      <c r="BJ296" s="16">
        <v>0</v>
      </c>
      <c r="BK296" s="16">
        <f t="shared" si="324"/>
        <v>0</v>
      </c>
      <c r="BL296" s="16">
        <v>0</v>
      </c>
      <c r="BM296" s="16">
        <f t="shared" si="325"/>
        <v>0</v>
      </c>
      <c r="BN296" s="16">
        <v>0</v>
      </c>
      <c r="BO296" s="16">
        <v>0</v>
      </c>
      <c r="BP296" s="16">
        <v>0</v>
      </c>
      <c r="BQ296" s="16">
        <v>0</v>
      </c>
      <c r="BR296" s="16">
        <v>0</v>
      </c>
      <c r="BS296" s="16">
        <v>0</v>
      </c>
      <c r="BT296" s="16">
        <v>0</v>
      </c>
      <c r="BU296" s="16">
        <v>0</v>
      </c>
      <c r="BV296" s="16">
        <v>0</v>
      </c>
      <c r="BW296" s="16">
        <v>0</v>
      </c>
      <c r="BX296" s="16">
        <f>15000000-15000000</f>
        <v>0</v>
      </c>
      <c r="BY296" s="16">
        <f>SUM(BZ296+CS296)</f>
        <v>0</v>
      </c>
      <c r="BZ296" s="16">
        <f>SUM(CA296+CD296+CK296)</f>
        <v>0</v>
      </c>
      <c r="CA296" s="16">
        <f t="shared" si="326"/>
        <v>0</v>
      </c>
      <c r="CB296" s="16">
        <v>0</v>
      </c>
      <c r="CC296" s="16">
        <v>0</v>
      </c>
      <c r="CD296" s="16">
        <f t="shared" si="327"/>
        <v>0</v>
      </c>
      <c r="CE296" s="16">
        <v>0</v>
      </c>
      <c r="CF296" s="16">
        <v>0</v>
      </c>
      <c r="CG296" s="16">
        <v>0</v>
      </c>
      <c r="CH296" s="16">
        <v>0</v>
      </c>
      <c r="CI296" s="16">
        <v>0</v>
      </c>
      <c r="CJ296" s="16">
        <v>0</v>
      </c>
      <c r="CK296" s="16">
        <f t="shared" si="328"/>
        <v>0</v>
      </c>
      <c r="CL296" s="16">
        <v>0</v>
      </c>
      <c r="CM296" s="16">
        <v>0</v>
      </c>
      <c r="CN296" s="16">
        <v>0</v>
      </c>
      <c r="CO296" s="16">
        <v>0</v>
      </c>
      <c r="CP296" s="16">
        <v>0</v>
      </c>
      <c r="CQ296" s="16">
        <v>0</v>
      </c>
      <c r="CR296" s="16">
        <v>0</v>
      </c>
      <c r="CS296" s="16">
        <v>0</v>
      </c>
      <c r="CT296" s="16">
        <f t="shared" si="329"/>
        <v>0</v>
      </c>
      <c r="CU296" s="16">
        <f t="shared" si="330"/>
        <v>0</v>
      </c>
      <c r="CV296" s="16">
        <v>0</v>
      </c>
      <c r="CW296" s="17">
        <v>0</v>
      </c>
      <c r="CX296" s="40"/>
    </row>
    <row r="297" spans="1:102" ht="15.75" hidden="1" x14ac:dyDescent="0.25">
      <c r="A297" s="13" t="s">
        <v>305</v>
      </c>
      <c r="B297" s="14" t="s">
        <v>57</v>
      </c>
      <c r="C297" s="14" t="s">
        <v>1</v>
      </c>
      <c r="D297" s="30" t="s">
        <v>315</v>
      </c>
      <c r="E297" s="15">
        <f t="shared" ref="E297:BP297" si="343">SUM(E298)</f>
        <v>8336675</v>
      </c>
      <c r="F297" s="16">
        <f t="shared" si="343"/>
        <v>8336675</v>
      </c>
      <c r="G297" s="16">
        <f t="shared" si="343"/>
        <v>0</v>
      </c>
      <c r="H297" s="16">
        <f t="shared" si="343"/>
        <v>0</v>
      </c>
      <c r="I297" s="16">
        <f t="shared" si="343"/>
        <v>0</v>
      </c>
      <c r="J297" s="16">
        <f t="shared" si="343"/>
        <v>0</v>
      </c>
      <c r="K297" s="16">
        <f t="shared" si="343"/>
        <v>0</v>
      </c>
      <c r="L297" s="16">
        <f t="shared" si="343"/>
        <v>0</v>
      </c>
      <c r="M297" s="16">
        <f t="shared" si="343"/>
        <v>0</v>
      </c>
      <c r="N297" s="16">
        <f t="shared" si="343"/>
        <v>0</v>
      </c>
      <c r="O297" s="16">
        <f t="shared" si="343"/>
        <v>0</v>
      </c>
      <c r="P297" s="16">
        <f t="shared" si="343"/>
        <v>0</v>
      </c>
      <c r="Q297" s="16">
        <f t="shared" si="343"/>
        <v>0</v>
      </c>
      <c r="R297" s="16">
        <f t="shared" si="343"/>
        <v>0</v>
      </c>
      <c r="S297" s="16">
        <f t="shared" si="343"/>
        <v>0</v>
      </c>
      <c r="T297" s="16">
        <f t="shared" si="343"/>
        <v>0</v>
      </c>
      <c r="U297" s="16">
        <f t="shared" si="343"/>
        <v>0</v>
      </c>
      <c r="V297" s="16">
        <f t="shared" si="343"/>
        <v>0</v>
      </c>
      <c r="W297" s="16">
        <f t="shared" si="343"/>
        <v>0</v>
      </c>
      <c r="X297" s="16">
        <f t="shared" si="343"/>
        <v>0</v>
      </c>
      <c r="Y297" s="16">
        <f t="shared" si="343"/>
        <v>0</v>
      </c>
      <c r="Z297" s="16">
        <f t="shared" si="343"/>
        <v>0</v>
      </c>
      <c r="AA297" s="16">
        <f t="shared" si="343"/>
        <v>0</v>
      </c>
      <c r="AB297" s="16">
        <f t="shared" si="343"/>
        <v>0</v>
      </c>
      <c r="AC297" s="16">
        <f t="shared" si="343"/>
        <v>0</v>
      </c>
      <c r="AD297" s="16">
        <f t="shared" si="343"/>
        <v>0</v>
      </c>
      <c r="AE297" s="16">
        <f t="shared" si="343"/>
        <v>0</v>
      </c>
      <c r="AF297" s="16">
        <f t="shared" si="343"/>
        <v>0</v>
      </c>
      <c r="AG297" s="16">
        <f t="shared" si="343"/>
        <v>0</v>
      </c>
      <c r="AH297" s="16">
        <f t="shared" si="343"/>
        <v>0</v>
      </c>
      <c r="AI297" s="16">
        <f t="shared" si="343"/>
        <v>0</v>
      </c>
      <c r="AJ297" s="16">
        <f t="shared" si="343"/>
        <v>0</v>
      </c>
      <c r="AK297" s="16">
        <f t="shared" si="343"/>
        <v>0</v>
      </c>
      <c r="AL297" s="16">
        <f t="shared" si="343"/>
        <v>0</v>
      </c>
      <c r="AM297" s="16">
        <f t="shared" si="343"/>
        <v>0</v>
      </c>
      <c r="AN297" s="16">
        <f t="shared" si="343"/>
        <v>0</v>
      </c>
      <c r="AO297" s="16">
        <f t="shared" si="343"/>
        <v>0</v>
      </c>
      <c r="AP297" s="16">
        <f t="shared" si="343"/>
        <v>0</v>
      </c>
      <c r="AQ297" s="16">
        <f t="shared" si="343"/>
        <v>0</v>
      </c>
      <c r="AR297" s="16">
        <f t="shared" si="343"/>
        <v>0</v>
      </c>
      <c r="AS297" s="16">
        <f t="shared" si="343"/>
        <v>0</v>
      </c>
      <c r="AT297" s="16">
        <f t="shared" si="343"/>
        <v>0</v>
      </c>
      <c r="AU297" s="16">
        <f t="shared" si="343"/>
        <v>0</v>
      </c>
      <c r="AV297" s="16">
        <f t="shared" si="343"/>
        <v>0</v>
      </c>
      <c r="AW297" s="16">
        <f t="shared" si="343"/>
        <v>0</v>
      </c>
      <c r="AX297" s="16">
        <f t="shared" si="343"/>
        <v>0</v>
      </c>
      <c r="AY297" s="16">
        <f t="shared" si="343"/>
        <v>0</v>
      </c>
      <c r="AZ297" s="16">
        <f t="shared" si="343"/>
        <v>0</v>
      </c>
      <c r="BA297" s="16">
        <f t="shared" si="343"/>
        <v>8336675</v>
      </c>
      <c r="BB297" s="16">
        <f t="shared" si="343"/>
        <v>0</v>
      </c>
      <c r="BC297" s="16">
        <f t="shared" si="343"/>
        <v>0</v>
      </c>
      <c r="BD297" s="16">
        <f t="shared" si="343"/>
        <v>0</v>
      </c>
      <c r="BE297" s="16">
        <f t="shared" si="343"/>
        <v>0</v>
      </c>
      <c r="BF297" s="16">
        <f t="shared" si="343"/>
        <v>0</v>
      </c>
      <c r="BG297" s="16">
        <f t="shared" si="343"/>
        <v>0</v>
      </c>
      <c r="BH297" s="16">
        <f t="shared" si="343"/>
        <v>0</v>
      </c>
      <c r="BI297" s="16">
        <f t="shared" si="343"/>
        <v>8336675</v>
      </c>
      <c r="BJ297" s="16">
        <f t="shared" si="343"/>
        <v>0</v>
      </c>
      <c r="BK297" s="16">
        <f t="shared" si="343"/>
        <v>0</v>
      </c>
      <c r="BL297" s="16">
        <f t="shared" si="343"/>
        <v>0</v>
      </c>
      <c r="BM297" s="16">
        <f t="shared" si="343"/>
        <v>0</v>
      </c>
      <c r="BN297" s="16">
        <f t="shared" si="343"/>
        <v>0</v>
      </c>
      <c r="BO297" s="16">
        <f t="shared" si="343"/>
        <v>0</v>
      </c>
      <c r="BP297" s="16">
        <f t="shared" si="343"/>
        <v>0</v>
      </c>
      <c r="BQ297" s="16">
        <f t="shared" ref="BQ297:CW297" si="344">SUM(BQ298)</f>
        <v>0</v>
      </c>
      <c r="BR297" s="16">
        <f t="shared" si="344"/>
        <v>0</v>
      </c>
      <c r="BS297" s="16">
        <f t="shared" si="344"/>
        <v>0</v>
      </c>
      <c r="BT297" s="16">
        <f t="shared" si="344"/>
        <v>0</v>
      </c>
      <c r="BU297" s="16">
        <f t="shared" si="344"/>
        <v>0</v>
      </c>
      <c r="BV297" s="16">
        <f t="shared" si="344"/>
        <v>0</v>
      </c>
      <c r="BW297" s="16">
        <f t="shared" si="344"/>
        <v>0</v>
      </c>
      <c r="BX297" s="16">
        <f t="shared" si="344"/>
        <v>0</v>
      </c>
      <c r="BY297" s="16">
        <f t="shared" si="344"/>
        <v>0</v>
      </c>
      <c r="BZ297" s="16">
        <f t="shared" si="344"/>
        <v>0</v>
      </c>
      <c r="CA297" s="16">
        <f t="shared" si="344"/>
        <v>0</v>
      </c>
      <c r="CB297" s="16">
        <f t="shared" si="344"/>
        <v>0</v>
      </c>
      <c r="CC297" s="16">
        <f t="shared" si="344"/>
        <v>0</v>
      </c>
      <c r="CD297" s="16">
        <f t="shared" si="344"/>
        <v>0</v>
      </c>
      <c r="CE297" s="16">
        <f t="shared" si="344"/>
        <v>0</v>
      </c>
      <c r="CF297" s="16">
        <f t="shared" si="344"/>
        <v>0</v>
      </c>
      <c r="CG297" s="16">
        <f t="shared" si="344"/>
        <v>0</v>
      </c>
      <c r="CH297" s="16">
        <f t="shared" si="344"/>
        <v>0</v>
      </c>
      <c r="CI297" s="16">
        <f t="shared" si="344"/>
        <v>0</v>
      </c>
      <c r="CJ297" s="16">
        <f t="shared" si="344"/>
        <v>0</v>
      </c>
      <c r="CK297" s="16">
        <f t="shared" si="344"/>
        <v>0</v>
      </c>
      <c r="CL297" s="16">
        <f t="shared" si="344"/>
        <v>0</v>
      </c>
      <c r="CM297" s="16">
        <f t="shared" si="344"/>
        <v>0</v>
      </c>
      <c r="CN297" s="16">
        <f t="shared" si="344"/>
        <v>0</v>
      </c>
      <c r="CO297" s="16">
        <f t="shared" si="344"/>
        <v>0</v>
      </c>
      <c r="CP297" s="16">
        <f t="shared" si="344"/>
        <v>0</v>
      </c>
      <c r="CQ297" s="16">
        <f t="shared" si="344"/>
        <v>0</v>
      </c>
      <c r="CR297" s="16">
        <f t="shared" si="344"/>
        <v>0</v>
      </c>
      <c r="CS297" s="16">
        <f t="shared" si="344"/>
        <v>0</v>
      </c>
      <c r="CT297" s="16">
        <f t="shared" si="344"/>
        <v>0</v>
      </c>
      <c r="CU297" s="16">
        <f t="shared" si="344"/>
        <v>0</v>
      </c>
      <c r="CV297" s="16">
        <f t="shared" si="344"/>
        <v>0</v>
      </c>
      <c r="CW297" s="17">
        <f t="shared" si="344"/>
        <v>0</v>
      </c>
      <c r="CX297" s="40"/>
    </row>
    <row r="298" spans="1:102" ht="15.75" hidden="1" x14ac:dyDescent="0.25">
      <c r="A298" s="13" t="s">
        <v>1</v>
      </c>
      <c r="B298" s="14" t="s">
        <v>1</v>
      </c>
      <c r="C298" s="14" t="s">
        <v>43</v>
      </c>
      <c r="D298" s="30" t="s">
        <v>316</v>
      </c>
      <c r="E298" s="15">
        <f>SUM(F298+BY298+CT298)</f>
        <v>8336675</v>
      </c>
      <c r="F298" s="16">
        <f>SUM(G298+BA298)</f>
        <v>8336675</v>
      </c>
      <c r="G298" s="16">
        <f>SUM(H298+I298+J298+Q298+T298+U298+V298+AE298)</f>
        <v>0</v>
      </c>
      <c r="H298" s="16">
        <v>0</v>
      </c>
      <c r="I298" s="16">
        <v>0</v>
      </c>
      <c r="J298" s="16">
        <f t="shared" si="321"/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f t="shared" si="322"/>
        <v>0</v>
      </c>
      <c r="R298" s="16">
        <v>0</v>
      </c>
      <c r="S298" s="16">
        <v>0</v>
      </c>
      <c r="T298" s="16">
        <v>0</v>
      </c>
      <c r="U298" s="16">
        <v>0</v>
      </c>
      <c r="V298" s="16">
        <f>SUM(W298:AD298)</f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f>SUM(AF298:AZ298)</f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16">
        <v>0</v>
      </c>
      <c r="AR298" s="16">
        <v>0</v>
      </c>
      <c r="AS298" s="16">
        <v>0</v>
      </c>
      <c r="AT298" s="16">
        <v>0</v>
      </c>
      <c r="AU298" s="16">
        <v>0</v>
      </c>
      <c r="AV298" s="16">
        <v>0</v>
      </c>
      <c r="AW298" s="16">
        <v>0</v>
      </c>
      <c r="AX298" s="16">
        <v>0</v>
      </c>
      <c r="AY298" s="16">
        <v>0</v>
      </c>
      <c r="AZ298" s="16">
        <v>0</v>
      </c>
      <c r="BA298" s="16">
        <f>SUM(BB298+BF298+BI298+BK298+BM298)</f>
        <v>8336675</v>
      </c>
      <c r="BB298" s="16">
        <f>SUM(BC298:BE298)</f>
        <v>0</v>
      </c>
      <c r="BC298" s="16">
        <v>0</v>
      </c>
      <c r="BD298" s="16">
        <v>0</v>
      </c>
      <c r="BE298" s="16">
        <v>0</v>
      </c>
      <c r="BF298" s="16">
        <f t="shared" si="323"/>
        <v>0</v>
      </c>
      <c r="BG298" s="16">
        <v>0</v>
      </c>
      <c r="BH298" s="16">
        <v>0</v>
      </c>
      <c r="BI298" s="16">
        <f>11645390-3308715</f>
        <v>8336675</v>
      </c>
      <c r="BJ298" s="16">
        <v>0</v>
      </c>
      <c r="BK298" s="16">
        <f t="shared" si="324"/>
        <v>0</v>
      </c>
      <c r="BL298" s="16">
        <v>0</v>
      </c>
      <c r="BM298" s="16">
        <f t="shared" si="325"/>
        <v>0</v>
      </c>
      <c r="BN298" s="16">
        <v>0</v>
      </c>
      <c r="BO298" s="16">
        <v>0</v>
      </c>
      <c r="BP298" s="16">
        <v>0</v>
      </c>
      <c r="BQ298" s="16">
        <v>0</v>
      </c>
      <c r="BR298" s="16">
        <v>0</v>
      </c>
      <c r="BS298" s="16">
        <v>0</v>
      </c>
      <c r="BT298" s="16">
        <v>0</v>
      </c>
      <c r="BU298" s="16">
        <v>0</v>
      </c>
      <c r="BV298" s="16">
        <v>0</v>
      </c>
      <c r="BW298" s="16">
        <v>0</v>
      </c>
      <c r="BX298" s="16">
        <v>0</v>
      </c>
      <c r="BY298" s="16">
        <f>SUM(BZ298+CS298)</f>
        <v>0</v>
      </c>
      <c r="BZ298" s="16">
        <f>SUM(CA298+CD298+CK298)</f>
        <v>0</v>
      </c>
      <c r="CA298" s="16">
        <f t="shared" si="326"/>
        <v>0</v>
      </c>
      <c r="CB298" s="16">
        <v>0</v>
      </c>
      <c r="CC298" s="16">
        <v>0</v>
      </c>
      <c r="CD298" s="16">
        <f t="shared" si="327"/>
        <v>0</v>
      </c>
      <c r="CE298" s="16">
        <v>0</v>
      </c>
      <c r="CF298" s="16">
        <v>0</v>
      </c>
      <c r="CG298" s="16">
        <v>0</v>
      </c>
      <c r="CH298" s="16">
        <v>0</v>
      </c>
      <c r="CI298" s="16">
        <v>0</v>
      </c>
      <c r="CJ298" s="16">
        <v>0</v>
      </c>
      <c r="CK298" s="16">
        <f t="shared" si="328"/>
        <v>0</v>
      </c>
      <c r="CL298" s="16">
        <v>0</v>
      </c>
      <c r="CM298" s="16">
        <v>0</v>
      </c>
      <c r="CN298" s="16">
        <v>0</v>
      </c>
      <c r="CO298" s="16">
        <v>0</v>
      </c>
      <c r="CP298" s="16">
        <v>0</v>
      </c>
      <c r="CQ298" s="16">
        <v>0</v>
      </c>
      <c r="CR298" s="16">
        <v>0</v>
      </c>
      <c r="CS298" s="16">
        <v>0</v>
      </c>
      <c r="CT298" s="16">
        <f t="shared" si="329"/>
        <v>0</v>
      </c>
      <c r="CU298" s="16">
        <f t="shared" si="330"/>
        <v>0</v>
      </c>
      <c r="CV298" s="16">
        <v>0</v>
      </c>
      <c r="CW298" s="17">
        <v>0</v>
      </c>
      <c r="CX298" s="40"/>
    </row>
    <row r="299" spans="1:102" ht="16.5" thickBot="1" x14ac:dyDescent="0.3">
      <c r="A299" s="24" t="s">
        <v>1</v>
      </c>
      <c r="B299" s="25" t="s">
        <v>1</v>
      </c>
      <c r="C299" s="25" t="s">
        <v>1</v>
      </c>
      <c r="D299" s="32" t="s">
        <v>516</v>
      </c>
      <c r="E299" s="26">
        <f t="shared" ref="E299:BP299" si="345">E10+E46+E57+E62+E67+E83+E99+E102+E106+E111+E120+E141+E156+E163+E176+E201+E207+E211+E281+E284+E204</f>
        <v>4205766283</v>
      </c>
      <c r="F299" s="27">
        <f t="shared" si="345"/>
        <v>3620821409</v>
      </c>
      <c r="G299" s="27">
        <f t="shared" si="345"/>
        <v>2604302951</v>
      </c>
      <c r="H299" s="27">
        <f t="shared" si="345"/>
        <v>1513879376</v>
      </c>
      <c r="I299" s="27">
        <f t="shared" si="345"/>
        <v>234375288</v>
      </c>
      <c r="J299" s="27">
        <f t="shared" si="345"/>
        <v>405290827</v>
      </c>
      <c r="K299" s="27">
        <f t="shared" si="345"/>
        <v>134680603</v>
      </c>
      <c r="L299" s="27">
        <f t="shared" si="345"/>
        <v>66917772</v>
      </c>
      <c r="M299" s="27">
        <f t="shared" si="345"/>
        <v>92953094</v>
      </c>
      <c r="N299" s="27">
        <f t="shared" si="345"/>
        <v>4492473</v>
      </c>
      <c r="O299" s="27">
        <f t="shared" si="345"/>
        <v>76886569</v>
      </c>
      <c r="P299" s="27">
        <f t="shared" si="345"/>
        <v>29360316</v>
      </c>
      <c r="Q299" s="27">
        <f t="shared" si="345"/>
        <v>10401130</v>
      </c>
      <c r="R299" s="27">
        <f t="shared" si="345"/>
        <v>595967</v>
      </c>
      <c r="S299" s="27">
        <f t="shared" si="345"/>
        <v>9805163</v>
      </c>
      <c r="T299" s="27">
        <f t="shared" si="345"/>
        <v>316024</v>
      </c>
      <c r="U299" s="27">
        <f t="shared" si="345"/>
        <v>18683323</v>
      </c>
      <c r="V299" s="27">
        <f t="shared" si="345"/>
        <v>127479534</v>
      </c>
      <c r="W299" s="27">
        <f t="shared" si="345"/>
        <v>12107032</v>
      </c>
      <c r="X299" s="27">
        <f t="shared" si="345"/>
        <v>14750791</v>
      </c>
      <c r="Y299" s="27">
        <f t="shared" si="345"/>
        <v>28026451</v>
      </c>
      <c r="Z299" s="27">
        <f t="shared" si="345"/>
        <v>5690371</v>
      </c>
      <c r="AA299" s="27">
        <f t="shared" si="345"/>
        <v>2695838</v>
      </c>
      <c r="AB299" s="27">
        <f t="shared" si="345"/>
        <v>1938558</v>
      </c>
      <c r="AC299" s="27">
        <f t="shared" si="345"/>
        <v>61396038</v>
      </c>
      <c r="AD299" s="27">
        <f t="shared" si="345"/>
        <v>874455</v>
      </c>
      <c r="AE299" s="27">
        <f t="shared" si="345"/>
        <v>293877449</v>
      </c>
      <c r="AF299" s="27">
        <f t="shared" si="345"/>
        <v>8827691</v>
      </c>
      <c r="AG299" s="27">
        <f t="shared" si="345"/>
        <v>4802492</v>
      </c>
      <c r="AH299" s="27">
        <f t="shared" si="345"/>
        <v>17489354</v>
      </c>
      <c r="AI299" s="27">
        <f t="shared" si="345"/>
        <v>2057644</v>
      </c>
      <c r="AJ299" s="27">
        <f t="shared" si="345"/>
        <v>3733106</v>
      </c>
      <c r="AK299" s="27">
        <f t="shared" si="345"/>
        <v>1268500</v>
      </c>
      <c r="AL299" s="27">
        <f t="shared" si="345"/>
        <v>7783015</v>
      </c>
      <c r="AM299" s="27">
        <f t="shared" si="345"/>
        <v>8636021</v>
      </c>
      <c r="AN299" s="27">
        <f t="shared" si="345"/>
        <v>5063237</v>
      </c>
      <c r="AO299" s="27">
        <f t="shared" si="345"/>
        <v>450481</v>
      </c>
      <c r="AP299" s="27">
        <f t="shared" si="345"/>
        <v>974849</v>
      </c>
      <c r="AQ299" s="27">
        <f t="shared" si="345"/>
        <v>10506379</v>
      </c>
      <c r="AR299" s="27">
        <f t="shared" si="345"/>
        <v>3515613</v>
      </c>
      <c r="AS299" s="27">
        <f t="shared" si="345"/>
        <v>947088</v>
      </c>
      <c r="AT299" s="27">
        <f t="shared" si="345"/>
        <v>524239</v>
      </c>
      <c r="AU299" s="27">
        <f t="shared" si="345"/>
        <v>2770271</v>
      </c>
      <c r="AV299" s="27">
        <f t="shared" si="345"/>
        <v>17654826</v>
      </c>
      <c r="AW299" s="27">
        <f t="shared" si="345"/>
        <v>49899670</v>
      </c>
      <c r="AX299" s="27">
        <f t="shared" si="345"/>
        <v>46800</v>
      </c>
      <c r="AY299" s="27">
        <f t="shared" si="345"/>
        <v>350883</v>
      </c>
      <c r="AZ299" s="27">
        <f t="shared" si="345"/>
        <v>146575290</v>
      </c>
      <c r="BA299" s="27">
        <f t="shared" si="345"/>
        <v>1016518458</v>
      </c>
      <c r="BB299" s="27">
        <f t="shared" si="345"/>
        <v>172603239</v>
      </c>
      <c r="BC299" s="27">
        <f t="shared" si="345"/>
        <v>145393426</v>
      </c>
      <c r="BD299" s="27">
        <f t="shared" si="345"/>
        <v>6980711</v>
      </c>
      <c r="BE299" s="27">
        <f t="shared" si="345"/>
        <v>20229102</v>
      </c>
      <c r="BF299" s="27">
        <f t="shared" si="345"/>
        <v>13419070</v>
      </c>
      <c r="BG299" s="27">
        <f t="shared" si="345"/>
        <v>8642083</v>
      </c>
      <c r="BH299" s="27">
        <f t="shared" si="345"/>
        <v>4776987</v>
      </c>
      <c r="BI299" s="27">
        <f t="shared" si="345"/>
        <v>344548528</v>
      </c>
      <c r="BJ299" s="27">
        <f t="shared" si="345"/>
        <v>4214513</v>
      </c>
      <c r="BK299" s="27">
        <f t="shared" si="345"/>
        <v>744656</v>
      </c>
      <c r="BL299" s="27">
        <f t="shared" si="345"/>
        <v>744656</v>
      </c>
      <c r="BM299" s="27">
        <f t="shared" si="345"/>
        <v>485202965</v>
      </c>
      <c r="BN299" s="27">
        <f t="shared" si="345"/>
        <v>59749651</v>
      </c>
      <c r="BO299" s="27">
        <f t="shared" si="345"/>
        <v>4583424</v>
      </c>
      <c r="BP299" s="27">
        <f t="shared" si="345"/>
        <v>16556114</v>
      </c>
      <c r="BQ299" s="27">
        <f t="shared" ref="BQ299:CW299" si="346">BQ10+BQ46+BQ57+BQ62+BQ67+BQ83+BQ99+BQ102+BQ106+BQ111+BQ120+BQ141+BQ156+BQ163+BQ176+BQ201+BQ207+BQ211+BQ281+BQ284+BQ204</f>
        <v>14134363</v>
      </c>
      <c r="BR299" s="27">
        <f t="shared" si="346"/>
        <v>100000</v>
      </c>
      <c r="BS299" s="27">
        <f t="shared" si="346"/>
        <v>407888</v>
      </c>
      <c r="BT299" s="27">
        <f t="shared" si="346"/>
        <v>167368528</v>
      </c>
      <c r="BU299" s="27">
        <f t="shared" si="346"/>
        <v>1401135</v>
      </c>
      <c r="BV299" s="27">
        <f t="shared" si="346"/>
        <v>230042</v>
      </c>
      <c r="BW299" s="27">
        <f t="shared" si="346"/>
        <v>147588547</v>
      </c>
      <c r="BX299" s="27">
        <f t="shared" si="346"/>
        <v>73083273</v>
      </c>
      <c r="BY299" s="27">
        <f t="shared" si="346"/>
        <v>484458357</v>
      </c>
      <c r="BZ299" s="27">
        <f t="shared" si="346"/>
        <v>351184866</v>
      </c>
      <c r="CA299" s="27">
        <f t="shared" si="346"/>
        <v>101348274</v>
      </c>
      <c r="CB299" s="27">
        <f t="shared" si="346"/>
        <v>3287761</v>
      </c>
      <c r="CC299" s="27">
        <f t="shared" si="346"/>
        <v>98060513</v>
      </c>
      <c r="CD299" s="27">
        <f t="shared" si="346"/>
        <v>146355354</v>
      </c>
      <c r="CE299" s="27">
        <f t="shared" si="346"/>
        <v>1267875</v>
      </c>
      <c r="CF299" s="27">
        <f t="shared" si="346"/>
        <v>0</v>
      </c>
      <c r="CG299" s="27">
        <f t="shared" si="346"/>
        <v>122186255</v>
      </c>
      <c r="CH299" s="27">
        <f t="shared" si="346"/>
        <v>15463103</v>
      </c>
      <c r="CI299" s="27">
        <f t="shared" si="346"/>
        <v>7197854</v>
      </c>
      <c r="CJ299" s="27">
        <f t="shared" si="346"/>
        <v>240267</v>
      </c>
      <c r="CK299" s="27">
        <f t="shared" si="346"/>
        <v>103481238</v>
      </c>
      <c r="CL299" s="27">
        <f t="shared" si="346"/>
        <v>2114966</v>
      </c>
      <c r="CM299" s="27">
        <f t="shared" si="346"/>
        <v>0</v>
      </c>
      <c r="CN299" s="27">
        <f t="shared" si="346"/>
        <v>82284262</v>
      </c>
      <c r="CO299" s="27">
        <f t="shared" si="346"/>
        <v>8362578</v>
      </c>
      <c r="CP299" s="27">
        <f t="shared" si="346"/>
        <v>10719432</v>
      </c>
      <c r="CQ299" s="27">
        <f t="shared" si="346"/>
        <v>3875517</v>
      </c>
      <c r="CR299" s="27">
        <f t="shared" si="346"/>
        <v>3875517</v>
      </c>
      <c r="CS299" s="27">
        <f t="shared" si="346"/>
        <v>129397974</v>
      </c>
      <c r="CT299" s="27">
        <f t="shared" si="346"/>
        <v>100486517</v>
      </c>
      <c r="CU299" s="27">
        <f t="shared" si="346"/>
        <v>100486517</v>
      </c>
      <c r="CV299" s="27">
        <f t="shared" si="346"/>
        <v>34500</v>
      </c>
      <c r="CW299" s="28">
        <f t="shared" si="346"/>
        <v>100452017</v>
      </c>
      <c r="CX299" s="40"/>
    </row>
    <row r="300" spans="1:102" x14ac:dyDescent="0.25">
      <c r="A300" s="33" t="s">
        <v>1</v>
      </c>
      <c r="B300" s="33" t="s">
        <v>1</v>
      </c>
      <c r="C300" s="33" t="s">
        <v>1</v>
      </c>
      <c r="D300" s="34" t="s">
        <v>1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>
        <v>0</v>
      </c>
      <c r="AI300" s="35">
        <v>0</v>
      </c>
      <c r="AJ300" s="35">
        <v>0</v>
      </c>
      <c r="AK300" s="35">
        <v>0</v>
      </c>
      <c r="AL300" s="35">
        <v>0</v>
      </c>
      <c r="AM300" s="35">
        <v>0</v>
      </c>
      <c r="AN300" s="35">
        <v>0</v>
      </c>
      <c r="AO300" s="35">
        <v>0</v>
      </c>
      <c r="AP300" s="35">
        <v>0</v>
      </c>
      <c r="AQ300" s="35">
        <v>0</v>
      </c>
      <c r="AR300" s="35">
        <v>0</v>
      </c>
      <c r="AS300" s="35">
        <v>0</v>
      </c>
      <c r="AT300" s="35">
        <v>0</v>
      </c>
      <c r="AU300" s="35">
        <v>0</v>
      </c>
      <c r="AV300" s="35">
        <v>0</v>
      </c>
      <c r="AW300" s="35">
        <v>0</v>
      </c>
      <c r="AX300" s="35">
        <v>0</v>
      </c>
      <c r="AY300" s="35">
        <v>0</v>
      </c>
      <c r="AZ300" s="35">
        <v>0</v>
      </c>
      <c r="BA300" s="35">
        <v>0</v>
      </c>
      <c r="BB300" s="35">
        <v>0</v>
      </c>
      <c r="BC300" s="35">
        <v>0</v>
      </c>
      <c r="BD300" s="35">
        <v>0</v>
      </c>
      <c r="BE300" s="35">
        <v>0</v>
      </c>
      <c r="BF300" s="35">
        <v>0</v>
      </c>
      <c r="BG300" s="35">
        <v>0</v>
      </c>
      <c r="BH300" s="35">
        <v>0</v>
      </c>
      <c r="BI300" s="35">
        <v>0</v>
      </c>
      <c r="BJ300" s="35">
        <v>0</v>
      </c>
      <c r="BK300" s="35">
        <v>0</v>
      </c>
      <c r="BL300" s="35">
        <v>0</v>
      </c>
      <c r="BM300" s="35">
        <v>0</v>
      </c>
      <c r="BN300" s="35">
        <v>0</v>
      </c>
      <c r="BO300" s="35">
        <v>0</v>
      </c>
      <c r="BP300" s="35">
        <v>0</v>
      </c>
      <c r="BQ300" s="35">
        <v>0</v>
      </c>
      <c r="BR300" s="35">
        <v>0</v>
      </c>
      <c r="BS300" s="35">
        <v>0</v>
      </c>
      <c r="BT300" s="35">
        <v>0</v>
      </c>
      <c r="BU300" s="35">
        <v>0</v>
      </c>
      <c r="BV300" s="35">
        <v>0</v>
      </c>
      <c r="BW300" s="35">
        <v>0</v>
      </c>
      <c r="BX300" s="35">
        <v>0</v>
      </c>
      <c r="BY300" s="35">
        <v>0</v>
      </c>
      <c r="BZ300" s="35">
        <v>0</v>
      </c>
      <c r="CA300" s="35">
        <v>0</v>
      </c>
      <c r="CB300" s="35">
        <v>0</v>
      </c>
      <c r="CC300" s="35">
        <v>0</v>
      </c>
      <c r="CD300" s="35">
        <v>0</v>
      </c>
      <c r="CE300" s="35">
        <v>0</v>
      </c>
      <c r="CF300" s="35">
        <v>0</v>
      </c>
      <c r="CG300" s="35">
        <v>0</v>
      </c>
      <c r="CH300" s="35">
        <v>0</v>
      </c>
      <c r="CI300" s="35">
        <v>0</v>
      </c>
      <c r="CJ300" s="35"/>
      <c r="CK300" s="35">
        <v>0</v>
      </c>
      <c r="CL300" s="35">
        <v>0</v>
      </c>
      <c r="CM300" s="35">
        <v>0</v>
      </c>
      <c r="CN300" s="35">
        <v>0</v>
      </c>
      <c r="CO300" s="35">
        <v>0</v>
      </c>
      <c r="CP300" s="35">
        <v>0</v>
      </c>
      <c r="CQ300" s="35">
        <v>0</v>
      </c>
      <c r="CR300" s="35">
        <v>0</v>
      </c>
      <c r="CS300" s="35">
        <v>0</v>
      </c>
      <c r="CT300" s="35">
        <v>0</v>
      </c>
      <c r="CU300" s="35">
        <v>0</v>
      </c>
      <c r="CV300" s="35">
        <v>0</v>
      </c>
      <c r="CW300" s="35">
        <v>0</v>
      </c>
      <c r="CX300" s="40"/>
    </row>
    <row r="301" spans="1:102" x14ac:dyDescent="0.25">
      <c r="CF301"/>
      <c r="CG301"/>
      <c r="CH301"/>
      <c r="CI301"/>
      <c r="CJ301"/>
      <c r="CK301"/>
      <c r="CL301"/>
      <c r="CM301"/>
      <c r="CN301"/>
      <c r="CO301"/>
      <c r="CP301"/>
      <c r="CQ301"/>
    </row>
  </sheetData>
  <mergeCells count="102">
    <mergeCell ref="A7:B7"/>
    <mergeCell ref="C7:C9"/>
    <mergeCell ref="D7:D9"/>
    <mergeCell ref="E7:E9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BJ7:BJ8"/>
    <mergeCell ref="BK7:BK8"/>
    <mergeCell ref="BL7:BL8"/>
    <mergeCell ref="BM7:BM8"/>
    <mergeCell ref="BN7:BN8"/>
    <mergeCell ref="BO7:BO8"/>
    <mergeCell ref="BD7:BD8"/>
    <mergeCell ref="BE7:BE8"/>
    <mergeCell ref="BF7:BF8"/>
    <mergeCell ref="BG7:BG8"/>
    <mergeCell ref="BH7:BH8"/>
    <mergeCell ref="BI7:BI8"/>
    <mergeCell ref="BV7:BV8"/>
    <mergeCell ref="BW7:BW8"/>
    <mergeCell ref="BX7:BX8"/>
    <mergeCell ref="BY7:BY8"/>
    <mergeCell ref="BZ7:BZ8"/>
    <mergeCell ref="CA7:CA8"/>
    <mergeCell ref="BP7:BP8"/>
    <mergeCell ref="BQ7:BQ8"/>
    <mergeCell ref="BR7:BR8"/>
    <mergeCell ref="BS7:BS8"/>
    <mergeCell ref="BT7:BT8"/>
    <mergeCell ref="BU7:BU8"/>
    <mergeCell ref="CT7:CT8"/>
    <mergeCell ref="CU7:CU8"/>
    <mergeCell ref="CV7:CV8"/>
    <mergeCell ref="CW7:CW8"/>
    <mergeCell ref="A8:A9"/>
    <mergeCell ref="B8:B9"/>
    <mergeCell ref="CN7:CN8"/>
    <mergeCell ref="CO7:CO8"/>
    <mergeCell ref="CP7:CP8"/>
    <mergeCell ref="CQ7:CQ8"/>
    <mergeCell ref="CR7:CR8"/>
    <mergeCell ref="CS7:CS8"/>
    <mergeCell ref="CH7:CH8"/>
    <mergeCell ref="CI7:CI8"/>
    <mergeCell ref="CJ7:CJ8"/>
    <mergeCell ref="CK7:CK8"/>
    <mergeCell ref="CL7:CL8"/>
    <mergeCell ref="CM7:CM8"/>
    <mergeCell ref="CB7:CB8"/>
    <mergeCell ref="CC7:CC8"/>
    <mergeCell ref="CD7:CD8"/>
    <mergeCell ref="CE7:CE8"/>
    <mergeCell ref="CF7:CF8"/>
    <mergeCell ref="CG7:C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Действующая редакция</vt:lpstr>
      <vt:lpstr>Предлагаемая редакция</vt:lpstr>
      <vt:lpstr>'Действующая редакция'!Заголовки_для_печати</vt:lpstr>
      <vt:lpstr>'Действующая редакция'!Область_печати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Мога Лариса</dc:creator>
  <cp:lastModifiedBy>Попова И.Н.</cp:lastModifiedBy>
  <cp:lastPrinted>2020-04-07T08:09:10Z</cp:lastPrinted>
  <dcterms:created xsi:type="dcterms:W3CDTF">2019-12-19T08:12:45Z</dcterms:created>
  <dcterms:modified xsi:type="dcterms:W3CDTF">2020-11-30T06:18:53Z</dcterms:modified>
</cp:coreProperties>
</file>