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0" yWindow="0" windowWidth="20490" windowHeight="6585"/>
  </bookViews>
  <sheets>
    <sheet name="Приложение № 7" sheetId="1" r:id="rId1"/>
  </sheets>
  <definedNames>
    <definedName name="_xlnm.Print_Titles" localSheetId="0">'Приложение № 7'!$13:$13</definedName>
    <definedName name="_xlnm.Print_Area" localSheetId="0">'Приложение № 7'!$A$1:$E$452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2" i="1" l="1"/>
  <c r="E452" i="1" l="1"/>
  <c r="E194" i="1"/>
  <c r="E191" i="1"/>
  <c r="E20" i="1" l="1"/>
  <c r="E443" i="1" l="1"/>
  <c r="E442" i="1"/>
  <c r="E441" i="1"/>
  <c r="E440" i="1"/>
  <c r="E439" i="1"/>
  <c r="E438" i="1"/>
  <c r="E434" i="1"/>
  <c r="E435" i="1" s="1"/>
  <c r="E423" i="1"/>
  <c r="E424" i="1" s="1"/>
  <c r="E425" i="1" s="1"/>
  <c r="E417" i="1"/>
  <c r="E418" i="1" s="1"/>
  <c r="E407" i="1"/>
  <c r="E401" i="1"/>
  <c r="E395" i="1"/>
  <c r="E396" i="1" s="1"/>
  <c r="E387" i="1"/>
  <c r="E392" i="1" s="1"/>
  <c r="E381" i="1"/>
  <c r="E380" i="1"/>
  <c r="E379" i="1"/>
  <c r="E378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56" i="1"/>
  <c r="E355" i="1"/>
  <c r="E354" i="1"/>
  <c r="E353" i="1"/>
  <c r="E352" i="1"/>
  <c r="E351" i="1"/>
  <c r="E350" i="1"/>
  <c r="E349" i="1"/>
  <c r="E348" i="1"/>
  <c r="E347" i="1"/>
  <c r="E346" i="1"/>
  <c r="E342" i="1"/>
  <c r="E338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5" i="1"/>
  <c r="E300" i="1"/>
  <c r="E303" i="1" s="1"/>
  <c r="E444" i="1" l="1"/>
  <c r="E445" i="1" s="1"/>
  <c r="E409" i="1"/>
  <c r="E410" i="1" s="1"/>
  <c r="E391" i="1"/>
  <c r="E358" i="1"/>
  <c r="E382" i="1"/>
  <c r="E339" i="1"/>
  <c r="E343" i="1" s="1"/>
  <c r="E374" i="1"/>
  <c r="E375" i="1" s="1"/>
  <c r="E357" i="1"/>
  <c r="E383" i="1"/>
  <c r="E397" i="1"/>
  <c r="E305" i="1" l="1"/>
  <c r="E450" i="1" s="1"/>
  <c r="E106" i="1"/>
  <c r="E109" i="1" s="1"/>
  <c r="E451" i="1" l="1"/>
  <c r="E261" i="1"/>
  <c r="E236" i="1"/>
  <c r="E279" i="1" l="1"/>
  <c r="E199" i="1"/>
  <c r="E224" i="1" l="1"/>
  <c r="E210" i="1"/>
  <c r="E209" i="1"/>
  <c r="E208" i="1"/>
  <c r="E198" i="1"/>
  <c r="E197" i="1"/>
  <c r="E121" i="1"/>
  <c r="E120" i="1"/>
  <c r="E119" i="1"/>
  <c r="E102" i="1"/>
  <c r="E101" i="1"/>
  <c r="E100" i="1"/>
  <c r="E99" i="1"/>
  <c r="E85" i="1"/>
  <c r="E84" i="1"/>
  <c r="E30" i="1"/>
  <c r="E201" i="1" l="1"/>
  <c r="E161" i="1"/>
  <c r="E177" i="1"/>
  <c r="E176" i="1"/>
  <c r="E174" i="1"/>
  <c r="E171" i="1"/>
  <c r="E169" i="1"/>
  <c r="E168" i="1"/>
  <c r="E166" i="1"/>
  <c r="E165" i="1"/>
  <c r="E163" i="1"/>
  <c r="E162" i="1"/>
  <c r="E52" i="1"/>
  <c r="E57" i="1"/>
  <c r="E53" i="1"/>
  <c r="E50" i="1"/>
  <c r="E43" i="1"/>
  <c r="E44" i="1"/>
  <c r="E114" i="1" l="1"/>
  <c r="E219" i="1"/>
  <c r="E218" i="1"/>
  <c r="E116" i="1"/>
  <c r="E112" i="1"/>
  <c r="E111" i="1"/>
  <c r="E228" i="1"/>
  <c r="E227" i="1"/>
  <c r="E231" i="1"/>
  <c r="E27" i="1" l="1"/>
  <c r="E143" i="1" l="1"/>
  <c r="E296" i="1" l="1"/>
  <c r="E289" i="1"/>
  <c r="E276" i="1"/>
  <c r="E271" i="1"/>
  <c r="E266" i="1"/>
  <c r="E258" i="1"/>
  <c r="E255" i="1"/>
  <c r="E252" i="1"/>
  <c r="E249" i="1"/>
  <c r="E246" i="1"/>
  <c r="E243" i="1"/>
  <c r="E232" i="1"/>
  <c r="E229" i="1"/>
  <c r="E225" i="1"/>
  <c r="E220" i="1"/>
  <c r="E222" i="1" s="1"/>
  <c r="E214" i="1"/>
  <c r="E216" i="1" s="1"/>
  <c r="E211" i="1"/>
  <c r="E206" i="1"/>
  <c r="E195" i="1"/>
  <c r="E173" i="1"/>
  <c r="E189" i="1" s="1"/>
  <c r="E154" i="1"/>
  <c r="E149" i="1"/>
  <c r="E140" i="1"/>
  <c r="E135" i="1"/>
  <c r="E132" i="1"/>
  <c r="E125" i="1"/>
  <c r="E124" i="1"/>
  <c r="E122" i="1"/>
  <c r="E117" i="1"/>
  <c r="E104" i="1"/>
  <c r="E96" i="1"/>
  <c r="E95" i="1"/>
  <c r="E94" i="1"/>
  <c r="E93" i="1"/>
  <c r="E89" i="1"/>
  <c r="E82" i="1"/>
  <c r="E47" i="1"/>
  <c r="E46" i="1"/>
  <c r="E42" i="1"/>
  <c r="E37" i="1"/>
  <c r="E34" i="1"/>
  <c r="E31" i="1"/>
  <c r="E28" i="1"/>
  <c r="E19" i="1"/>
  <c r="E14" i="1"/>
  <c r="E262" i="1" l="1"/>
  <c r="E79" i="1"/>
  <c r="E267" i="1"/>
  <c r="E280" i="1"/>
  <c r="E144" i="1"/>
  <c r="E192" i="1"/>
  <c r="E272" i="1"/>
  <c r="E290" i="1"/>
  <c r="E155" i="1"/>
  <c r="E150" i="1"/>
  <c r="E38" i="1"/>
  <c r="E97" i="1"/>
  <c r="E126" i="1"/>
  <c r="E136" i="1"/>
  <c r="E237" i="1" l="1"/>
  <c r="E127" i="1"/>
  <c r="E281" i="1" l="1"/>
  <c r="E156" i="1"/>
  <c r="E291" i="1" l="1"/>
  <c r="E23" i="1" s="1"/>
</calcChain>
</file>

<file path=xl/sharedStrings.xml><?xml version="1.0" encoding="utf-8"?>
<sst xmlns="http://schemas.openxmlformats.org/spreadsheetml/2006/main" count="462" uniqueCount="369">
  <si>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</si>
  <si>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</si>
  <si>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</si>
  <si>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>Итого по подстатье 240 240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</si>
  <si>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</si>
  <si>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</si>
  <si>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</si>
  <si>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</si>
  <si>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</si>
  <si>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</si>
  <si>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</si>
  <si>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</si>
  <si>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</si>
  <si>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</si>
  <si>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</si>
  <si>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подстатье 240 330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</si>
  <si>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</si>
  <si>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</si>
  <si>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</si>
  <si>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</si>
  <si>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Итого по программе капитального ремонта</t>
  </si>
  <si>
    <t>Программа развития материально-технической базы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</si>
  <si>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</si>
  <si>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</si>
  <si>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</si>
  <si>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</si>
  <si>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</si>
  <si>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</si>
  <si>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администрация Слободзейского района и г. Слободзеи</t>
  </si>
  <si>
    <t>Реконструкция центральной части г. Слободзеи (парк молодоженов), в том числе проектные работы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</si>
  <si>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</si>
  <si>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</si>
  <si>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Итого по программе развития материально-технической базы</t>
  </si>
  <si>
    <t>Государственная администрация Дубоссарского района и г. Дубоссары</t>
  </si>
  <si>
    <t>Итого по подстатье 240 120</t>
  </si>
  <si>
    <t>Министерство здравоохранения Приднестровской Молдавской Республики</t>
  </si>
  <si>
    <t>Капитальный ремонт административных зданий (240 340)</t>
  </si>
  <si>
    <t>Капитальные вложения в строительство административных зданий  (240 240)</t>
  </si>
  <si>
    <t>Укрепление противопаводковой дамбы Тирасполь-Суклея</t>
  </si>
  <si>
    <t xml:space="preserve">Сумма, руб. </t>
  </si>
  <si>
    <t>Государственная администрация Рыбницкого района и г. Рыбницы</t>
  </si>
  <si>
    <t>Строительство ФАП в с. Ленино ГУ "Рыбницкая центральная районная больница", в том числе проектные работы</t>
  </si>
  <si>
    <t xml:space="preserve">Министерство финансов Приднестровской Молдавской Республики </t>
  </si>
  <si>
    <t>Благоустройство центральной части города Бендеры</t>
  </si>
  <si>
    <t xml:space="preserve">Капитальный ремонт Дома культуры с. Терновка </t>
  </si>
  <si>
    <t xml:space="preserve">Прокуратура Приднестровской Молдавской Республики </t>
  </si>
  <si>
    <t>Товары и услуги, не отнесенные к другим подстатьям (111 070)</t>
  </si>
  <si>
    <t>Министерство экономического развития Приднестровской Молдавской Республики</t>
  </si>
  <si>
    <t xml:space="preserve">Разработка и экспертиза проектно-сметной документации по строительству зданий и сооружений </t>
  </si>
  <si>
    <t>Итого по подстатье 111 070</t>
  </si>
  <si>
    <t>Министерство внутренних дел Приднестровской Молдавской Республики</t>
  </si>
  <si>
    <t>Капитальный ремонт здания ГАИ г. Бендеры (пождепо)</t>
  </si>
  <si>
    <t>Участие Правительства в осуществлении отдельных программ (290 000)</t>
  </si>
  <si>
    <t>Программа "Пожарная безопасность объектов социально-культурного назначения"</t>
  </si>
  <si>
    <t>Итого по программе "Пожарная безопасность объектов социально-культурного назначения"</t>
  </si>
  <si>
    <t>Итого по подстатье 290 000</t>
  </si>
  <si>
    <t>Министерство юстиции Приднестровской Молдавской Республики</t>
  </si>
  <si>
    <t>Судебный департамент при Верховном суде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</si>
  <si>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</si>
  <si>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>Приобретение оборудования для системы "Безопасный город"</t>
  </si>
  <si>
    <t>Министерство по социальной защите и труду Приднестровской Молдавской Республики</t>
  </si>
  <si>
    <t>Приобретение инвалидных колясок для инвалидов (статья 130 630)</t>
  </si>
  <si>
    <t>в том числе:</t>
  </si>
  <si>
    <t>наименование медицинской техники</t>
  </si>
  <si>
    <t>кол-во</t>
  </si>
  <si>
    <t>цена за единицу, руб.</t>
  </si>
  <si>
    <t>итого стоимость, руб.</t>
  </si>
  <si>
    <t>1.1</t>
  </si>
  <si>
    <t>Приобретение оборудования, предметов длительного пользования</t>
  </si>
  <si>
    <t>(подстатья 240120)</t>
  </si>
  <si>
    <t>Портативный электрокардиограф 3-канальный</t>
  </si>
  <si>
    <t>Портативный электрокардиограф 12-канальный</t>
  </si>
  <si>
    <t>Аппарат для мониторирования по холтеру</t>
  </si>
  <si>
    <t>Набор инструментов для сосудистой хирургии</t>
  </si>
  <si>
    <t>Набор микрохирургических инструментов</t>
  </si>
  <si>
    <t>Аппарат УЗИ</t>
  </si>
  <si>
    <t>Линейный датчик к аппарату УЗИ Acuson X700</t>
  </si>
  <si>
    <t>Эндоскопический комплекс для детей</t>
  </si>
  <si>
    <t>Алкотестеры</t>
  </si>
  <si>
    <t>Эндоскопическая система для исследования желудочно-кишечного тракта</t>
  </si>
  <si>
    <t>Итого 240120</t>
  </si>
  <si>
    <t>1.2</t>
  </si>
  <si>
    <t>1.3</t>
  </si>
  <si>
    <t>1.4</t>
  </si>
  <si>
    <t>Приобретение оборудования для оснащения патологоанатомического отделения ГУ "Республиканская клиническая больница"</t>
  </si>
  <si>
    <t>Автоматический гистологический процессор</t>
  </si>
  <si>
    <t>Автомат для окрашивания гистологических срезов</t>
  </si>
  <si>
    <t>Стол патологоанатомический</t>
  </si>
  <si>
    <t>1.5</t>
  </si>
  <si>
    <t>1.6</t>
  </si>
  <si>
    <t>Оргтехника в комплекте</t>
  </si>
  <si>
    <t>1.7</t>
  </si>
  <si>
    <t>Ларингоскоп и комплект инструментов</t>
  </si>
  <si>
    <t>Аппарат электрохирургический высокочастотный</t>
  </si>
  <si>
    <t>Стерилизатор воздушный с рабочей камерой не менее 40 л</t>
  </si>
  <si>
    <t>Циркулярный сшивающий аппарат многократного использования</t>
  </si>
  <si>
    <t>Комплект оборудования для оснащения гистологической лаборатории, в комплектации</t>
  </si>
  <si>
    <t>1.8</t>
  </si>
  <si>
    <t>1.9</t>
  </si>
  <si>
    <t>Оснащение отделения эндоскопической и малоинвазивной хирургии ГУ "Республиканская клиническая больница"</t>
  </si>
  <si>
    <t>1.10</t>
  </si>
  <si>
    <t>Оснащение медицинским оборудованием педиатрических стационаров</t>
  </si>
  <si>
    <t>Монитор пациента</t>
  </si>
  <si>
    <t>Насос инфузионный шприцевой</t>
  </si>
  <si>
    <t>Облучатель ожоговый передвижной</t>
  </si>
  <si>
    <t>Аппарат УЗИ портативный</t>
  </si>
  <si>
    <t>Отсасыватель хирургический</t>
  </si>
  <si>
    <t xml:space="preserve">Установка для фототерапии </t>
  </si>
  <si>
    <t>Инкубатор новорожденных</t>
  </si>
  <si>
    <t>Автоклав, рабочая камера не менее 100 л</t>
  </si>
  <si>
    <t>Стерилизатор воздушный, рабочая камера не менее 40</t>
  </si>
  <si>
    <t>1.11</t>
  </si>
  <si>
    <t>Аудиометр</t>
  </si>
  <si>
    <t>Светильник бестеневой передвижной</t>
  </si>
  <si>
    <t>Стерилизатор воздушный, рабочая камера не менее 20 л</t>
  </si>
  <si>
    <t>Холодильник фармацевтический</t>
  </si>
  <si>
    <t>Медицинский морозильник</t>
  </si>
  <si>
    <t>Котел электрический</t>
  </si>
  <si>
    <t>Пароконвектомат электрический</t>
  </si>
  <si>
    <t>Стол из нержавеющей стали</t>
  </si>
  <si>
    <t>Стерилизатор, рабочая камера не менее 80</t>
  </si>
  <si>
    <t xml:space="preserve">Дистиллятор </t>
  </si>
  <si>
    <t>Стол манипуляционный</t>
  </si>
  <si>
    <t xml:space="preserve">Холодильник фармацевтический </t>
  </si>
  <si>
    <t>Стиральная машина</t>
  </si>
  <si>
    <t>Передвижной облучатель медицинский</t>
  </si>
  <si>
    <t>*</t>
  </si>
  <si>
    <t>ДОХОДЫ ВСЕГО, в том числе:</t>
  </si>
  <si>
    <t>Отчисления от единого социального налога</t>
  </si>
  <si>
    <t>РАСХОДЫ ВСЕГО, в том числе:</t>
  </si>
  <si>
    <t xml:space="preserve">ВСЕГО по программе капитальных вложений и капитального ремонта </t>
  </si>
  <si>
    <t>Приложение № 2.6</t>
  </si>
  <si>
    <t>Создание сквера "Солнечный", г. Бендеры, в том числе проектные работы</t>
  </si>
  <si>
    <t>Хирургический инструментарий и расходные материалы для отделения эндоскопической и малоинвазивной хирургии</t>
  </si>
  <si>
    <t>Дистиллятор</t>
  </si>
  <si>
    <t xml:space="preserve">Итого </t>
  </si>
  <si>
    <t xml:space="preserve">Приобретение оборудования, предметов длительного пользования, расходных материалов и предметов снабжения </t>
  </si>
  <si>
    <t xml:space="preserve">к Закону Приднестровской Молдавской Республики </t>
  </si>
  <si>
    <t>Программа исполнения наказов избирателей                                                                                                                                                       (Участие Правительства в осуществлении отдельных программ (290 000))</t>
  </si>
  <si>
    <t>Итого по программе исполнения наказов избирателей</t>
  </si>
  <si>
    <t>Завершение реконструкции объекта, не завершенного строительством, "Стоматологическая поликлиника", г. Тирасполь, под акушерско-гинекологический стационар  ГУ "Республиканский центр матери и ребенка", г. Тирасполь, ул. Свердлова, 84, в том числе проектные работы</t>
  </si>
  <si>
    <t>Реконструкция входной группы Площади защитников Приднестровья</t>
  </si>
  <si>
    <t>Строительство комбинированной спортивной площадки, в том числе мини-футбольное поле</t>
  </si>
  <si>
    <t>Благоустройство центральной площади города Рыбницы</t>
  </si>
  <si>
    <t xml:space="preserve">Реконструкция главного входа в Центральный парк культуры и отдыха в г. Григориополе со строительством пандуса, в том числе проектные работы </t>
  </si>
  <si>
    <t>Капитальный ремонт операционного блока (гл. корпус, литер А) ГУ "Бендерская центральная городская больница", г. Бендеры, ул. Б. Восстания, 146, в том числе проектные работы</t>
  </si>
  <si>
    <t>Капитальный ремонт республиканского отделения неврологии ГУ "Бендерский центр матери и ребенка"</t>
  </si>
  <si>
    <t>Капитальный ремонт ФАП в селе Кременчуг ГУ "Тираспольский клинический центр амбулаторно-поликлинической помощи", ул. Ленина, 56</t>
  </si>
  <si>
    <t>Капитальный ремонт ФАП  в селе Приозерное ГУ "Слободзейская центральная районная больница", ул. Фрунзе, 1</t>
  </si>
  <si>
    <t>Капитальный ремонт МОУ БДС № 26, м-н "Северный", г. Бендеры</t>
  </si>
  <si>
    <t>Капитальный ремонт "Детский сад "Сказка", г. Григориополь</t>
  </si>
  <si>
    <t>Капитальный ремонт Каменского районного дома культуры, г. Каменка, ул. Кирова, 266</t>
  </si>
  <si>
    <t>Капитальный ремонт, здание № 1, столовая, военный городок № 16, с. Парканы</t>
  </si>
  <si>
    <t>Капитальный ремонт  кровли, здание № 23, склады, военный  городок  № 21а, г. Тирасполь</t>
  </si>
  <si>
    <t>Капитальный ремонт кровли, здание № 24, склады, военный  городок  № 21а, г. Тирасполь</t>
  </si>
  <si>
    <t>Итого по подпункту 1.5</t>
  </si>
  <si>
    <t>Итого по подпункту 1.10</t>
  </si>
  <si>
    <t>Итого по 240120</t>
  </si>
  <si>
    <t>Капитальный ремонт СВА с. Незавертайловка ГУЗ "Днестровская городская больница",                       ул. Жукова, 32</t>
  </si>
  <si>
    <t>Капитальный ремонт здания МОУ "Тираспольская гуманитарно-математическая гимназия"                        (2 этап), г. Тирасполь,  пер. Бочковского, 2</t>
  </si>
  <si>
    <t>Итого по подпункту 1.2</t>
  </si>
  <si>
    <t>Итого по подпункту 1.11</t>
  </si>
  <si>
    <t>Капитальный ремонт фасада и входной группы здания поликлиники  ГУ "Дубоссарская центральная районная больница", г. Дубоссары, ул. Моргулец, 3, в том числе проектные работы</t>
  </si>
  <si>
    <t>Капитальный ремонт ГОУ "Парканская средняя общеобразовательная школа-интернат", Слободзейский район, с. Парканы,  ул. Димитрова, 1</t>
  </si>
  <si>
    <t>Устройство пешеходного фонтана г. Слободзеи в районе РДК с элементами благоустройства,  в том числе проектные работы</t>
  </si>
  <si>
    <t>Строительство  4-этажной казармы на 400 человек, военный городок № 15, г. Тирасполь</t>
  </si>
  <si>
    <t>Приобретение оборудования для тренажерного зала МУ "Спорткомплекс "Юбилейный",                               г. Рыбница, ул. Юбилейная, 33А</t>
  </si>
  <si>
    <t>Капитальный ремонт МДОУ № 5, г. Тирасполь, ул. Сакриера, 61</t>
  </si>
  <si>
    <t>Капитальный ремонт МОУ "Терновская РМСОШ", с. Терновка, ул. Ленина, 52а</t>
  </si>
  <si>
    <t>Капитальный ремонт МОУ "Суклейская РМСОШ", с. Суклея, ул. Гагарина, 96</t>
  </si>
  <si>
    <t>Капитальный ремонт здания прокуратуры г. Бендеры, г. Бендеры, ул. Пушкина, 71</t>
  </si>
  <si>
    <t>Капитальный ремонт кровли административного здания МЮ ПМР, г. Бендеры, ул. Кавриаго, 1А</t>
  </si>
  <si>
    <t xml:space="preserve">Завершение строительства 2-этажной казармы на 200 человек, военный городок №  4,                          г. Тирасполь </t>
  </si>
  <si>
    <t>Реконструкция административного здания налоговой инспекции по г. Бендеры, г. Бендеры,                ул. Московская, 17</t>
  </si>
  <si>
    <t xml:space="preserve">Приобретение материалов для строительства хранилища грузовых автомобилей военного городка № 17, г. Бендеры </t>
  </si>
  <si>
    <t>Капитальный ремонт СВА в посёлке Первомайск ГУЗ "Днестровская городская больница",             ул. Садовая, 16 "б"</t>
  </si>
  <si>
    <t>Капитальный ремонт оконных и дверных блоков ГУ "Каменская центральная районная больница", ул. Кирова, 300</t>
  </si>
  <si>
    <t>Капитальный ремонт ГОУ "Республиканский кадетский корпус им. светлейшего князя                      Г. А. Потемкина-Таврического" МВД ПМР</t>
  </si>
  <si>
    <t>"О республиканском бюджете на 2021 год"</t>
  </si>
  <si>
    <t>Оснащение медицинским оборудованием амбулаторно-поликлинических центров</t>
  </si>
  <si>
    <t>ОСТАТКИ по состоянию на 01.01.2021 г. ВСЕГО, в том числе:</t>
  </si>
  <si>
    <t>Отчисления от ввозной таможенной пошлины</t>
  </si>
  <si>
    <t>Прочие поступления</t>
  </si>
  <si>
    <t xml:space="preserve">Министерство сельского хозяйства и природных ресурсов Приднестровской Молдавской Республики </t>
  </si>
  <si>
    <t>Приобретение оборудования для ремонта государственных мелиоративных объектов</t>
  </si>
  <si>
    <t>Приобретение и установка кондиционеров в здании Центральной избирательной комиссии ПМР, г. Тирасполь, ул. Шевченко, 12 в</t>
  </si>
  <si>
    <t>Реконструкция части здания лечебного корпуса № 1 ГУ "Дубоссарская центральная районная больница" для размещения компьютерного томографа по адресу: г. Дубоссары, ул. Фрунзе, 46, в том числе проектные работы и благоустройство  прилегающей территории</t>
  </si>
  <si>
    <t xml:space="preserve">Министерство по социальной защите и труду Приднестровской Молдавской Республики </t>
  </si>
  <si>
    <t>Благоустройство городского парка им. Кирова</t>
  </si>
  <si>
    <t>Капитальные вложения в строительство коммунальных объектов (240 250)</t>
  </si>
  <si>
    <t xml:space="preserve">Министерство экономического развития Приднестровской Молдавской Республики </t>
  </si>
  <si>
    <t>Итого по подстатье 240 250</t>
  </si>
  <si>
    <t>Завершение работ по капитальному ремонту педиатрического стационара  ГУ "Бендерский центр матери и ребенка", г. Бендеры, ул. Протягайловская, 6, в том числе благоустройство прилегающей территории</t>
  </si>
  <si>
    <t>Капитальный ремонт канализационной насосной станции ГУ "Республиканская клиническая больница", г. Тирасполь, ул. Мира, 33</t>
  </si>
  <si>
    <t>Капитальный ремонт кровли  главного лечебного корпуса 6-8 этажного здания ГУ "Дубоссарская центральная районная больница" по адресу: г. Дубоссары, ул. Фрунзе, 46</t>
  </si>
  <si>
    <t>Капитальный ремонт части наружного участка надземных сетей горячего водоснабжения общежития, расположенного на территории ГОУ "Тираспольский медицинский колледж им. Л. А. Тарасевича" по адресу: г. Тирасполь, ул. К. Маркса, 1-Б"</t>
  </si>
  <si>
    <t>Капитальный ремонт зданий, благоустройство территории Приднестровского государственного университета им. Т. Г. Шевченко</t>
  </si>
  <si>
    <t>Программа капитального ремонта</t>
  </si>
  <si>
    <t>Программа исполнения наказов избирателей</t>
  </si>
  <si>
    <t>Погашение кредиторской задолженности по договорам, заключенным в 2020 году</t>
  </si>
  <si>
    <t>Капитальные вложения в строительство объектов социально-культурного назначения                                                             (240 230)</t>
  </si>
  <si>
    <t>Благоустройство территории ГУ "Бендерский центр матери и ребенка",  г. Бендеры,                                                                            ул. Протягайловская, 6,  в том числе проектные работы</t>
  </si>
  <si>
    <t>Завершение строительства ГУ "Республиканский спортивный  реабилитационно-восстановительный центр инвалидов",  расположенного по адресу: г. Тирасполь,   ул.Ленина, 1/3, в том числе проектные работы</t>
  </si>
  <si>
    <t>Реконструкция раздевалок сельского стадиона, с. Чобручи, ул. С. Лазо, д. 32</t>
  </si>
  <si>
    <t xml:space="preserve">Обустройство ограждения территории МОУ "Ближнехуторская СОШ", с. Ближний Хутор </t>
  </si>
  <si>
    <t>Создание парка культуры и отдыха, пгт. Первомайск</t>
  </si>
  <si>
    <t>Капитальный ремонт филиала поликлиники № 3 ГУ "Тираспольский клинический центр амбулаторно-поликлинической помощи", г.Тирасполь, ул. Зелинского, 3/1, в том числе проектные работы</t>
  </si>
  <si>
    <t>Капитальный ремонт отделения эндоскопии ГУ "Бендерская центральная городская больница" по адресу: г. Бендеры, ул. Б. Восстания, 146</t>
  </si>
  <si>
    <t>Капитальный ремонт МОУ "БСОШ №17", м-н "Северный", г. Бендеры</t>
  </si>
  <si>
    <t>Капитальный ремонт ГУ "Приднестровский государственный художественный музей", здание                                                           литер А, г. Бендеры,  ул. Коммунистическая, 77</t>
  </si>
  <si>
    <t>Капитальный ремонт здания Центральной избирательной комиссии ПМР, г. Тирасполь,                                                                     ул. Шевченко, 12в</t>
  </si>
  <si>
    <t>Создание сквера "Солнечный", г. Тирасполь, ул. Милева</t>
  </si>
  <si>
    <t>Капитальный ремонт  МУ "Спорткомплекс "Юбилейный", г. Рыбница, ул. Юбилейная, 33А</t>
  </si>
  <si>
    <t>Приднестровский государственный университет им. Т. Г. Шевченко</t>
  </si>
  <si>
    <t>Основные характеристики, источники формирования и направления расходования средств                                                      Фонда капитальных вложений Приднестровской Молдавской Республики на 2021 год</t>
  </si>
  <si>
    <t>Строительство уличного бассейна для МУ "Центр социально-психологической реабилитации для детей с особыми потребностями жизнедеятельности", г. Дубоссары, в том числе ограждение территории</t>
  </si>
  <si>
    <t>Реконструкция теплоснабжения корпуса № 3 котельной МОУ "Григориопольская ОСШ № 2           им. А. Стоева с лицейскими классами"</t>
  </si>
  <si>
    <t>Реконструкция "Шипская ОСШ-детский сад имени А. Паши Григориопольского района", проектные работы</t>
  </si>
  <si>
    <t>Капитальный ремонт МДОУ № 23 "Рябинушка", г. Тирасполь, ул. Шевченко, 87</t>
  </si>
  <si>
    <t>Капитальный ремонт МДОУ "Детский сад компенсирующего вида "Красная шапочка"</t>
  </si>
  <si>
    <t>Капитальный ремонт ДОУ "Центр развития ребенка "Ивушка"</t>
  </si>
  <si>
    <t>Благоустройство территории ГУ "Республиканский госпиталь инвалидов ВОВ",  г. Тирасполь,                                                                 ул. Юности, 33, в том числе проектные работы</t>
  </si>
  <si>
    <t>Благоустройство территории ГУ "Республиканская туберкулезная больница",  г. Бендеры,                                                                       ул. Б. Восстания, 148, в том числе проектные работы</t>
  </si>
  <si>
    <t>Благоустройство территории ГУЗ "Днестровская городская больница",  г. Днестровск,                                                                       ул. Терпиловского, 1, в том числе проектные работы</t>
  </si>
  <si>
    <t>Благоустройство территории ГУ "Григориопольская центральная районная больница",                                                                        г. Григориополь, ул. Урицкого, 73а, в том числе проектные работы</t>
  </si>
  <si>
    <t>Благоустройство территории ГУ "Рыбницкая центральная районная больница",  г. Рыбница, в том числе проектные работы</t>
  </si>
  <si>
    <t>Капитальный ремонт здания суда г. Рыбницы и Рыбницкого района, ул. Ленина, 1а</t>
  </si>
  <si>
    <t>Капитальный ремонт поликлиники № 1 ГУ "Тираспольский клинический центр амбулаторно-поликлинической помощи", г.Тирасполь, ул. Краснодонская, 68, в том числе проектные работы</t>
  </si>
  <si>
    <t>Строительство станции термического обеззараживания сточных вод на территории ГУ "Республиканская туберкулезная больница",  г. Бендеры, ул. Б. Восстания, 148, в том числе проектные работы</t>
  </si>
  <si>
    <t>Благоустройство территории ГУ "Бендерская центральная городская больница",  г. Бендеры, ул. Б. Восстания, 146, в том числе проектные работы</t>
  </si>
  <si>
    <t>Завершение работ по капитальному ремонту СВА в с. Воронково, ул. Ленина, 22</t>
  </si>
  <si>
    <t>Завершение строительства (3-й этап-реконструкция) специализированного учреждения МСКОУ № 2, г. Тирасполь,  ул. К. Либкнехта, 144а</t>
  </si>
  <si>
    <t>Государственная администрация Слободзейского района и г. Слободзея</t>
  </si>
  <si>
    <t>Строительство пищеблока и прачечного блока ГУ "Республиканская клиническая больница" по адресу: г. Тирасполь, ул. Мира, 33, в том числе проектные работы</t>
  </si>
  <si>
    <t>Капитальный ремонт котельной ГУ "Приднестровский государственный театр драмы и комедии им. Н.С. Аронецкой, г. Тирасполь</t>
  </si>
  <si>
    <t>Завершение работ по облицовке фасада административного здания ГТК ПМР, г. Тирасполь,          ул. Украинская, 15а</t>
  </si>
  <si>
    <t xml:space="preserve">Создание парка энергетиков, г. Дубоссары,в том числе проектные работы </t>
  </si>
  <si>
    <t>Капитальный ремонт мягкой кровли спортивного зала МОУ ДО "Детская юношеская спортивная школа №2" г. Дубоссары, ул. Сверлова,145 "б"</t>
  </si>
  <si>
    <t>Аппарат гипо/гипертермический для новорожденных</t>
  </si>
  <si>
    <t>Аппарат рентгенодиагностический цифровой</t>
  </si>
  <si>
    <t>Система для оцифровки рентгеновских изображений в комплекте с термографическим принтером</t>
  </si>
  <si>
    <t>Система водоподготовки</t>
  </si>
  <si>
    <t>Машина закаточная полуавтоматическая</t>
  </si>
  <si>
    <t>Стерилизатор паровой</t>
  </si>
  <si>
    <t>Центрифуга для отжима белья</t>
  </si>
  <si>
    <t>Фиброгастроскоп</t>
  </si>
  <si>
    <t>Специализированный автомобиль для вывоза жидких отходов</t>
  </si>
  <si>
    <t>Большой хирургический набор</t>
  </si>
  <si>
    <t>Столик инструментальный</t>
  </si>
  <si>
    <t>Стерилизатор воздушный, рабочая камера не менее 80 л</t>
  </si>
  <si>
    <t>Цифровой сканер для обработки рентгеновских снимков</t>
  </si>
  <si>
    <t>Санитарный автомобиль</t>
  </si>
  <si>
    <t>Офтальмоскоп</t>
  </si>
  <si>
    <t>(подстатья 111020)</t>
  </si>
  <si>
    <t>Оплата текущего ремонта оборудования и инвентаря</t>
  </si>
  <si>
    <t>Итого 111020</t>
  </si>
  <si>
    <t>Итого по подпункту 1.1</t>
  </si>
  <si>
    <t>Камера холодильная с раздельными ячейками</t>
  </si>
  <si>
    <t>Тележка гидравлическая подъемная</t>
  </si>
  <si>
    <t>Тележка для тел с колесами</t>
  </si>
  <si>
    <t>Каталка медицинская металлическая</t>
  </si>
  <si>
    <t>Светильник операционный бестеневой</t>
  </si>
  <si>
    <t>Светильник передвижной</t>
  </si>
  <si>
    <t>Стол секционный</t>
  </si>
  <si>
    <t>Шкаф вытяжной</t>
  </si>
  <si>
    <t>Приобретение оборудования для оснащения секционных залов и лабораторных помещений ГУ "Республиканская клиническая больница"</t>
  </si>
  <si>
    <t>Холодильная камера сборно-разборная из сэндвич панелей рабочим объёмом не менее 25м3 с дверью одностворчатой распашной; максимальными размерами 3000×5600×2500; размер двери 1600x2000мм</t>
  </si>
  <si>
    <t>Холодильная камера сборно-разборная из сэндвич панелей рабочим объёмом не менее 25м3 с дверью откатной; максимальными размерами 3000×5600×2500; размер двери 2000×2000</t>
  </si>
  <si>
    <t>Комплект холодильного оборудования для холодильной камеры рабочим объёмом не менее 25м3</t>
  </si>
  <si>
    <t>Комплект холодильного оборудования для холодильной камеры рабочим объёмом не менее 25м3 с резервным источником холодоснабжения</t>
  </si>
  <si>
    <t>Камера холодильная для тел умерших на 6 тел (КХСН2-ЗН или аналогичная)</t>
  </si>
  <si>
    <t>Тележка транспортно-подъемная гидравлическая к холодильной камере для тел умерших</t>
  </si>
  <si>
    <t>Каталка со съемными носилками (КСН-66 или аналогичная)</t>
  </si>
  <si>
    <t>Кресло гинекологическое с регулированием высоты электроприводом (МКС-3415 или аналогичное)</t>
  </si>
  <si>
    <t>Пила электрическая сетевая с защитным кожухом (ПЭС-12 или аналогичная)</t>
  </si>
  <si>
    <t>Стол секционный стационарный комплексный (ССС-1К или аналогичный)</t>
  </si>
  <si>
    <t>Стол секционный стационарный базовый (ССС-1Б или аналогичный)</t>
  </si>
  <si>
    <t>Стол секционный стационарный комплексный (ССС-2К или аналогичный)</t>
  </si>
  <si>
    <t>Стол препаровочный стационарный с двойной вытяжкой базовый (СПВ-7Б или аналогичный)</t>
  </si>
  <si>
    <t>Итого по подпункту 1.3</t>
  </si>
  <si>
    <t>Весы электронные лабораторные</t>
  </si>
  <si>
    <t>Итого по подпункту 1.4</t>
  </si>
  <si>
    <t>Итого по подпункту 1.6</t>
  </si>
  <si>
    <t>Итого по подпункту 1.7</t>
  </si>
  <si>
    <t>Итого по подпункту 1.8</t>
  </si>
  <si>
    <t>Итого по подпункту 1.9</t>
  </si>
  <si>
    <t>Оснащение оборудованием операционного блока ГУ "Бендерская центральная городская больница", г.Бендеры, ул. Бендерского Восстания, 146</t>
  </si>
  <si>
    <t>Операционный стол</t>
  </si>
  <si>
    <t>Дрель травматологическая электрическая</t>
  </si>
  <si>
    <t>Отчисления от единого таможенного платежа в размере 29,08%</t>
  </si>
  <si>
    <t>Приложение № 9</t>
  </si>
  <si>
    <t xml:space="preserve"> "О республиканском бюджете на 2021 год"</t>
  </si>
  <si>
    <t>Капитальный ремонт кровли пищеблокав МОУ "Кременчугская средняя школа", с.Кременчуг, пер.Школьный, 1</t>
  </si>
  <si>
    <t>Капитальный ремонт мягкой кровли здания МОУ "Ташлыкская общеобразовательная средняя школа Григориопольского района" с.Ташлык, ул.Мира, 36</t>
  </si>
  <si>
    <t>На покрытие дефицита бюджетных средств</t>
  </si>
  <si>
    <t xml:space="preserve">Государственный таможенный комитет Приднестровской Молдавской Республики </t>
  </si>
  <si>
    <r>
      <t xml:space="preserve">Капитальный ремонт по объекту МОУ "Бендерская гимназия № 1", г. Бендеры,                                                                  ул. Шестакова, 27 </t>
    </r>
    <r>
      <rPr>
        <b/>
        <sz val="12"/>
        <rFont val="Times New Roman"/>
        <family val="1"/>
        <charset val="204"/>
      </rPr>
      <t>(кредиторская задолженность за 2020 г.)</t>
    </r>
  </si>
  <si>
    <r>
      <t xml:space="preserve">Капитальный ремонт Дома культуры, Каменский район, с. Подойма, ул. Ленина, 92 </t>
    </r>
    <r>
      <rPr>
        <b/>
        <sz val="12"/>
        <rFont val="Times New Roman"/>
        <family val="1"/>
        <charset val="204"/>
      </rPr>
      <t>(в том числе кредиторская задолженность за 2020 год в сумме 610 108 руб.)</t>
    </r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</si>
  <si>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 на 2021–2025 годы"</t>
  </si>
  <si>
    <t>Приобретение и оснащение оборудованием в рамках реализации государственной целевой программы "Профилактика туберкулеза на 2021–2025 годы"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</si>
  <si>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 (в том числе кредиторская задолженность за 2020 год в сумме   2 872 308 руб.)</t>
  </si>
  <si>
    <t>Приобретение мебели и оборудования для МУ "Центр социально-психологической реабилитации детей с ОПЖ", г. Дубоссары, в том числе проектные работы (в том числе кредиторская задолженность за 2020 год в сумме 10 587 руб.)</t>
  </si>
  <si>
    <t xml:space="preserve">Завершение работ по реконструкции существующих корпусов лечебного учреждения под амбулаторно-стационарное детское отделение ГУ "Рыбницкая центральная районная больница", по адресу: г. Рыбница, ул. Грибоедова, 3, в том числе проектные работы и благоустройство территории </t>
  </si>
  <si>
    <t>Кислородоснабжение ГУ "Каменская центральная районная больница" по адресу: г.Каменка, ул. Кирова, 300 б, в том числе проектные работы</t>
  </si>
  <si>
    <t>Кислородоснабжение ГУ "Рыбницкая центральная районная больница" по адресу: г.Рыбница, ул.Грибоедова, 3, в том числе проектные работы</t>
  </si>
  <si>
    <t>Кислородоснабжение ГУ "Дубоссарская центральная районная больница" по адресу: г.Дубоссары, ул.Фрунзе, 46, в том числе проектные работы</t>
  </si>
  <si>
    <t>Кислородоснабжение ГУ "Дубоссарская центральная районная больница" по адресу: г.Дубоссары, ул.Моргулец, 3,в том числе проектные работы</t>
  </si>
  <si>
    <t>Кислородоснабжение ГУ "Григориопольская центральная районная больница" по адресу: г.Григориополь, ул.Урицкого, 73а,в том числе проектные работы</t>
  </si>
  <si>
    <t>Кислородоснабжение ГУ "Слободзейская центральная районная больница" по адресу: г.Слободзея, пер. Больничный, 1, в том числе проектные работы</t>
  </si>
  <si>
    <t>Кислородоснабжение ГУ "Бендерская центральная городская больница" по адресу: г.Бендеры, ул. Б.Восстания, 146,  в том числе проектные работы</t>
  </si>
  <si>
    <t>Кислородоснабжение ГУ "Республиканский центр матери и ребенка" по адресу: г.Тирасполь, ул. 1 Мая, 58,  в том числе проектные работы</t>
  </si>
  <si>
    <t>Кислородоснабжение ГУ "Республиканский центр матери и ребенка" по адресу: г.Тирасполь, ул. Свердлова, 84, в том числе проектные работы</t>
  </si>
  <si>
    <t>Кислородоснабжение ГУ "Республиканский госпиталь инвалидов Великой Отечественной войны" по адресу: г.Тирасполь, ул. Юности, 33, в том числе проектные работы</t>
  </si>
  <si>
    <t>Кислородоснабжение ГУ "Республиканская клиническая больница", по адресу: г. Тирасполь, ул. Мира, 33, в том числе проектные работы</t>
  </si>
  <si>
    <t xml:space="preserve">Создание Центрального парка "Екатерининский" по ул. 25 Октября (от ул. Шевченко 
до пер. Бочковского)
</t>
  </si>
  <si>
    <t>Создание государственного историко-краеведческого музея (в составе МУП "Екатерининский парк"), в том числе проектные работы</t>
  </si>
  <si>
    <t>Капитальный ремонт поликлиники ГУ "Григориопольская центральная районная больница" по адресу: г. Григориополь, ул. Дзержинского, 34, в том числе проектные работы</t>
  </si>
  <si>
    <t>Капитальный ремонт кровли здания инфекционного отделения ГУ "Каменская центральная районная больница" по адресу: г. Каменка, ул. Кирова 300/2</t>
  </si>
  <si>
    <t>Капитальный ремонт асфальтобетонного покрытия ГУ "Региональная станция скорой медицинской помощи" г.Бендеры, по адресу г. Бендеры, ул. Б. Главана,17 "г"</t>
  </si>
  <si>
    <t>Капитальный ремонт санитарных узлов  ГУ "Республиканский центр матери и ребенка" по адресу г. Тирасполь, ул. 1 мая,58, в том числе проектные работы</t>
  </si>
  <si>
    <t>Благоустройство территории ГУ "Дубоссарская центральная районная больница",                                                       г. Дубоссары, в том числе проектные работы</t>
  </si>
  <si>
    <t>Благоустройство территории ГУ "Республиканская клиническая больница",  г. Тирасполь,                                                                             ул. Мира, 33, в том числе проектные работы</t>
  </si>
  <si>
    <t>Благоустройство территории ГУ "Слободзейская центральная районная больница",                                                      г. Слободзея, пер. Больничный, 1, в том числе проектные работы</t>
  </si>
  <si>
    <t>Благоустройство территории ГУ "Каменская центральная районная больница",  г. Каменка,                                                                           ул. Кирова, 300/2, в том числе проектные работы</t>
  </si>
  <si>
    <t>Кислородоснабжение ГУ "Бендерский центр матери и ребенка" по адресу: г.Бендеры,                                                  ул. Протягайловская, 6,  в том числе проектные работы</t>
  </si>
  <si>
    <t>Благоустройство территории ГУ "Республиканская психиатрическая больница",                                                           с. Выхватинцы Рыбницкого района, ул. Днестровская, 83, в том числе проектные работы</t>
  </si>
  <si>
    <t>Устройство системы отопления и горячего водоснабжения в общежитии, расположенном в                                                                                  с. Карагаш, ул. С. Лазо,71</t>
  </si>
  <si>
    <t xml:space="preserve">Приобретение материалов для строительства мойки и ЕТО  в военном городке № 17,                                                   г. Бендеры  </t>
  </si>
  <si>
    <t>Капитальный ремонт СВА в селе Ташлык ГУ "Григориопольская центральная районная больница", ул. Целых, б/н, в том числе проектные работы</t>
  </si>
  <si>
    <t xml:space="preserve">Разработка и экспертиза проектно-сметной документации по капитальному ремонту зданий и сооружений </t>
  </si>
  <si>
    <t>Завершение строительства ФАП с. Броштяны ГУ "Рыбницкая центральная районная больница", в том числе проектные работы и благоустройство (в том числе кредиторская задолженность за 2020 год в сумме 45 655 руб.)</t>
  </si>
  <si>
    <t>Завершение строительства ФАП с. Ивановка  ГУ "Рыбницкая центральная районная больница", в том числе проектные работы и благоустройство (в том числе кредиторская задолженность за 2020 год в сумме 45 655 руб.)</t>
  </si>
  <si>
    <t>Завершение строительства ФАП с. Дубово  ГУ "Дубоссарская центральная районная больница", в том числе проектные работы и благоустройство</t>
  </si>
  <si>
    <t>Заврешение строительства ФАП с. Койково  ГУ "Дубоссарская центральная районная больница", в том числе проектные работы и благоустройство</t>
  </si>
  <si>
    <t xml:space="preserve">"О внесении изменений и дополнений </t>
  </si>
  <si>
    <t xml:space="preserve"> в Закон Приднестровской Молдавской Республики </t>
  </si>
  <si>
    <t>Завершение строительства ФАП с. Гидирим  ГУ "Рыбницкая центральная районная больница", в том числе проектные работы и благоустройство</t>
  </si>
  <si>
    <t>Реконструкция вентиляции и пожарно-охранная сигнализация блока "Д" пищеблока педиатрического стационара  ГУ "Бендерский центр матери и ребенка" по адресу: г. Бендеры, ул. Протягайловская, 6, в том числе проектные работы</t>
  </si>
  <si>
    <t>Реконструкция педиатрического стационара и акушерско-гинекологического стационара                           ГУ "Бендерский центр матери и ребенка" под инфекционный COVID-госпиталь второго уровня по адресу: г. Бендеры, ул. Протягайловская, 6, в том числе проектные работы</t>
  </si>
  <si>
    <t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(в том числе кредиторская задолженность за 2020 год в сумме 915 958 руб.)</t>
  </si>
  <si>
    <t>Реконструкция гребной базы в г. Бендеры, в том числе проектные работы (кредиторская задолженность за 2020 год )</t>
  </si>
  <si>
    <t>Завершение работ по реконструкции  помещения в здании, расположенном по адресу:                                                                                                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(кредиторская задолженность за 2020 г.)</t>
  </si>
  <si>
    <t>Благоустройство въезда на территорию ГУ "Бендерская центральная городская больница", расположенного по адресу: г. Бендеры,  ул. Б. Восстания, 146 (кредиторская задолженность                                                    за 2020 г.)</t>
  </si>
  <si>
    <t>Реконструкция стадиона, расположенного на прилегающей территории к МОУ "ТСШГК                                                                                № 18"</t>
  </si>
  <si>
    <t>Восстановление парка Витгенштейна, г. Каменка, в том числе проектные работы (в том числе кредиторская задолженность за 2020 год в сумме 915 958 руб.)</t>
  </si>
  <si>
    <t xml:space="preserve">Строительство спортивного зала стадиона "Октомбрие", г. Каменка, пер. Кирова, 2, в том числе проектные работы (кредиторская задолженность за 2020 г.)  </t>
  </si>
  <si>
    <t xml:space="preserve">Строительство водопроводной сети с. Мочаровка (с. Веселое), Григориопольский район (кредиторская задолженность за 2020 г.)  </t>
  </si>
  <si>
    <t>Устройство ограждения центрального стадиона г. Дубоссары, ул. Дзержинского, 50</t>
  </si>
  <si>
    <t xml:space="preserve"> Реконструкция  кинотеатра  "Восток"  в  детский культурно-досуговый центр с доступом ММГН (кредиторская задолженность за 2020 г.)  </t>
  </si>
  <si>
    <t>Завершение капитального ремонта ФАП с. Янтарное ГУ "Каменская центральная районная больница", в том числе проектные работы (в том числе кредиторская задолженность                                                                               за 2020 год   в сумме 341 473 руб.)</t>
  </si>
  <si>
    <t xml:space="preserve">Завершение капитального ремонта поликлиники № 2 ГУ "Бендерский центр амбулаторно-поликлинической помощи" по адресу: г. Бендеры,  ул. Калинина, 62, в том числе проектные работы и благоустройство территории (кредиторская задолженность за 2020 г.)  </t>
  </si>
  <si>
    <t xml:space="preserve">Капитальный ремонт оконных и дверных блоков ГУ "Республиканская туберкулезная больница" (кредиторская задолженность за 2020 г.)  </t>
  </si>
  <si>
    <t xml:space="preserve">Капитальный ремонт кровли административного корпуса ГУ "Республиканская туберкулезная больница" по адресу: г. Бендеры, ул. Б. Восстания, 148 (кредиторская задолженность                                                                                  за 2020 г.)  </t>
  </si>
  <si>
    <t>Капитальный ремонт кровли здания роддома, блоков "Б" и "В" (терапевтическое отделение) ГУ "Каменская центральная районная больница" по адресу: г. Каменка, ул. Кирова, 300/2</t>
  </si>
  <si>
    <t>Капитальный ремонт шатровой кровли здания главного корпуса (литера А-6) ГУ "Рыбницкая центральная районная больница" по адресу: г. Рыбница, ул. Грибоедова, 3</t>
  </si>
  <si>
    <t>Капитальный ремонт мягкой  кровли части здания детского комплекса (литера Б)  ГУ "Рыбницкая центральная районная больница" по адресу: г. Рыбница, ул. Вальченко, 69</t>
  </si>
  <si>
    <t>Капитальный ремонт МДОУ "Детский сад общеразвивающего вида № 10 "Чайка"                                                              пос. Карманово</t>
  </si>
  <si>
    <t>Капитальный ремонт Дома культуры с. Малаешты Григориопольского района (в том числе кредиторская задолженность за 2020 год в сумме 437 331 руб.)</t>
  </si>
  <si>
    <t>Приобретение оборудования и мебели для  МДОУ № 23 "Рябинушка", г. Тирасполь,                                                                                        ул. Шевченко, 87</t>
  </si>
  <si>
    <t>Министерство внутренних дел Приднестровской Молдавской Республики (кредиторская задолженность за 2020 г.)</t>
  </si>
  <si>
    <t>Протезирование льготной категории граждан (за исключением зубопротезирования)                                                                                            (статья 111 054)</t>
  </si>
  <si>
    <t>Кондиционер "зима-лето" до 24 м3</t>
  </si>
  <si>
    <t>Оснащение оборудованием и мебелью завершенного объекта филиала поликлиники № 3 ГУ "Тираспольский клинический центр амбулаторно-поликлинической помощи",  г.Тирасполь,                                                                                             ул. Зелинского, 3/1</t>
  </si>
  <si>
    <t>Оснащение завершенного объекта: "Капитальный ремонт пищеблока-хозяйственного корпуса, лит. Д,                                                                                      ГУ "Республиканская клиническая больница", г. Тирасполь, ул. Мира, 33"</t>
  </si>
  <si>
    <t>Погашение кредиторской задолженности по состоянию на 01.01.2021 года и 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</si>
  <si>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Погашение кредиторской задолженности по состоянию на 01.01.2021 года  и полное исполнение договорных обязательств 2020 года на протезирование льготной категории граждан (за исключением зубопротезирования) (статья 111054)</t>
  </si>
  <si>
    <t>Погашение кредиторской задолженности по состоянию на 01.01.2021 года и полное исполнение договорных обязательств 2020 года на приобретение прочих расходных материалов и предметов снабжения (статья 110360)</t>
  </si>
  <si>
    <t>Погашение кредиторской задолженности по состоянию на 01.01.2021 года и полное исполнение договорных обязательств 2020 года  на приобретение  оборудования и предметов длительного пользования (статья 240120)</t>
  </si>
  <si>
    <t>Погашение кредиторской задолженности за 2019 год  (статья 111070)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</si>
</sst>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3" fontId="6" fillId="0" borderId="6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distributed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52"/>
  <sheetViews>
    <sheetView tabSelected="1" view="pageBreakPreview" topLeftCell="A296" zoomScale="90" zoomScaleNormal="90" zoomScaleSheetLayoutView="90" workbookViewId="0">
      <selection activeCell="A303" sqref="A303:D303"/>
    </sheetView>
  </sheetViews>
  <sheetFormatPr defaultColWidth="8.7109375" defaultRowHeight="12.75" x14ac:dyDescent="0.2"/>
  <cols>
    <col min="1" max="1" width="5" style="7" customWidth="1"/>
    <col min="2" max="2" width="65.7109375" style="7" customWidth="1"/>
    <col min="3" max="3" width="8.42578125" style="7" customWidth="1"/>
    <col min="4" max="4" width="13.42578125" style="7" customWidth="1"/>
    <col min="5" max="5" width="15.42578125" style="8" customWidth="1"/>
    <col min="6" max="6" width="15.28515625" style="2" customWidth="1"/>
    <col min="7" max="16384" width="8.7109375" style="2"/>
  </cols>
  <sheetData>
    <row r="1" spans="1:11" s="38" customFormat="1" ht="15.75" x14ac:dyDescent="0.25">
      <c r="A1" s="91" t="s">
        <v>290</v>
      </c>
      <c r="B1" s="91"/>
      <c r="C1" s="91"/>
      <c r="D1" s="91"/>
      <c r="E1" s="91"/>
      <c r="F1" s="37"/>
    </row>
    <row r="2" spans="1:11" s="38" customFormat="1" ht="15.75" x14ac:dyDescent="0.25">
      <c r="A2" s="10"/>
      <c r="B2" s="91" t="s">
        <v>137</v>
      </c>
      <c r="C2" s="91"/>
      <c r="D2" s="91"/>
      <c r="E2" s="91"/>
      <c r="F2" s="37"/>
      <c r="H2" s="92"/>
      <c r="I2" s="92"/>
      <c r="J2" s="92"/>
      <c r="K2" s="92"/>
    </row>
    <row r="3" spans="1:11" s="38" customFormat="1" ht="15.75" x14ac:dyDescent="0.25">
      <c r="A3" s="10"/>
      <c r="B3" s="87" t="s">
        <v>334</v>
      </c>
      <c r="C3" s="87"/>
      <c r="D3" s="87"/>
      <c r="E3" s="87"/>
      <c r="F3" s="37"/>
    </row>
    <row r="4" spans="1:11" s="38" customFormat="1" ht="15.75" x14ac:dyDescent="0.25">
      <c r="A4" s="10"/>
      <c r="B4" s="87" t="s">
        <v>335</v>
      </c>
      <c r="C4" s="87"/>
      <c r="D4" s="87"/>
      <c r="E4" s="87"/>
      <c r="F4" s="37"/>
    </row>
    <row r="5" spans="1:11" s="38" customFormat="1" ht="15.75" x14ac:dyDescent="0.25">
      <c r="A5" s="10"/>
      <c r="B5" s="87" t="s">
        <v>291</v>
      </c>
      <c r="C5" s="87"/>
      <c r="D5" s="87"/>
      <c r="E5" s="87"/>
      <c r="F5" s="37"/>
    </row>
    <row r="6" spans="1:11" s="38" customFormat="1" ht="12" customHeight="1" x14ac:dyDescent="0.25">
      <c r="A6" s="10"/>
      <c r="B6" s="27"/>
      <c r="C6" s="27"/>
      <c r="D6" s="27"/>
      <c r="E6" s="27"/>
      <c r="F6" s="37"/>
    </row>
    <row r="7" spans="1:11" s="38" customFormat="1" ht="15.75" x14ac:dyDescent="0.25">
      <c r="A7" s="27"/>
      <c r="B7" s="27"/>
      <c r="C7" s="87" t="s">
        <v>131</v>
      </c>
      <c r="D7" s="87"/>
      <c r="E7" s="87"/>
      <c r="F7" s="37"/>
    </row>
    <row r="8" spans="1:11" s="38" customFormat="1" ht="15.75" x14ac:dyDescent="0.25">
      <c r="A8" s="27"/>
      <c r="B8" s="87" t="s">
        <v>137</v>
      </c>
      <c r="C8" s="87"/>
      <c r="D8" s="87"/>
      <c r="E8" s="87"/>
      <c r="F8" s="37"/>
    </row>
    <row r="9" spans="1:11" s="38" customFormat="1" ht="15.75" x14ac:dyDescent="0.25">
      <c r="A9" s="27"/>
      <c r="B9" s="87" t="s">
        <v>178</v>
      </c>
      <c r="C9" s="87"/>
      <c r="D9" s="87"/>
      <c r="E9" s="87"/>
      <c r="F9" s="37"/>
    </row>
    <row r="10" spans="1:11" x14ac:dyDescent="0.2">
      <c r="A10" s="3"/>
      <c r="B10" s="3"/>
      <c r="C10" s="3"/>
      <c r="D10" s="3"/>
      <c r="E10" s="3"/>
    </row>
    <row r="11" spans="1:11" ht="40.5" customHeight="1" x14ac:dyDescent="0.25">
      <c r="A11" s="88" t="s">
        <v>214</v>
      </c>
      <c r="B11" s="88"/>
      <c r="C11" s="88"/>
      <c r="D11" s="88"/>
      <c r="E11" s="88"/>
    </row>
    <row r="12" spans="1:11" ht="13.5" thickBot="1" x14ac:dyDescent="0.25">
      <c r="A12" s="89"/>
      <c r="B12" s="89"/>
      <c r="C12" s="89"/>
      <c r="D12" s="89"/>
      <c r="E12" s="89"/>
    </row>
    <row r="13" spans="1:11" ht="31.5" x14ac:dyDescent="0.2">
      <c r="A13" s="11" t="s">
        <v>22</v>
      </c>
      <c r="B13" s="90" t="s">
        <v>23</v>
      </c>
      <c r="C13" s="90"/>
      <c r="D13" s="90"/>
      <c r="E13" s="12" t="s">
        <v>39</v>
      </c>
    </row>
    <row r="14" spans="1:11" ht="15.75" x14ac:dyDescent="0.2">
      <c r="A14" s="66" t="s">
        <v>180</v>
      </c>
      <c r="B14" s="67"/>
      <c r="C14" s="67"/>
      <c r="D14" s="67"/>
      <c r="E14" s="13">
        <f>SUM(E15:E17)</f>
        <v>6959473</v>
      </c>
    </row>
    <row r="15" spans="1:11" ht="15.75" x14ac:dyDescent="0.2">
      <c r="A15" s="31">
        <v>1</v>
      </c>
      <c r="B15" s="70" t="s">
        <v>181</v>
      </c>
      <c r="C15" s="70"/>
      <c r="D15" s="70"/>
      <c r="E15" s="14">
        <v>40053</v>
      </c>
    </row>
    <row r="16" spans="1:11" ht="15.75" x14ac:dyDescent="0.2">
      <c r="A16" s="31">
        <v>2</v>
      </c>
      <c r="B16" s="70" t="s">
        <v>128</v>
      </c>
      <c r="C16" s="70"/>
      <c r="D16" s="70"/>
      <c r="E16" s="14">
        <v>5945623</v>
      </c>
    </row>
    <row r="17" spans="1:6" ht="15.75" x14ac:dyDescent="0.2">
      <c r="A17" s="31">
        <v>3</v>
      </c>
      <c r="B17" s="70" t="s">
        <v>182</v>
      </c>
      <c r="C17" s="70"/>
      <c r="D17" s="70"/>
      <c r="E17" s="14">
        <v>973797</v>
      </c>
    </row>
    <row r="18" spans="1:6" ht="15.75" x14ac:dyDescent="0.2">
      <c r="A18" s="31"/>
      <c r="B18" s="70"/>
      <c r="C18" s="70"/>
      <c r="D18" s="70"/>
      <c r="E18" s="14"/>
    </row>
    <row r="19" spans="1:6" ht="15.75" x14ac:dyDescent="0.2">
      <c r="A19" s="66" t="s">
        <v>127</v>
      </c>
      <c r="B19" s="67"/>
      <c r="C19" s="67"/>
      <c r="D19" s="67"/>
      <c r="E19" s="13">
        <f>SUM(E20:E21)</f>
        <v>249469655</v>
      </c>
    </row>
    <row r="20" spans="1:6" ht="15.75" x14ac:dyDescent="0.2">
      <c r="A20" s="31">
        <v>1</v>
      </c>
      <c r="B20" s="70" t="s">
        <v>289</v>
      </c>
      <c r="C20" s="70"/>
      <c r="D20" s="70"/>
      <c r="E20" s="14">
        <f>171894647+4799749+10327977-380000+10178892+387230</f>
        <v>197208495</v>
      </c>
    </row>
    <row r="21" spans="1:6" ht="15.75" x14ac:dyDescent="0.2">
      <c r="A21" s="31">
        <v>2</v>
      </c>
      <c r="B21" s="70" t="s">
        <v>128</v>
      </c>
      <c r="C21" s="70"/>
      <c r="D21" s="70"/>
      <c r="E21" s="14">
        <v>52261160</v>
      </c>
    </row>
    <row r="22" spans="1:6" ht="15.75" x14ac:dyDescent="0.2">
      <c r="A22" s="66"/>
      <c r="B22" s="67"/>
      <c r="C22" s="67"/>
      <c r="D22" s="67"/>
      <c r="E22" s="68"/>
    </row>
    <row r="23" spans="1:6" ht="15.75" x14ac:dyDescent="0.25">
      <c r="A23" s="85" t="s">
        <v>129</v>
      </c>
      <c r="B23" s="86"/>
      <c r="C23" s="86"/>
      <c r="D23" s="86"/>
      <c r="E23" s="13">
        <f>E291+E296+E451</f>
        <v>249184724</v>
      </c>
      <c r="F23" s="4"/>
    </row>
    <row r="24" spans="1:6" ht="15.75" x14ac:dyDescent="0.2">
      <c r="A24" s="66" t="s">
        <v>24</v>
      </c>
      <c r="B24" s="67"/>
      <c r="C24" s="67"/>
      <c r="D24" s="67"/>
      <c r="E24" s="68"/>
    </row>
    <row r="25" spans="1:6" s="1" customFormat="1" ht="39.75" customHeight="1" x14ac:dyDescent="0.25">
      <c r="A25" s="80" t="s">
        <v>27</v>
      </c>
      <c r="B25" s="81"/>
      <c r="C25" s="81"/>
      <c r="D25" s="81"/>
      <c r="E25" s="82"/>
    </row>
    <row r="26" spans="1:6" s="1" customFormat="1" ht="24.75" customHeight="1" x14ac:dyDescent="0.25">
      <c r="A26" s="66" t="s">
        <v>50</v>
      </c>
      <c r="B26" s="67"/>
      <c r="C26" s="67"/>
      <c r="D26" s="67"/>
      <c r="E26" s="68"/>
    </row>
    <row r="27" spans="1:6" s="1" customFormat="1" ht="35.25" customHeight="1" x14ac:dyDescent="0.25">
      <c r="A27" s="31">
        <v>1</v>
      </c>
      <c r="B27" s="70" t="s">
        <v>59</v>
      </c>
      <c r="C27" s="70"/>
      <c r="D27" s="70"/>
      <c r="E27" s="14">
        <f>1000000-440546+14433+4811</f>
        <v>578698</v>
      </c>
    </row>
    <row r="28" spans="1:6" s="1" customFormat="1" ht="15.75" x14ac:dyDescent="0.25">
      <c r="A28" s="30"/>
      <c r="B28" s="73" t="s">
        <v>25</v>
      </c>
      <c r="C28" s="73"/>
      <c r="D28" s="73"/>
      <c r="E28" s="13">
        <f>E27</f>
        <v>578698</v>
      </c>
    </row>
    <row r="29" spans="1:6" s="1" customFormat="1" ht="15.75" x14ac:dyDescent="0.25">
      <c r="A29" s="66" t="s">
        <v>40</v>
      </c>
      <c r="B29" s="67"/>
      <c r="C29" s="67"/>
      <c r="D29" s="67"/>
      <c r="E29" s="68"/>
    </row>
    <row r="30" spans="1:6" s="1" customFormat="1" ht="39" customHeight="1" x14ac:dyDescent="0.25">
      <c r="A30" s="31">
        <v>1</v>
      </c>
      <c r="B30" s="70" t="s">
        <v>166</v>
      </c>
      <c r="C30" s="70"/>
      <c r="D30" s="70"/>
      <c r="E30" s="14">
        <f>372565-12565</f>
        <v>360000</v>
      </c>
    </row>
    <row r="31" spans="1:6" s="1" customFormat="1" ht="15.75" x14ac:dyDescent="0.25">
      <c r="A31" s="31"/>
      <c r="B31" s="73" t="s">
        <v>25</v>
      </c>
      <c r="C31" s="73"/>
      <c r="D31" s="73"/>
      <c r="E31" s="13">
        <f>E30</f>
        <v>360000</v>
      </c>
    </row>
    <row r="32" spans="1:6" s="1" customFormat="1" ht="15.75" x14ac:dyDescent="0.25">
      <c r="A32" s="66" t="s">
        <v>16</v>
      </c>
      <c r="B32" s="67"/>
      <c r="C32" s="67"/>
      <c r="D32" s="67"/>
      <c r="E32" s="68"/>
    </row>
    <row r="33" spans="1:5" s="1" customFormat="1" ht="15.75" x14ac:dyDescent="0.25">
      <c r="A33" s="31">
        <v>1</v>
      </c>
      <c r="B33" s="70" t="s">
        <v>185</v>
      </c>
      <c r="C33" s="70"/>
      <c r="D33" s="70"/>
      <c r="E33" s="14">
        <v>57152</v>
      </c>
    </row>
    <row r="34" spans="1:5" s="1" customFormat="1" ht="15.75" x14ac:dyDescent="0.25">
      <c r="A34" s="31"/>
      <c r="B34" s="73" t="s">
        <v>25</v>
      </c>
      <c r="C34" s="73"/>
      <c r="D34" s="73"/>
      <c r="E34" s="13">
        <f>E33</f>
        <v>57152</v>
      </c>
    </row>
    <row r="35" spans="1:5" s="1" customFormat="1" ht="15.75" x14ac:dyDescent="0.25">
      <c r="A35" s="66" t="s">
        <v>33</v>
      </c>
      <c r="B35" s="67"/>
      <c r="C35" s="67"/>
      <c r="D35" s="67"/>
      <c r="E35" s="68"/>
    </row>
    <row r="36" spans="1:5" s="1" customFormat="1" ht="58.5" customHeight="1" x14ac:dyDescent="0.25">
      <c r="A36" s="31">
        <v>1</v>
      </c>
      <c r="B36" s="70" t="s">
        <v>301</v>
      </c>
      <c r="C36" s="70"/>
      <c r="D36" s="70"/>
      <c r="E36" s="14">
        <v>52579</v>
      </c>
    </row>
    <row r="37" spans="1:5" s="1" customFormat="1" ht="15.75" x14ac:dyDescent="0.25">
      <c r="A37" s="31"/>
      <c r="B37" s="73" t="s">
        <v>25</v>
      </c>
      <c r="C37" s="73"/>
      <c r="D37" s="73"/>
      <c r="E37" s="13">
        <f>E36</f>
        <v>52579</v>
      </c>
    </row>
    <row r="38" spans="1:5" s="1" customFormat="1" ht="15.75" x14ac:dyDescent="0.25">
      <c r="A38" s="31"/>
      <c r="B38" s="73" t="s">
        <v>34</v>
      </c>
      <c r="C38" s="73"/>
      <c r="D38" s="73"/>
      <c r="E38" s="13">
        <f>SUM(E28+E31+E34+E37)</f>
        <v>1048429</v>
      </c>
    </row>
    <row r="39" spans="1:5" s="1" customFormat="1" ht="28.5" customHeight="1" x14ac:dyDescent="0.25">
      <c r="A39" s="80" t="s">
        <v>200</v>
      </c>
      <c r="B39" s="81"/>
      <c r="C39" s="81"/>
      <c r="D39" s="81"/>
      <c r="E39" s="82"/>
    </row>
    <row r="40" spans="1:5" s="1" customFormat="1" ht="31.5" customHeight="1" x14ac:dyDescent="0.25">
      <c r="A40" s="66" t="s">
        <v>35</v>
      </c>
      <c r="B40" s="67"/>
      <c r="C40" s="67"/>
      <c r="D40" s="67"/>
      <c r="E40" s="68"/>
    </row>
    <row r="41" spans="1:5" s="1" customFormat="1" ht="66.75" customHeight="1" x14ac:dyDescent="0.25">
      <c r="A41" s="31">
        <v>1</v>
      </c>
      <c r="B41" s="70" t="s">
        <v>140</v>
      </c>
      <c r="C41" s="70"/>
      <c r="D41" s="70"/>
      <c r="E41" s="14">
        <v>250000</v>
      </c>
    </row>
    <row r="42" spans="1:5" s="1" customFormat="1" ht="39.950000000000003" customHeight="1" x14ac:dyDescent="0.25">
      <c r="A42" s="31">
        <v>2</v>
      </c>
      <c r="B42" s="70" t="s">
        <v>41</v>
      </c>
      <c r="C42" s="70"/>
      <c r="D42" s="70"/>
      <c r="E42" s="14">
        <f>240000+290000</f>
        <v>530000</v>
      </c>
    </row>
    <row r="43" spans="1:5" s="1" customFormat="1" ht="51.75" customHeight="1" x14ac:dyDescent="0.25">
      <c r="A43" s="31">
        <v>3</v>
      </c>
      <c r="B43" s="70" t="s">
        <v>228</v>
      </c>
      <c r="C43" s="70"/>
      <c r="D43" s="70"/>
      <c r="E43" s="14">
        <f>195000-27</f>
        <v>194973</v>
      </c>
    </row>
    <row r="44" spans="1:5" s="1" customFormat="1" ht="69.75" customHeight="1" x14ac:dyDescent="0.25">
      <c r="A44" s="31">
        <v>4</v>
      </c>
      <c r="B44" s="70" t="s">
        <v>300</v>
      </c>
      <c r="C44" s="70"/>
      <c r="D44" s="70"/>
      <c r="E44" s="14">
        <f>8018146+2872308+1052535-530020</f>
        <v>11412969</v>
      </c>
    </row>
    <row r="45" spans="1:5" s="1" customFormat="1" ht="39.950000000000003" customHeight="1" x14ac:dyDescent="0.25">
      <c r="A45" s="31">
        <v>5</v>
      </c>
      <c r="B45" s="70" t="s">
        <v>336</v>
      </c>
      <c r="C45" s="70"/>
      <c r="D45" s="70"/>
      <c r="E45" s="14">
        <v>162301</v>
      </c>
    </row>
    <row r="46" spans="1:5" s="1" customFormat="1" ht="50.25" customHeight="1" x14ac:dyDescent="0.25">
      <c r="A46" s="31">
        <v>6</v>
      </c>
      <c r="B46" s="70" t="s">
        <v>330</v>
      </c>
      <c r="C46" s="70"/>
      <c r="D46" s="70"/>
      <c r="E46" s="14">
        <f>101847+45655</f>
        <v>147502</v>
      </c>
    </row>
    <row r="47" spans="1:5" s="1" customFormat="1" ht="55.5" customHeight="1" x14ac:dyDescent="0.25">
      <c r="A47" s="31">
        <v>7</v>
      </c>
      <c r="B47" s="70" t="s">
        <v>331</v>
      </c>
      <c r="C47" s="70"/>
      <c r="D47" s="70"/>
      <c r="E47" s="14">
        <f>92810+45655</f>
        <v>138465</v>
      </c>
    </row>
    <row r="48" spans="1:5" s="1" customFormat="1" ht="39.950000000000003" customHeight="1" x14ac:dyDescent="0.25">
      <c r="A48" s="31">
        <v>8</v>
      </c>
      <c r="B48" s="70" t="s">
        <v>332</v>
      </c>
      <c r="C48" s="70"/>
      <c r="D48" s="70"/>
      <c r="E48" s="14">
        <v>190516</v>
      </c>
    </row>
    <row r="49" spans="1:5" s="1" customFormat="1" ht="39.950000000000003" customHeight="1" x14ac:dyDescent="0.25">
      <c r="A49" s="31">
        <v>9</v>
      </c>
      <c r="B49" s="70" t="s">
        <v>333</v>
      </c>
      <c r="C49" s="70"/>
      <c r="D49" s="70"/>
      <c r="E49" s="14">
        <v>212226</v>
      </c>
    </row>
    <row r="50" spans="1:5" s="1" customFormat="1" ht="63" customHeight="1" x14ac:dyDescent="0.25">
      <c r="A50" s="31">
        <v>10</v>
      </c>
      <c r="B50" s="70" t="s">
        <v>186</v>
      </c>
      <c r="C50" s="70"/>
      <c r="D50" s="70"/>
      <c r="E50" s="14">
        <f>800000+296711</f>
        <v>1096711</v>
      </c>
    </row>
    <row r="51" spans="1:5" s="1" customFormat="1" ht="39.950000000000003" customHeight="1" x14ac:dyDescent="0.25">
      <c r="A51" s="31">
        <v>11</v>
      </c>
      <c r="B51" s="70" t="s">
        <v>320</v>
      </c>
      <c r="C51" s="70"/>
      <c r="D51" s="70"/>
      <c r="E51" s="14">
        <v>149100</v>
      </c>
    </row>
    <row r="52" spans="1:5" s="1" customFormat="1" ht="35.25" customHeight="1" x14ac:dyDescent="0.25">
      <c r="A52" s="31">
        <v>12</v>
      </c>
      <c r="B52" s="70" t="s">
        <v>321</v>
      </c>
      <c r="C52" s="70"/>
      <c r="D52" s="70"/>
      <c r="E52" s="14">
        <f>1199740+2266877+25102</f>
        <v>3491719</v>
      </c>
    </row>
    <row r="53" spans="1:5" s="1" customFormat="1" ht="30" customHeight="1" x14ac:dyDescent="0.25">
      <c r="A53" s="31">
        <v>13</v>
      </c>
      <c r="B53" s="70" t="s">
        <v>221</v>
      </c>
      <c r="C53" s="70"/>
      <c r="D53" s="70"/>
      <c r="E53" s="14">
        <f>30600-457</f>
        <v>30143</v>
      </c>
    </row>
    <row r="54" spans="1:5" s="1" customFormat="1" ht="40.5" customHeight="1" x14ac:dyDescent="0.25">
      <c r="A54" s="31">
        <v>14</v>
      </c>
      <c r="B54" s="70" t="s">
        <v>229</v>
      </c>
      <c r="C54" s="70"/>
      <c r="D54" s="70"/>
      <c r="E54" s="14">
        <v>32860</v>
      </c>
    </row>
    <row r="55" spans="1:5" s="1" customFormat="1" ht="38.25" customHeight="1" x14ac:dyDescent="0.25">
      <c r="A55" s="31">
        <v>15</v>
      </c>
      <c r="B55" s="70" t="s">
        <v>201</v>
      </c>
      <c r="C55" s="70"/>
      <c r="D55" s="70"/>
      <c r="E55" s="14">
        <v>560000</v>
      </c>
    </row>
    <row r="56" spans="1:5" s="1" customFormat="1" ht="38.25" customHeight="1" x14ac:dyDescent="0.25">
      <c r="A56" s="31">
        <v>16</v>
      </c>
      <c r="B56" s="70" t="s">
        <v>222</v>
      </c>
      <c r="C56" s="70"/>
      <c r="D56" s="70"/>
      <c r="E56" s="14">
        <v>6388</v>
      </c>
    </row>
    <row r="57" spans="1:5" s="1" customFormat="1" ht="38.25" customHeight="1" x14ac:dyDescent="0.25">
      <c r="A57" s="31">
        <v>17</v>
      </c>
      <c r="B57" s="70" t="s">
        <v>223</v>
      </c>
      <c r="C57" s="70"/>
      <c r="D57" s="70"/>
      <c r="E57" s="14">
        <f>43580-1698</f>
        <v>41882</v>
      </c>
    </row>
    <row r="58" spans="1:5" s="1" customFormat="1" ht="46.5" customHeight="1" x14ac:dyDescent="0.25">
      <c r="A58" s="31">
        <v>18</v>
      </c>
      <c r="B58" s="70" t="s">
        <v>322</v>
      </c>
      <c r="C58" s="70"/>
      <c r="D58" s="70"/>
      <c r="E58" s="14">
        <v>52152</v>
      </c>
    </row>
    <row r="59" spans="1:5" s="1" customFormat="1" ht="37.5" customHeight="1" x14ac:dyDescent="0.25">
      <c r="A59" s="31">
        <v>19</v>
      </c>
      <c r="B59" s="70" t="s">
        <v>224</v>
      </c>
      <c r="C59" s="70"/>
      <c r="D59" s="70"/>
      <c r="E59" s="14">
        <v>74490</v>
      </c>
    </row>
    <row r="60" spans="1:5" s="1" customFormat="1" ht="37.5" customHeight="1" x14ac:dyDescent="0.25">
      <c r="A60" s="31">
        <v>20</v>
      </c>
      <c r="B60" s="70" t="s">
        <v>225</v>
      </c>
      <c r="C60" s="70"/>
      <c r="D60" s="70"/>
      <c r="E60" s="14">
        <v>71459</v>
      </c>
    </row>
    <row r="61" spans="1:5" s="1" customFormat="1" ht="45" customHeight="1" x14ac:dyDescent="0.25">
      <c r="A61" s="31">
        <v>21</v>
      </c>
      <c r="B61" s="70" t="s">
        <v>325</v>
      </c>
      <c r="C61" s="70"/>
      <c r="D61" s="70"/>
      <c r="E61" s="14">
        <v>10365</v>
      </c>
    </row>
    <row r="62" spans="1:5" s="1" customFormat="1" ht="54" customHeight="1" x14ac:dyDescent="0.25">
      <c r="A62" s="31">
        <v>22</v>
      </c>
      <c r="B62" s="70" t="s">
        <v>323</v>
      </c>
      <c r="C62" s="70"/>
      <c r="D62" s="70"/>
      <c r="E62" s="14">
        <v>6125</v>
      </c>
    </row>
    <row r="63" spans="1:5" s="1" customFormat="1" ht="65.25" customHeight="1" x14ac:dyDescent="0.25">
      <c r="A63" s="31">
        <v>23</v>
      </c>
      <c r="B63" s="70" t="s">
        <v>302</v>
      </c>
      <c r="C63" s="70"/>
      <c r="D63" s="70"/>
      <c r="E63" s="14">
        <v>925332</v>
      </c>
    </row>
    <row r="64" spans="1:5" s="1" customFormat="1" ht="53.25" customHeight="1" x14ac:dyDescent="0.25">
      <c r="A64" s="31">
        <v>24</v>
      </c>
      <c r="B64" s="70" t="s">
        <v>337</v>
      </c>
      <c r="C64" s="70"/>
      <c r="D64" s="70"/>
      <c r="E64" s="14">
        <v>113393</v>
      </c>
    </row>
    <row r="65" spans="1:5" s="1" customFormat="1" ht="55.5" customHeight="1" x14ac:dyDescent="0.25">
      <c r="A65" s="31">
        <v>25</v>
      </c>
      <c r="B65" s="70" t="s">
        <v>338</v>
      </c>
      <c r="C65" s="70"/>
      <c r="D65" s="70"/>
      <c r="E65" s="14">
        <v>1292952</v>
      </c>
    </row>
    <row r="66" spans="1:5" s="1" customFormat="1" ht="48.75" customHeight="1" x14ac:dyDescent="0.25">
      <c r="A66" s="31">
        <v>26</v>
      </c>
      <c r="B66" s="70" t="s">
        <v>233</v>
      </c>
      <c r="C66" s="70"/>
      <c r="D66" s="70"/>
      <c r="E66" s="14">
        <v>256660</v>
      </c>
    </row>
    <row r="67" spans="1:5" s="1" customFormat="1" ht="41.25" customHeight="1" x14ac:dyDescent="0.25">
      <c r="A67" s="31">
        <v>27</v>
      </c>
      <c r="B67" s="70" t="s">
        <v>303</v>
      </c>
      <c r="C67" s="70"/>
      <c r="D67" s="70"/>
      <c r="E67" s="14">
        <v>61788</v>
      </c>
    </row>
    <row r="68" spans="1:5" s="1" customFormat="1" ht="42.75" customHeight="1" x14ac:dyDescent="0.25">
      <c r="A68" s="31">
        <v>28</v>
      </c>
      <c r="B68" s="70" t="s">
        <v>304</v>
      </c>
      <c r="C68" s="70"/>
      <c r="D68" s="70"/>
      <c r="E68" s="14">
        <v>102048</v>
      </c>
    </row>
    <row r="69" spans="1:5" s="1" customFormat="1" ht="36" customHeight="1" x14ac:dyDescent="0.25">
      <c r="A69" s="31">
        <v>29</v>
      </c>
      <c r="B69" s="70" t="s">
        <v>305</v>
      </c>
      <c r="C69" s="70"/>
      <c r="D69" s="70"/>
      <c r="E69" s="14">
        <v>80000</v>
      </c>
    </row>
    <row r="70" spans="1:5" s="1" customFormat="1" ht="36.75" customHeight="1" x14ac:dyDescent="0.25">
      <c r="A70" s="31">
        <v>30</v>
      </c>
      <c r="B70" s="70" t="s">
        <v>306</v>
      </c>
      <c r="C70" s="70"/>
      <c r="D70" s="70"/>
      <c r="E70" s="14">
        <v>40000</v>
      </c>
    </row>
    <row r="71" spans="1:5" s="1" customFormat="1" ht="41.25" customHeight="1" x14ac:dyDescent="0.25">
      <c r="A71" s="31">
        <v>31</v>
      </c>
      <c r="B71" s="70" t="s">
        <v>307</v>
      </c>
      <c r="C71" s="70"/>
      <c r="D71" s="70"/>
      <c r="E71" s="14">
        <v>77839</v>
      </c>
    </row>
    <row r="72" spans="1:5" s="1" customFormat="1" ht="41.25" customHeight="1" x14ac:dyDescent="0.25">
      <c r="A72" s="31">
        <v>32</v>
      </c>
      <c r="B72" s="70" t="s">
        <v>308</v>
      </c>
      <c r="C72" s="70"/>
      <c r="D72" s="70"/>
      <c r="E72" s="14">
        <v>113643</v>
      </c>
    </row>
    <row r="73" spans="1:5" s="1" customFormat="1" ht="39" customHeight="1" x14ac:dyDescent="0.25">
      <c r="A73" s="31">
        <v>33</v>
      </c>
      <c r="B73" s="70" t="s">
        <v>309</v>
      </c>
      <c r="C73" s="70"/>
      <c r="D73" s="70"/>
      <c r="E73" s="14">
        <v>84878</v>
      </c>
    </row>
    <row r="74" spans="1:5" s="1" customFormat="1" ht="39" customHeight="1" x14ac:dyDescent="0.25">
      <c r="A74" s="31">
        <v>34</v>
      </c>
      <c r="B74" s="70" t="s">
        <v>324</v>
      </c>
      <c r="C74" s="70"/>
      <c r="D74" s="70"/>
      <c r="E74" s="14">
        <v>120000</v>
      </c>
    </row>
    <row r="75" spans="1:5" s="1" customFormat="1" ht="42.75" customHeight="1" x14ac:dyDescent="0.25">
      <c r="A75" s="31">
        <v>35</v>
      </c>
      <c r="B75" s="70" t="s">
        <v>310</v>
      </c>
      <c r="C75" s="70"/>
      <c r="D75" s="70"/>
      <c r="E75" s="14">
        <v>71788</v>
      </c>
    </row>
    <row r="76" spans="1:5" s="1" customFormat="1" ht="39.75" customHeight="1" x14ac:dyDescent="0.25">
      <c r="A76" s="31">
        <v>36</v>
      </c>
      <c r="B76" s="70" t="s">
        <v>311</v>
      </c>
      <c r="C76" s="70"/>
      <c r="D76" s="70"/>
      <c r="E76" s="14">
        <v>35793</v>
      </c>
    </row>
    <row r="77" spans="1:5" s="1" customFormat="1" ht="36" customHeight="1" x14ac:dyDescent="0.25">
      <c r="A77" s="31">
        <v>37</v>
      </c>
      <c r="B77" s="70" t="s">
        <v>312</v>
      </c>
      <c r="C77" s="70"/>
      <c r="D77" s="70"/>
      <c r="E77" s="14">
        <v>71758</v>
      </c>
    </row>
    <row r="78" spans="1:5" s="1" customFormat="1" ht="38.25" customHeight="1" x14ac:dyDescent="0.25">
      <c r="A78" s="31">
        <v>38</v>
      </c>
      <c r="B78" s="70" t="s">
        <v>313</v>
      </c>
      <c r="C78" s="70"/>
      <c r="D78" s="70"/>
      <c r="E78" s="14">
        <v>117102</v>
      </c>
    </row>
    <row r="79" spans="1:5" s="1" customFormat="1" ht="26.25" customHeight="1" x14ac:dyDescent="0.25">
      <c r="A79" s="31"/>
      <c r="B79" s="73" t="s">
        <v>25</v>
      </c>
      <c r="C79" s="73"/>
      <c r="D79" s="73"/>
      <c r="E79" s="13">
        <f>SUM(E41:E78)</f>
        <v>22427320</v>
      </c>
    </row>
    <row r="80" spans="1:5" s="1" customFormat="1" ht="15.75" x14ac:dyDescent="0.25">
      <c r="A80" s="66" t="s">
        <v>187</v>
      </c>
      <c r="B80" s="67"/>
      <c r="C80" s="67"/>
      <c r="D80" s="67"/>
      <c r="E80" s="68"/>
    </row>
    <row r="81" spans="1:5" s="1" customFormat="1" ht="49.5" customHeight="1" x14ac:dyDescent="0.25">
      <c r="A81" s="31">
        <v>1</v>
      </c>
      <c r="B81" s="70" t="s">
        <v>202</v>
      </c>
      <c r="C81" s="70"/>
      <c r="D81" s="70"/>
      <c r="E81" s="14">
        <v>184583</v>
      </c>
    </row>
    <row r="82" spans="1:5" s="1" customFormat="1" ht="15.75" x14ac:dyDescent="0.25">
      <c r="A82" s="31"/>
      <c r="B82" s="73" t="s">
        <v>25</v>
      </c>
      <c r="C82" s="73"/>
      <c r="D82" s="73"/>
      <c r="E82" s="13">
        <f>E81</f>
        <v>184583</v>
      </c>
    </row>
    <row r="83" spans="1:5" s="1" customFormat="1" ht="15.75" x14ac:dyDescent="0.25">
      <c r="A83" s="66" t="s">
        <v>11</v>
      </c>
      <c r="B83" s="67"/>
      <c r="C83" s="67"/>
      <c r="D83" s="67"/>
      <c r="E83" s="68"/>
    </row>
    <row r="84" spans="1:5" s="1" customFormat="1" ht="35.25" customHeight="1" x14ac:dyDescent="0.25">
      <c r="A84" s="31">
        <v>1</v>
      </c>
      <c r="B84" s="70" t="s">
        <v>231</v>
      </c>
      <c r="C84" s="70"/>
      <c r="D84" s="70"/>
      <c r="E84" s="14">
        <f>3000000-74387</f>
        <v>2925613</v>
      </c>
    </row>
    <row r="85" spans="1:5" s="1" customFormat="1" ht="35.25" customHeight="1" x14ac:dyDescent="0.25">
      <c r="A85" s="31">
        <v>2</v>
      </c>
      <c r="B85" s="70" t="s">
        <v>343</v>
      </c>
      <c r="C85" s="70"/>
      <c r="D85" s="70"/>
      <c r="E85" s="14">
        <f>3000000-227806</f>
        <v>2772194</v>
      </c>
    </row>
    <row r="86" spans="1:5" s="1" customFormat="1" ht="30" customHeight="1" x14ac:dyDescent="0.25">
      <c r="A86" s="31">
        <v>3</v>
      </c>
      <c r="B86" s="84" t="s">
        <v>314</v>
      </c>
      <c r="C86" s="84"/>
      <c r="D86" s="84"/>
      <c r="E86" s="14">
        <v>8172743</v>
      </c>
    </row>
    <row r="87" spans="1:5" s="1" customFormat="1" ht="30.75" customHeight="1" x14ac:dyDescent="0.25">
      <c r="A87" s="31">
        <v>4</v>
      </c>
      <c r="B87" s="70" t="s">
        <v>315</v>
      </c>
      <c r="C87" s="70"/>
      <c r="D87" s="70"/>
      <c r="E87" s="14">
        <v>379556</v>
      </c>
    </row>
    <row r="88" spans="1:5" s="1" customFormat="1" ht="24" customHeight="1" x14ac:dyDescent="0.25">
      <c r="A88" s="31">
        <v>5</v>
      </c>
      <c r="B88" s="70" t="s">
        <v>211</v>
      </c>
      <c r="C88" s="70"/>
      <c r="D88" s="70"/>
      <c r="E88" s="14">
        <v>292115</v>
      </c>
    </row>
    <row r="89" spans="1:5" s="1" customFormat="1" ht="15.75" x14ac:dyDescent="0.25">
      <c r="A89" s="31"/>
      <c r="B89" s="73" t="s">
        <v>25</v>
      </c>
      <c r="C89" s="73"/>
      <c r="D89" s="73"/>
      <c r="E89" s="13">
        <f>SUM(E84:E88)</f>
        <v>14542221</v>
      </c>
    </row>
    <row r="90" spans="1:5" s="1" customFormat="1" ht="15.75" x14ac:dyDescent="0.25">
      <c r="A90" s="66" t="s">
        <v>26</v>
      </c>
      <c r="B90" s="67"/>
      <c r="C90" s="67"/>
      <c r="D90" s="67"/>
      <c r="E90" s="68"/>
    </row>
    <row r="91" spans="1:5" s="1" customFormat="1" ht="24.75" customHeight="1" x14ac:dyDescent="0.25">
      <c r="A91" s="31">
        <v>1</v>
      </c>
      <c r="B91" s="70" t="s">
        <v>43</v>
      </c>
      <c r="C91" s="70"/>
      <c r="D91" s="70"/>
      <c r="E91" s="14">
        <v>7000000</v>
      </c>
    </row>
    <row r="92" spans="1:5" s="1" customFormat="1" ht="30.75" customHeight="1" x14ac:dyDescent="0.25">
      <c r="A92" s="31">
        <v>2</v>
      </c>
      <c r="B92" s="70" t="s">
        <v>132</v>
      </c>
      <c r="C92" s="70"/>
      <c r="D92" s="70"/>
      <c r="E92" s="14">
        <v>1900000</v>
      </c>
    </row>
    <row r="93" spans="1:5" s="1" customFormat="1" ht="68.25" customHeight="1" x14ac:dyDescent="0.25">
      <c r="A93" s="31">
        <v>3</v>
      </c>
      <c r="B93" s="70" t="s">
        <v>339</v>
      </c>
      <c r="C93" s="70"/>
      <c r="D93" s="70"/>
      <c r="E93" s="14">
        <f>2000000+915958</f>
        <v>2915958</v>
      </c>
    </row>
    <row r="94" spans="1:5" s="1" customFormat="1" ht="43.5" customHeight="1" x14ac:dyDescent="0.25">
      <c r="A94" s="31">
        <v>4</v>
      </c>
      <c r="B94" s="70" t="s">
        <v>340</v>
      </c>
      <c r="C94" s="70"/>
      <c r="D94" s="70"/>
      <c r="E94" s="14">
        <f>0+53840</f>
        <v>53840</v>
      </c>
    </row>
    <row r="95" spans="1:5" s="1" customFormat="1" ht="66.75" customHeight="1" x14ac:dyDescent="0.25">
      <c r="A95" s="31">
        <v>5</v>
      </c>
      <c r="B95" s="70" t="s">
        <v>341</v>
      </c>
      <c r="C95" s="70"/>
      <c r="D95" s="70"/>
      <c r="E95" s="14">
        <f>0+42769</f>
        <v>42769</v>
      </c>
    </row>
    <row r="96" spans="1:5" s="1" customFormat="1" ht="48.75" customHeight="1" x14ac:dyDescent="0.25">
      <c r="A96" s="31">
        <v>6</v>
      </c>
      <c r="B96" s="70" t="s">
        <v>342</v>
      </c>
      <c r="C96" s="70"/>
      <c r="D96" s="70"/>
      <c r="E96" s="14">
        <f>0+595000</f>
        <v>595000</v>
      </c>
    </row>
    <row r="97" spans="1:5" s="1" customFormat="1" ht="15.75" x14ac:dyDescent="0.25">
      <c r="A97" s="31"/>
      <c r="B97" s="73" t="s">
        <v>25</v>
      </c>
      <c r="C97" s="73"/>
      <c r="D97" s="73"/>
      <c r="E97" s="13">
        <f>SUM(E91:E96)</f>
        <v>12507567</v>
      </c>
    </row>
    <row r="98" spans="1:5" s="1" customFormat="1" ht="26.25" customHeight="1" x14ac:dyDescent="0.25">
      <c r="A98" s="66" t="s">
        <v>28</v>
      </c>
      <c r="B98" s="67"/>
      <c r="C98" s="67"/>
      <c r="D98" s="67"/>
      <c r="E98" s="68"/>
    </row>
    <row r="99" spans="1:5" s="1" customFormat="1" ht="32.25" customHeight="1" x14ac:dyDescent="0.25">
      <c r="A99" s="31">
        <v>1</v>
      </c>
      <c r="B99" s="83" t="s">
        <v>29</v>
      </c>
      <c r="C99" s="83"/>
      <c r="D99" s="83"/>
      <c r="E99" s="14">
        <f>1712634+260300</f>
        <v>1972934</v>
      </c>
    </row>
    <row r="100" spans="1:5" s="1" customFormat="1" ht="35.25" customHeight="1" x14ac:dyDescent="0.25">
      <c r="A100" s="31">
        <v>2</v>
      </c>
      <c r="B100" s="83" t="s">
        <v>164</v>
      </c>
      <c r="C100" s="83"/>
      <c r="D100" s="83"/>
      <c r="E100" s="14">
        <f>1324640+411541</f>
        <v>1736181</v>
      </c>
    </row>
    <row r="101" spans="1:5" s="1" customFormat="1" ht="24.75" customHeight="1" x14ac:dyDescent="0.25">
      <c r="A101" s="31">
        <v>3</v>
      </c>
      <c r="B101" s="83" t="s">
        <v>203</v>
      </c>
      <c r="C101" s="83"/>
      <c r="D101" s="83"/>
      <c r="E101" s="14">
        <f>1369359-139760</f>
        <v>1229599</v>
      </c>
    </row>
    <row r="102" spans="1:5" s="1" customFormat="1" ht="30.75" customHeight="1" x14ac:dyDescent="0.25">
      <c r="A102" s="31">
        <v>4</v>
      </c>
      <c r="B102" s="83" t="s">
        <v>204</v>
      </c>
      <c r="C102" s="83"/>
      <c r="D102" s="83"/>
      <c r="E102" s="14">
        <f>754864-76538</f>
        <v>678326</v>
      </c>
    </row>
    <row r="103" spans="1:5" s="1" customFormat="1" ht="22.5" customHeight="1" x14ac:dyDescent="0.25">
      <c r="A103" s="31">
        <v>5</v>
      </c>
      <c r="B103" s="83" t="s">
        <v>205</v>
      </c>
      <c r="C103" s="83"/>
      <c r="D103" s="83"/>
      <c r="E103" s="14">
        <v>1500000</v>
      </c>
    </row>
    <row r="104" spans="1:5" s="1" customFormat="1" ht="15.75" x14ac:dyDescent="0.25">
      <c r="A104" s="31"/>
      <c r="B104" s="73" t="s">
        <v>25</v>
      </c>
      <c r="C104" s="73"/>
      <c r="D104" s="73"/>
      <c r="E104" s="13">
        <f>SUM(E99:E103)</f>
        <v>7117040</v>
      </c>
    </row>
    <row r="105" spans="1:5" s="1" customFormat="1" ht="15.75" x14ac:dyDescent="0.25">
      <c r="A105" s="66" t="s">
        <v>33</v>
      </c>
      <c r="B105" s="67"/>
      <c r="C105" s="67"/>
      <c r="D105" s="67"/>
      <c r="E105" s="68"/>
    </row>
    <row r="106" spans="1:5" s="1" customFormat="1" ht="30.75" customHeight="1" x14ac:dyDescent="0.25">
      <c r="A106" s="31">
        <v>1</v>
      </c>
      <c r="B106" s="83" t="s">
        <v>236</v>
      </c>
      <c r="C106" s="83"/>
      <c r="D106" s="83"/>
      <c r="E106" s="14">
        <f>3000000+1960675</f>
        <v>4960675</v>
      </c>
    </row>
    <row r="107" spans="1:5" s="1" customFormat="1" ht="51" customHeight="1" x14ac:dyDescent="0.25">
      <c r="A107" s="31">
        <v>2</v>
      </c>
      <c r="B107" s="83" t="s">
        <v>215</v>
      </c>
      <c r="C107" s="83"/>
      <c r="D107" s="83"/>
      <c r="E107" s="14">
        <v>905270</v>
      </c>
    </row>
    <row r="108" spans="1:5" s="1" customFormat="1" ht="29.25" customHeight="1" x14ac:dyDescent="0.25">
      <c r="A108" s="31">
        <v>3</v>
      </c>
      <c r="B108" s="83" t="s">
        <v>347</v>
      </c>
      <c r="C108" s="83"/>
      <c r="D108" s="83"/>
      <c r="E108" s="14">
        <v>288754</v>
      </c>
    </row>
    <row r="109" spans="1:5" s="1" customFormat="1" ht="15.75" x14ac:dyDescent="0.25">
      <c r="A109" s="31"/>
      <c r="B109" s="73" t="s">
        <v>25</v>
      </c>
      <c r="C109" s="73"/>
      <c r="D109" s="73"/>
      <c r="E109" s="13">
        <f>SUM(E106:E108)</f>
        <v>6154699</v>
      </c>
    </row>
    <row r="110" spans="1:5" s="1" customFormat="1" ht="21.75" customHeight="1" x14ac:dyDescent="0.25">
      <c r="A110" s="66" t="s">
        <v>7</v>
      </c>
      <c r="B110" s="67"/>
      <c r="C110" s="67"/>
      <c r="D110" s="67"/>
      <c r="E110" s="68"/>
    </row>
    <row r="111" spans="1:5" s="1" customFormat="1" ht="33" customHeight="1" x14ac:dyDescent="0.25">
      <c r="A111" s="31">
        <v>1</v>
      </c>
      <c r="B111" s="70" t="s">
        <v>144</v>
      </c>
      <c r="C111" s="70"/>
      <c r="D111" s="70"/>
      <c r="E111" s="14">
        <f>897908-125</f>
        <v>897783</v>
      </c>
    </row>
    <row r="112" spans="1:5" s="1" customFormat="1" ht="30" customHeight="1" x14ac:dyDescent="0.25">
      <c r="A112" s="31">
        <v>2</v>
      </c>
      <c r="B112" s="70" t="s">
        <v>216</v>
      </c>
      <c r="C112" s="70"/>
      <c r="D112" s="70"/>
      <c r="E112" s="14">
        <f>745000-38639</f>
        <v>706361</v>
      </c>
    </row>
    <row r="113" spans="1:5" s="1" customFormat="1" ht="22.5" customHeight="1" x14ac:dyDescent="0.25">
      <c r="A113" s="31">
        <v>3</v>
      </c>
      <c r="B113" s="70" t="s">
        <v>141</v>
      </c>
      <c r="C113" s="70"/>
      <c r="D113" s="70"/>
      <c r="E113" s="14">
        <v>780181</v>
      </c>
    </row>
    <row r="114" spans="1:5" s="1" customFormat="1" ht="32.25" customHeight="1" x14ac:dyDescent="0.25">
      <c r="A114" s="31">
        <v>4</v>
      </c>
      <c r="B114" s="70" t="s">
        <v>142</v>
      </c>
      <c r="C114" s="70"/>
      <c r="D114" s="70"/>
      <c r="E114" s="14">
        <f>1000000+476723</f>
        <v>1476723</v>
      </c>
    </row>
    <row r="115" spans="1:5" s="1" customFormat="1" ht="29.25" customHeight="1" x14ac:dyDescent="0.25">
      <c r="A115" s="31">
        <v>5</v>
      </c>
      <c r="B115" s="70" t="s">
        <v>348</v>
      </c>
      <c r="C115" s="70"/>
      <c r="D115" s="70"/>
      <c r="E115" s="14">
        <v>1863116</v>
      </c>
    </row>
    <row r="116" spans="1:5" s="1" customFormat="1" ht="33" customHeight="1" x14ac:dyDescent="0.25">
      <c r="A116" s="31">
        <v>6</v>
      </c>
      <c r="B116" s="70" t="s">
        <v>217</v>
      </c>
      <c r="C116" s="70"/>
      <c r="D116" s="70"/>
      <c r="E116" s="14">
        <f>383452-245488</f>
        <v>137964</v>
      </c>
    </row>
    <row r="117" spans="1:5" s="1" customFormat="1" ht="15.75" x14ac:dyDescent="0.25">
      <c r="A117" s="31"/>
      <c r="B117" s="73" t="s">
        <v>25</v>
      </c>
      <c r="C117" s="73"/>
      <c r="D117" s="73"/>
      <c r="E117" s="13">
        <f>SUM(E111:E116)</f>
        <v>5862128</v>
      </c>
    </row>
    <row r="118" spans="1:5" s="1" customFormat="1" ht="23.25" customHeight="1" x14ac:dyDescent="0.25">
      <c r="A118" s="66" t="s">
        <v>0</v>
      </c>
      <c r="B118" s="67"/>
      <c r="C118" s="67"/>
      <c r="D118" s="67"/>
      <c r="E118" s="68"/>
    </row>
    <row r="119" spans="1:5" s="1" customFormat="1" ht="24" customHeight="1" x14ac:dyDescent="0.25">
      <c r="A119" s="31">
        <v>1</v>
      </c>
      <c r="B119" s="83" t="s">
        <v>30</v>
      </c>
      <c r="C119" s="83"/>
      <c r="D119" s="83"/>
      <c r="E119" s="14">
        <f>1000000-251225</f>
        <v>748775</v>
      </c>
    </row>
    <row r="120" spans="1:5" s="1" customFormat="1" ht="21" customHeight="1" x14ac:dyDescent="0.25">
      <c r="A120" s="31">
        <v>2</v>
      </c>
      <c r="B120" s="83" t="s">
        <v>143</v>
      </c>
      <c r="C120" s="83"/>
      <c r="D120" s="83"/>
      <c r="E120" s="14">
        <f>5000000+58438</f>
        <v>5058438</v>
      </c>
    </row>
    <row r="121" spans="1:5" s="1" customFormat="1" ht="18.75" customHeight="1" x14ac:dyDescent="0.25">
      <c r="A121" s="31">
        <v>3</v>
      </c>
      <c r="B121" s="83" t="s">
        <v>188</v>
      </c>
      <c r="C121" s="83"/>
      <c r="D121" s="83"/>
      <c r="E121" s="14">
        <f>3000000-1153895</f>
        <v>1846105</v>
      </c>
    </row>
    <row r="122" spans="1:5" s="1" customFormat="1" ht="15.75" x14ac:dyDescent="0.25">
      <c r="A122" s="31"/>
      <c r="B122" s="73" t="s">
        <v>25</v>
      </c>
      <c r="C122" s="73"/>
      <c r="D122" s="73"/>
      <c r="E122" s="13">
        <f>SUM(E119:E121)</f>
        <v>7653318</v>
      </c>
    </row>
    <row r="123" spans="1:5" s="1" customFormat="1" ht="25.5" customHeight="1" x14ac:dyDescent="0.25">
      <c r="A123" s="66" t="s">
        <v>31</v>
      </c>
      <c r="B123" s="67"/>
      <c r="C123" s="67"/>
      <c r="D123" s="67"/>
      <c r="E123" s="68"/>
    </row>
    <row r="124" spans="1:5" s="1" customFormat="1" ht="29.25" customHeight="1" x14ac:dyDescent="0.25">
      <c r="A124" s="31">
        <v>1</v>
      </c>
      <c r="B124" s="83" t="s">
        <v>344</v>
      </c>
      <c r="C124" s="83"/>
      <c r="D124" s="83"/>
      <c r="E124" s="14">
        <f>7000000+926115</f>
        <v>7926115</v>
      </c>
    </row>
    <row r="125" spans="1:5" s="1" customFormat="1" ht="31.5" customHeight="1" x14ac:dyDescent="0.25">
      <c r="A125" s="31">
        <v>2</v>
      </c>
      <c r="B125" s="83" t="s">
        <v>345</v>
      </c>
      <c r="C125" s="83"/>
      <c r="D125" s="83"/>
      <c r="E125" s="14">
        <f>0+83517</f>
        <v>83517</v>
      </c>
    </row>
    <row r="126" spans="1:5" s="1" customFormat="1" ht="15.75" x14ac:dyDescent="0.25">
      <c r="A126" s="31"/>
      <c r="B126" s="73" t="s">
        <v>25</v>
      </c>
      <c r="C126" s="73"/>
      <c r="D126" s="73"/>
      <c r="E126" s="13">
        <f>SUM(E124:E125)</f>
        <v>8009632</v>
      </c>
    </row>
    <row r="127" spans="1:5" s="1" customFormat="1" ht="15.75" x14ac:dyDescent="0.25">
      <c r="A127" s="31"/>
      <c r="B127" s="73" t="s">
        <v>1</v>
      </c>
      <c r="C127" s="73"/>
      <c r="D127" s="73"/>
      <c r="E127" s="13">
        <f>SUM(E79+E89+E97+E104+E109+E117+E122+E126+E82)</f>
        <v>84458508</v>
      </c>
    </row>
    <row r="128" spans="1:5" s="1" customFormat="1" ht="24" customHeight="1" x14ac:dyDescent="0.25">
      <c r="A128" s="80" t="s">
        <v>37</v>
      </c>
      <c r="B128" s="81"/>
      <c r="C128" s="81"/>
      <c r="D128" s="81"/>
      <c r="E128" s="82"/>
    </row>
    <row r="129" spans="1:5" s="1" customFormat="1" ht="28.5" customHeight="1" x14ac:dyDescent="0.25">
      <c r="A129" s="66" t="s">
        <v>2</v>
      </c>
      <c r="B129" s="67"/>
      <c r="C129" s="67"/>
      <c r="D129" s="67"/>
      <c r="E129" s="68"/>
    </row>
    <row r="130" spans="1:5" s="1" customFormat="1" ht="35.25" customHeight="1" x14ac:dyDescent="0.25">
      <c r="A130" s="31">
        <v>1</v>
      </c>
      <c r="B130" s="70" t="s">
        <v>172</v>
      </c>
      <c r="C130" s="70"/>
      <c r="D130" s="70"/>
      <c r="E130" s="14">
        <v>2200000</v>
      </c>
    </row>
    <row r="131" spans="1:5" s="1" customFormat="1" ht="33" customHeight="1" x14ac:dyDescent="0.25">
      <c r="A131" s="31">
        <v>2</v>
      </c>
      <c r="B131" s="70" t="s">
        <v>165</v>
      </c>
      <c r="C131" s="70"/>
      <c r="D131" s="70"/>
      <c r="E131" s="14">
        <v>1500000</v>
      </c>
    </row>
    <row r="132" spans="1:5" s="1" customFormat="1" ht="15.75" x14ac:dyDescent="0.25">
      <c r="A132" s="31"/>
      <c r="B132" s="73" t="s">
        <v>25</v>
      </c>
      <c r="C132" s="73"/>
      <c r="D132" s="73"/>
      <c r="E132" s="13">
        <f>SUM(E130:E131)</f>
        <v>3700000</v>
      </c>
    </row>
    <row r="133" spans="1:5" s="1" customFormat="1" ht="22.5" customHeight="1" x14ac:dyDescent="0.25">
      <c r="A133" s="66" t="s">
        <v>42</v>
      </c>
      <c r="B133" s="67"/>
      <c r="C133" s="67"/>
      <c r="D133" s="67"/>
      <c r="E133" s="68"/>
    </row>
    <row r="134" spans="1:5" s="1" customFormat="1" ht="33" customHeight="1" x14ac:dyDescent="0.25">
      <c r="A134" s="31">
        <v>1</v>
      </c>
      <c r="B134" s="70" t="s">
        <v>173</v>
      </c>
      <c r="C134" s="70"/>
      <c r="D134" s="70"/>
      <c r="E134" s="14">
        <v>3500000</v>
      </c>
    </row>
    <row r="135" spans="1:5" s="1" customFormat="1" ht="15.75" x14ac:dyDescent="0.25">
      <c r="A135" s="15"/>
      <c r="B135" s="73" t="s">
        <v>25</v>
      </c>
      <c r="C135" s="73"/>
      <c r="D135" s="73"/>
      <c r="E135" s="13">
        <f>SUM(E134)</f>
        <v>3500000</v>
      </c>
    </row>
    <row r="136" spans="1:5" s="1" customFormat="1" ht="15.75" x14ac:dyDescent="0.25">
      <c r="A136" s="31"/>
      <c r="B136" s="73" t="s">
        <v>3</v>
      </c>
      <c r="C136" s="73"/>
      <c r="D136" s="73"/>
      <c r="E136" s="13">
        <f>SUM(E132+E135)</f>
        <v>7200000</v>
      </c>
    </row>
    <row r="137" spans="1:5" s="1" customFormat="1" ht="33" customHeight="1" x14ac:dyDescent="0.25">
      <c r="A137" s="80" t="s">
        <v>189</v>
      </c>
      <c r="B137" s="81"/>
      <c r="C137" s="81"/>
      <c r="D137" s="81"/>
      <c r="E137" s="82"/>
    </row>
    <row r="138" spans="1:5" s="1" customFormat="1" ht="25.5" customHeight="1" x14ac:dyDescent="0.25">
      <c r="A138" s="66" t="s">
        <v>190</v>
      </c>
      <c r="B138" s="67"/>
      <c r="C138" s="67"/>
      <c r="D138" s="67"/>
      <c r="E138" s="68"/>
    </row>
    <row r="139" spans="1:5" s="1" customFormat="1" ht="31.5" customHeight="1" x14ac:dyDescent="0.25">
      <c r="A139" s="31">
        <v>1</v>
      </c>
      <c r="B139" s="70" t="s">
        <v>346</v>
      </c>
      <c r="C139" s="70"/>
      <c r="D139" s="70"/>
      <c r="E139" s="14">
        <v>532589</v>
      </c>
    </row>
    <row r="140" spans="1:5" s="1" customFormat="1" ht="15.75" x14ac:dyDescent="0.25">
      <c r="A140" s="31"/>
      <c r="B140" s="73" t="s">
        <v>25</v>
      </c>
      <c r="C140" s="73"/>
      <c r="D140" s="73"/>
      <c r="E140" s="13">
        <f>SUM(E139)</f>
        <v>532589</v>
      </c>
    </row>
    <row r="141" spans="1:5" s="1" customFormat="1" ht="25.5" customHeight="1" x14ac:dyDescent="0.25">
      <c r="A141" s="66" t="s">
        <v>232</v>
      </c>
      <c r="B141" s="67"/>
      <c r="C141" s="67"/>
      <c r="D141" s="67"/>
      <c r="E141" s="68"/>
    </row>
    <row r="142" spans="1:5" s="1" customFormat="1" ht="38.25" customHeight="1" x14ac:dyDescent="0.25">
      <c r="A142" s="31">
        <v>1</v>
      </c>
      <c r="B142" s="70" t="s">
        <v>326</v>
      </c>
      <c r="C142" s="70"/>
      <c r="D142" s="70"/>
      <c r="E142" s="14">
        <v>727150</v>
      </c>
    </row>
    <row r="143" spans="1:5" s="1" customFormat="1" ht="15.75" x14ac:dyDescent="0.25">
      <c r="A143" s="31"/>
      <c r="B143" s="73" t="s">
        <v>25</v>
      </c>
      <c r="C143" s="73"/>
      <c r="D143" s="73"/>
      <c r="E143" s="13">
        <f>E142</f>
        <v>727150</v>
      </c>
    </row>
    <row r="144" spans="1:5" s="1" customFormat="1" ht="15.75" x14ac:dyDescent="0.25">
      <c r="A144" s="31"/>
      <c r="B144" s="73" t="s">
        <v>191</v>
      </c>
      <c r="C144" s="73"/>
      <c r="D144" s="73"/>
      <c r="E144" s="13">
        <f>E140+E143</f>
        <v>1259739</v>
      </c>
    </row>
    <row r="145" spans="1:230" s="1" customFormat="1" ht="24.75" customHeight="1" x14ac:dyDescent="0.25">
      <c r="A145" s="80" t="s">
        <v>4</v>
      </c>
      <c r="B145" s="81"/>
      <c r="C145" s="81"/>
      <c r="D145" s="81"/>
      <c r="E145" s="82"/>
    </row>
    <row r="146" spans="1:230" s="1" customFormat="1" ht="25.5" customHeight="1" x14ac:dyDescent="0.25">
      <c r="A146" s="66" t="s">
        <v>5</v>
      </c>
      <c r="B146" s="67"/>
      <c r="C146" s="67"/>
      <c r="D146" s="67"/>
      <c r="E146" s="68"/>
    </row>
    <row r="147" spans="1:230" s="1" customFormat="1" ht="39.75" customHeight="1" x14ac:dyDescent="0.25">
      <c r="A147" s="31">
        <v>1</v>
      </c>
      <c r="B147" s="70" t="s">
        <v>174</v>
      </c>
      <c r="C147" s="70"/>
      <c r="D147" s="70"/>
      <c r="E147" s="14">
        <v>824324</v>
      </c>
    </row>
    <row r="148" spans="1:230" s="1" customFormat="1" ht="39.75" customHeight="1" x14ac:dyDescent="0.25">
      <c r="A148" s="31">
        <v>2</v>
      </c>
      <c r="B148" s="70" t="s">
        <v>327</v>
      </c>
      <c r="C148" s="70"/>
      <c r="D148" s="70"/>
      <c r="E148" s="14">
        <v>743535</v>
      </c>
    </row>
    <row r="149" spans="1:230" s="1" customFormat="1" ht="15.75" x14ac:dyDescent="0.25">
      <c r="A149" s="31"/>
      <c r="B149" s="73" t="s">
        <v>25</v>
      </c>
      <c r="C149" s="73"/>
      <c r="D149" s="73"/>
      <c r="E149" s="13">
        <f>SUM(E147:E148)</f>
        <v>1567859</v>
      </c>
    </row>
    <row r="150" spans="1:230" s="1" customFormat="1" ht="15.75" x14ac:dyDescent="0.25">
      <c r="A150" s="31"/>
      <c r="B150" s="73" t="s">
        <v>6</v>
      </c>
      <c r="C150" s="73"/>
      <c r="D150" s="73"/>
      <c r="E150" s="13">
        <f>SUM(E149)</f>
        <v>1567859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1:230" s="1" customFormat="1" ht="28.5" customHeight="1" x14ac:dyDescent="0.25">
      <c r="A151" s="80" t="s">
        <v>46</v>
      </c>
      <c r="B151" s="81"/>
      <c r="C151" s="81"/>
      <c r="D151" s="81"/>
      <c r="E151" s="8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1:230" s="1" customFormat="1" ht="30.75" customHeight="1" x14ac:dyDescent="0.25">
      <c r="A152" s="66" t="s">
        <v>47</v>
      </c>
      <c r="B152" s="67"/>
      <c r="C152" s="67"/>
      <c r="D152" s="67"/>
      <c r="E152" s="6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1:230" s="1" customFormat="1" ht="32.25" customHeight="1" x14ac:dyDescent="0.25">
      <c r="A153" s="31">
        <v>1</v>
      </c>
      <c r="B153" s="70" t="s">
        <v>48</v>
      </c>
      <c r="C153" s="70"/>
      <c r="D153" s="70"/>
      <c r="E153" s="14">
        <v>80000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1:230" s="1" customFormat="1" ht="15.75" x14ac:dyDescent="0.25">
      <c r="A154" s="31"/>
      <c r="B154" s="73" t="s">
        <v>25</v>
      </c>
      <c r="C154" s="73"/>
      <c r="D154" s="73"/>
      <c r="E154" s="13">
        <f>SUM(E153)</f>
        <v>80000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1:230" s="1" customFormat="1" ht="15.75" x14ac:dyDescent="0.25">
      <c r="A155" s="31"/>
      <c r="B155" s="73" t="s">
        <v>49</v>
      </c>
      <c r="C155" s="73"/>
      <c r="D155" s="73"/>
      <c r="E155" s="13">
        <f>SUM(E154)</f>
        <v>80000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1:230" s="1" customFormat="1" ht="15.75" x14ac:dyDescent="0.25">
      <c r="A156" s="31"/>
      <c r="B156" s="73" t="s">
        <v>8</v>
      </c>
      <c r="C156" s="73"/>
      <c r="D156" s="73"/>
      <c r="E156" s="13">
        <f>SUM(E38+E136+E150+E155+E127+E144)</f>
        <v>95614535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1:230" s="1" customFormat="1" ht="15.75" x14ac:dyDescent="0.25">
      <c r="A157" s="75"/>
      <c r="B157" s="76"/>
      <c r="C157" s="76"/>
      <c r="D157" s="76"/>
      <c r="E157" s="7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1:230" s="1" customFormat="1" ht="15.75" x14ac:dyDescent="0.25">
      <c r="A158" s="53" t="s">
        <v>197</v>
      </c>
      <c r="B158" s="54"/>
      <c r="C158" s="54"/>
      <c r="D158" s="54"/>
      <c r="E158" s="5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1:230" s="1" customFormat="1" ht="27.75" customHeight="1" x14ac:dyDescent="0.25">
      <c r="A159" s="50" t="s">
        <v>9</v>
      </c>
      <c r="B159" s="51"/>
      <c r="C159" s="51"/>
      <c r="D159" s="51"/>
      <c r="E159" s="52"/>
    </row>
    <row r="160" spans="1:230" s="1" customFormat="1" ht="21" customHeight="1" x14ac:dyDescent="0.25">
      <c r="A160" s="53" t="s">
        <v>35</v>
      </c>
      <c r="B160" s="54"/>
      <c r="C160" s="54"/>
      <c r="D160" s="54"/>
      <c r="E160" s="55"/>
    </row>
    <row r="161" spans="1:5" s="1" customFormat="1" ht="54.75" customHeight="1" x14ac:dyDescent="0.25">
      <c r="A161" s="19">
        <v>1</v>
      </c>
      <c r="B161" s="56" t="s">
        <v>227</v>
      </c>
      <c r="C161" s="56"/>
      <c r="D161" s="56"/>
      <c r="E161" s="16">
        <f>15502051-13008204-2266877+12064</f>
        <v>239034</v>
      </c>
    </row>
    <row r="162" spans="1:5" s="1" customFormat="1" ht="51" customHeight="1" x14ac:dyDescent="0.25">
      <c r="A162" s="19">
        <v>2</v>
      </c>
      <c r="B162" s="56" t="s">
        <v>206</v>
      </c>
      <c r="C162" s="56"/>
      <c r="D162" s="56"/>
      <c r="E162" s="16">
        <f>2559200-152926</f>
        <v>2406274</v>
      </c>
    </row>
    <row r="163" spans="1:5" s="1" customFormat="1" ht="48" customHeight="1" x14ac:dyDescent="0.25">
      <c r="A163" s="19">
        <v>3</v>
      </c>
      <c r="B163" s="56" t="s">
        <v>145</v>
      </c>
      <c r="C163" s="56"/>
      <c r="D163" s="56"/>
      <c r="E163" s="16">
        <f>2150396-634661</f>
        <v>1515735</v>
      </c>
    </row>
    <row r="164" spans="1:5" s="1" customFormat="1" ht="42.75" customHeight="1" x14ac:dyDescent="0.25">
      <c r="A164" s="19">
        <v>4</v>
      </c>
      <c r="B164" s="56" t="s">
        <v>146</v>
      </c>
      <c r="C164" s="56"/>
      <c r="D164" s="56"/>
      <c r="E164" s="16">
        <v>1973994</v>
      </c>
    </row>
    <row r="165" spans="1:5" s="1" customFormat="1" ht="49.5" customHeight="1" x14ac:dyDescent="0.25">
      <c r="A165" s="19">
        <v>5</v>
      </c>
      <c r="B165" s="56" t="s">
        <v>162</v>
      </c>
      <c r="C165" s="56"/>
      <c r="D165" s="56"/>
      <c r="E165" s="16">
        <f>1595152-158471</f>
        <v>1436681</v>
      </c>
    </row>
    <row r="166" spans="1:5" s="1" customFormat="1" ht="40.5" customHeight="1" x14ac:dyDescent="0.25">
      <c r="A166" s="19">
        <v>6</v>
      </c>
      <c r="B166" s="56" t="s">
        <v>147</v>
      </c>
      <c r="C166" s="56"/>
      <c r="D166" s="56"/>
      <c r="E166" s="16">
        <f>183845-7991</f>
        <v>175854</v>
      </c>
    </row>
    <row r="167" spans="1:5" s="1" customFormat="1" ht="37.5" customHeight="1" x14ac:dyDescent="0.25">
      <c r="A167" s="19">
        <v>7</v>
      </c>
      <c r="B167" s="56" t="s">
        <v>175</v>
      </c>
      <c r="C167" s="56"/>
      <c r="D167" s="56"/>
      <c r="E167" s="16">
        <v>1613534</v>
      </c>
    </row>
    <row r="168" spans="1:5" s="1" customFormat="1" ht="37.5" customHeight="1" x14ac:dyDescent="0.25">
      <c r="A168" s="19">
        <v>8</v>
      </c>
      <c r="B168" s="56" t="s">
        <v>148</v>
      </c>
      <c r="C168" s="56"/>
      <c r="D168" s="56"/>
      <c r="E168" s="16">
        <f>273023+26964</f>
        <v>299987</v>
      </c>
    </row>
    <row r="169" spans="1:5" s="1" customFormat="1" ht="35.25" customHeight="1" x14ac:dyDescent="0.25">
      <c r="A169" s="19">
        <v>9</v>
      </c>
      <c r="B169" s="56" t="s">
        <v>176</v>
      </c>
      <c r="C169" s="56"/>
      <c r="D169" s="56"/>
      <c r="E169" s="16">
        <f>900172-206172</f>
        <v>694000</v>
      </c>
    </row>
    <row r="170" spans="1:5" s="1" customFormat="1" ht="44.25" customHeight="1" x14ac:dyDescent="0.25">
      <c r="A170" s="19">
        <v>10</v>
      </c>
      <c r="B170" s="56" t="s">
        <v>192</v>
      </c>
      <c r="C170" s="56"/>
      <c r="D170" s="56"/>
      <c r="E170" s="16">
        <v>3366225</v>
      </c>
    </row>
    <row r="171" spans="1:5" s="1" customFormat="1" ht="36" customHeight="1" x14ac:dyDescent="0.25">
      <c r="A171" s="19">
        <v>11</v>
      </c>
      <c r="B171" s="56" t="s">
        <v>158</v>
      </c>
      <c r="C171" s="56"/>
      <c r="D171" s="56"/>
      <c r="E171" s="16">
        <f>281103-7032</f>
        <v>274071</v>
      </c>
    </row>
    <row r="172" spans="1:5" s="1" customFormat="1" ht="39" customHeight="1" x14ac:dyDescent="0.25">
      <c r="A172" s="19">
        <v>12</v>
      </c>
      <c r="B172" s="56" t="s">
        <v>328</v>
      </c>
      <c r="C172" s="56"/>
      <c r="D172" s="56"/>
      <c r="E172" s="16">
        <v>116707</v>
      </c>
    </row>
    <row r="173" spans="1:5" s="1" customFormat="1" ht="32.25" customHeight="1" x14ac:dyDescent="0.25">
      <c r="A173" s="19">
        <v>13</v>
      </c>
      <c r="B173" s="56" t="s">
        <v>230</v>
      </c>
      <c r="C173" s="56"/>
      <c r="D173" s="56"/>
      <c r="E173" s="16">
        <f>814026+347497</f>
        <v>1161523</v>
      </c>
    </row>
    <row r="174" spans="1:5" s="1" customFormat="1" ht="56.25" customHeight="1" x14ac:dyDescent="0.25">
      <c r="A174" s="19">
        <v>14</v>
      </c>
      <c r="B174" s="56" t="s">
        <v>349</v>
      </c>
      <c r="C174" s="56"/>
      <c r="D174" s="56"/>
      <c r="E174" s="16">
        <f>341473+373528-336</f>
        <v>714665</v>
      </c>
    </row>
    <row r="175" spans="1:5" s="1" customFormat="1" ht="39.75" customHeight="1" x14ac:dyDescent="0.25">
      <c r="A175" s="19">
        <v>15</v>
      </c>
      <c r="B175" s="56" t="s">
        <v>193</v>
      </c>
      <c r="C175" s="56"/>
      <c r="D175" s="56"/>
      <c r="E175" s="16">
        <v>100018</v>
      </c>
    </row>
    <row r="176" spans="1:5" s="1" customFormat="1" ht="42.75" customHeight="1" x14ac:dyDescent="0.25">
      <c r="A176" s="19">
        <v>16</v>
      </c>
      <c r="B176" s="56" t="s">
        <v>194</v>
      </c>
      <c r="C176" s="56"/>
      <c r="D176" s="56"/>
      <c r="E176" s="16">
        <f>299999-135</f>
        <v>299864</v>
      </c>
    </row>
    <row r="177" spans="1:6" s="1" customFormat="1" ht="57" customHeight="1" x14ac:dyDescent="0.25">
      <c r="A177" s="19">
        <v>17</v>
      </c>
      <c r="B177" s="56" t="s">
        <v>195</v>
      </c>
      <c r="C177" s="56"/>
      <c r="D177" s="56"/>
      <c r="E177" s="16">
        <f>60926-4081</f>
        <v>56845</v>
      </c>
    </row>
    <row r="178" spans="1:6" s="1" customFormat="1" ht="39.75" customHeight="1" x14ac:dyDescent="0.25">
      <c r="A178" s="19">
        <v>18</v>
      </c>
      <c r="B178" s="56" t="s">
        <v>207</v>
      </c>
      <c r="C178" s="56"/>
      <c r="D178" s="56"/>
      <c r="E178" s="16">
        <v>240074</v>
      </c>
    </row>
    <row r="179" spans="1:6" s="1" customFormat="1" ht="62.25" customHeight="1" x14ac:dyDescent="0.25">
      <c r="A179" s="19">
        <v>19</v>
      </c>
      <c r="B179" s="56" t="s">
        <v>350</v>
      </c>
      <c r="C179" s="56"/>
      <c r="D179" s="56"/>
      <c r="E179" s="16">
        <v>54448</v>
      </c>
    </row>
    <row r="180" spans="1:6" s="1" customFormat="1" ht="39" customHeight="1" x14ac:dyDescent="0.25">
      <c r="A180" s="19">
        <v>20</v>
      </c>
      <c r="B180" s="56" t="s">
        <v>351</v>
      </c>
      <c r="C180" s="56"/>
      <c r="D180" s="56"/>
      <c r="E180" s="16">
        <v>34795</v>
      </c>
    </row>
    <row r="181" spans="1:6" s="1" customFormat="1" ht="58.5" customHeight="1" x14ac:dyDescent="0.25">
      <c r="A181" s="19">
        <v>21</v>
      </c>
      <c r="B181" s="56" t="s">
        <v>352</v>
      </c>
      <c r="C181" s="56"/>
      <c r="D181" s="56"/>
      <c r="E181" s="16">
        <v>359969</v>
      </c>
    </row>
    <row r="182" spans="1:6" s="1" customFormat="1" ht="35.25" customHeight="1" x14ac:dyDescent="0.25">
      <c r="A182" s="19">
        <v>22</v>
      </c>
      <c r="B182" s="56" t="s">
        <v>316</v>
      </c>
      <c r="C182" s="56"/>
      <c r="D182" s="56"/>
      <c r="E182" s="16">
        <f>1700000-1408242</f>
        <v>291758</v>
      </c>
      <c r="F182" s="9">
        <v>1408242</v>
      </c>
    </row>
    <row r="183" spans="1:6" s="1" customFormat="1" ht="30.75" customHeight="1" x14ac:dyDescent="0.25">
      <c r="A183" s="19">
        <v>23</v>
      </c>
      <c r="B183" s="56" t="s">
        <v>353</v>
      </c>
      <c r="C183" s="56"/>
      <c r="D183" s="56"/>
      <c r="E183" s="16">
        <v>228088</v>
      </c>
    </row>
    <row r="184" spans="1:6" s="1" customFormat="1" ht="31.5" customHeight="1" x14ac:dyDescent="0.25">
      <c r="A184" s="19">
        <v>24</v>
      </c>
      <c r="B184" s="56" t="s">
        <v>354</v>
      </c>
      <c r="C184" s="56"/>
      <c r="D184" s="56"/>
      <c r="E184" s="16">
        <v>1327766</v>
      </c>
    </row>
    <row r="185" spans="1:6" s="1" customFormat="1" ht="33.75" customHeight="1" x14ac:dyDescent="0.25">
      <c r="A185" s="19">
        <v>25</v>
      </c>
      <c r="B185" s="56" t="s">
        <v>355</v>
      </c>
      <c r="C185" s="56"/>
      <c r="D185" s="56"/>
      <c r="E185" s="16">
        <v>25533</v>
      </c>
    </row>
    <row r="186" spans="1:6" s="1" customFormat="1" ht="39" customHeight="1" x14ac:dyDescent="0.25">
      <c r="A186" s="19">
        <v>26</v>
      </c>
      <c r="B186" s="56" t="s">
        <v>317</v>
      </c>
      <c r="C186" s="56"/>
      <c r="D186" s="56"/>
      <c r="E186" s="16">
        <v>387230</v>
      </c>
    </row>
    <row r="187" spans="1:6" s="1" customFormat="1" ht="35.25" customHeight="1" x14ac:dyDescent="0.25">
      <c r="A187" s="19">
        <v>27</v>
      </c>
      <c r="B187" s="56" t="s">
        <v>318</v>
      </c>
      <c r="C187" s="56"/>
      <c r="D187" s="56"/>
      <c r="E187" s="16">
        <v>465015</v>
      </c>
    </row>
    <row r="188" spans="1:6" s="1" customFormat="1" ht="35.25" customHeight="1" x14ac:dyDescent="0.25">
      <c r="A188" s="19">
        <v>28</v>
      </c>
      <c r="B188" s="56" t="s">
        <v>319</v>
      </c>
      <c r="C188" s="56"/>
      <c r="D188" s="56"/>
      <c r="E188" s="16">
        <v>1500000</v>
      </c>
    </row>
    <row r="189" spans="1:6" s="1" customFormat="1" ht="15.75" x14ac:dyDescent="0.25">
      <c r="A189" s="19"/>
      <c r="B189" s="57" t="s">
        <v>25</v>
      </c>
      <c r="C189" s="57"/>
      <c r="D189" s="57"/>
      <c r="E189" s="20">
        <f>SUM(E161:E188)</f>
        <v>21359687</v>
      </c>
    </row>
    <row r="190" spans="1:6" s="1" customFormat="1" ht="29.25" customHeight="1" x14ac:dyDescent="0.25">
      <c r="A190" s="53" t="s">
        <v>10</v>
      </c>
      <c r="B190" s="54"/>
      <c r="C190" s="54"/>
      <c r="D190" s="54"/>
      <c r="E190" s="55"/>
    </row>
    <row r="191" spans="1:6" s="1" customFormat="1" ht="33.75" customHeight="1" x14ac:dyDescent="0.25">
      <c r="A191" s="19">
        <v>1</v>
      </c>
      <c r="B191" s="56" t="s">
        <v>163</v>
      </c>
      <c r="C191" s="56"/>
      <c r="D191" s="56"/>
      <c r="E191" s="16">
        <f>2000000-184583-147040</f>
        <v>1668377</v>
      </c>
      <c r="F191" s="9">
        <v>-147040</v>
      </c>
    </row>
    <row r="192" spans="1:6" s="1" customFormat="1" ht="15.75" x14ac:dyDescent="0.25">
      <c r="A192" s="19"/>
      <c r="B192" s="57" t="s">
        <v>25</v>
      </c>
      <c r="C192" s="57"/>
      <c r="D192" s="57"/>
      <c r="E192" s="20">
        <f>SUM(E191)</f>
        <v>1668377</v>
      </c>
    </row>
    <row r="193" spans="1:6" s="1" customFormat="1" ht="25.5" customHeight="1" x14ac:dyDescent="0.25">
      <c r="A193" s="53" t="s">
        <v>50</v>
      </c>
      <c r="B193" s="54"/>
      <c r="C193" s="54"/>
      <c r="D193" s="54"/>
      <c r="E193" s="55"/>
    </row>
    <row r="194" spans="1:6" s="1" customFormat="1" ht="31.5" customHeight="1" x14ac:dyDescent="0.25">
      <c r="A194" s="19">
        <v>1</v>
      </c>
      <c r="B194" s="56" t="s">
        <v>177</v>
      </c>
      <c r="C194" s="56"/>
      <c r="D194" s="56"/>
      <c r="E194" s="16">
        <f>1500000-178960</f>
        <v>1321040</v>
      </c>
      <c r="F194" s="9">
        <v>-178960</v>
      </c>
    </row>
    <row r="195" spans="1:6" s="1" customFormat="1" ht="15.75" x14ac:dyDescent="0.25">
      <c r="A195" s="19"/>
      <c r="B195" s="57" t="s">
        <v>25</v>
      </c>
      <c r="C195" s="57"/>
      <c r="D195" s="57"/>
      <c r="E195" s="20">
        <f>SUM(E194)</f>
        <v>1321040</v>
      </c>
    </row>
    <row r="196" spans="1:6" s="1" customFormat="1" ht="28.5" customHeight="1" x14ac:dyDescent="0.25">
      <c r="A196" s="53" t="s">
        <v>11</v>
      </c>
      <c r="B196" s="54"/>
      <c r="C196" s="54"/>
      <c r="D196" s="54"/>
      <c r="E196" s="55"/>
    </row>
    <row r="197" spans="1:6" s="1" customFormat="1" ht="45.75" customHeight="1" x14ac:dyDescent="0.25">
      <c r="A197" s="19">
        <v>1</v>
      </c>
      <c r="B197" s="69" t="s">
        <v>159</v>
      </c>
      <c r="C197" s="69"/>
      <c r="D197" s="69"/>
      <c r="E197" s="16">
        <f>5000000-4650000-1837</f>
        <v>348163</v>
      </c>
    </row>
    <row r="198" spans="1:6" s="1" customFormat="1" ht="24" customHeight="1" x14ac:dyDescent="0.25">
      <c r="A198" s="19">
        <v>2</v>
      </c>
      <c r="B198" s="69" t="s">
        <v>167</v>
      </c>
      <c r="C198" s="69"/>
      <c r="D198" s="69"/>
      <c r="E198" s="16">
        <f>350000-57691</f>
        <v>292309</v>
      </c>
    </row>
    <row r="199" spans="1:6" s="1" customFormat="1" ht="24" customHeight="1" x14ac:dyDescent="0.25">
      <c r="A199" s="19">
        <v>3</v>
      </c>
      <c r="B199" s="69" t="s">
        <v>218</v>
      </c>
      <c r="C199" s="69"/>
      <c r="D199" s="69"/>
      <c r="E199" s="16">
        <f>5000000+3884397+361721+4566223</f>
        <v>13812341</v>
      </c>
    </row>
    <row r="200" spans="1:6" s="1" customFormat="1" ht="45.75" customHeight="1" x14ac:dyDescent="0.25">
      <c r="A200" s="19">
        <v>4</v>
      </c>
      <c r="B200" s="69" t="s">
        <v>292</v>
      </c>
      <c r="C200" s="69"/>
      <c r="D200" s="69"/>
      <c r="E200" s="16">
        <v>110000</v>
      </c>
      <c r="F200" s="1">
        <v>110000</v>
      </c>
    </row>
    <row r="201" spans="1:6" s="1" customFormat="1" ht="15.75" x14ac:dyDescent="0.25">
      <c r="A201" s="19"/>
      <c r="B201" s="57" t="s">
        <v>25</v>
      </c>
      <c r="C201" s="57"/>
      <c r="D201" s="57"/>
      <c r="E201" s="20">
        <f>SUM(E197:E200)</f>
        <v>14562813</v>
      </c>
    </row>
    <row r="202" spans="1:6" s="1" customFormat="1" ht="24" customHeight="1" x14ac:dyDescent="0.25">
      <c r="A202" s="53" t="s">
        <v>26</v>
      </c>
      <c r="B202" s="54"/>
      <c r="C202" s="54"/>
      <c r="D202" s="54"/>
      <c r="E202" s="55"/>
    </row>
    <row r="203" spans="1:6" s="1" customFormat="1" ht="29.25" customHeight="1" x14ac:dyDescent="0.25">
      <c r="A203" s="19">
        <v>1</v>
      </c>
      <c r="B203" s="56" t="s">
        <v>149</v>
      </c>
      <c r="C203" s="56"/>
      <c r="D203" s="56"/>
      <c r="E203" s="16">
        <v>2123500</v>
      </c>
    </row>
    <row r="204" spans="1:6" s="1" customFormat="1" ht="30" customHeight="1" x14ac:dyDescent="0.25">
      <c r="A204" s="19">
        <v>2</v>
      </c>
      <c r="B204" s="56" t="s">
        <v>208</v>
      </c>
      <c r="C204" s="56"/>
      <c r="D204" s="56"/>
      <c r="E204" s="16">
        <v>1000000</v>
      </c>
    </row>
    <row r="205" spans="1:6" s="1" customFormat="1" ht="38.25" customHeight="1" x14ac:dyDescent="0.25">
      <c r="A205" s="19">
        <v>3</v>
      </c>
      <c r="B205" s="56" t="s">
        <v>296</v>
      </c>
      <c r="C205" s="56"/>
      <c r="D205" s="56"/>
      <c r="E205" s="16">
        <v>77422</v>
      </c>
    </row>
    <row r="206" spans="1:6" s="1" customFormat="1" ht="15.75" x14ac:dyDescent="0.25">
      <c r="A206" s="19"/>
      <c r="B206" s="57" t="s">
        <v>25</v>
      </c>
      <c r="C206" s="57"/>
      <c r="D206" s="57"/>
      <c r="E206" s="20">
        <f>SUM(E203:E205)</f>
        <v>3200922</v>
      </c>
    </row>
    <row r="207" spans="1:6" s="1" customFormat="1" ht="30" customHeight="1" x14ac:dyDescent="0.25">
      <c r="A207" s="53" t="s">
        <v>12</v>
      </c>
      <c r="B207" s="54"/>
      <c r="C207" s="54"/>
      <c r="D207" s="54"/>
      <c r="E207" s="55"/>
    </row>
    <row r="208" spans="1:6" s="1" customFormat="1" ht="25.5" customHeight="1" x14ac:dyDescent="0.25">
      <c r="A208" s="19">
        <v>1</v>
      </c>
      <c r="B208" s="56" t="s">
        <v>168</v>
      </c>
      <c r="C208" s="56"/>
      <c r="D208" s="56"/>
      <c r="E208" s="16">
        <f>1500000-121097</f>
        <v>1378903</v>
      </c>
    </row>
    <row r="209" spans="1:6" s="1" customFormat="1" ht="27.75" customHeight="1" x14ac:dyDescent="0.25">
      <c r="A209" s="19">
        <v>2</v>
      </c>
      <c r="B209" s="56" t="s">
        <v>169</v>
      </c>
      <c r="C209" s="56"/>
      <c r="D209" s="56"/>
      <c r="E209" s="16">
        <f>1070013-150243</f>
        <v>919770</v>
      </c>
    </row>
    <row r="210" spans="1:6" s="1" customFormat="1" ht="30" customHeight="1" x14ac:dyDescent="0.25">
      <c r="A210" s="19">
        <v>3</v>
      </c>
      <c r="B210" s="56" t="s">
        <v>44</v>
      </c>
      <c r="C210" s="56"/>
      <c r="D210" s="56"/>
      <c r="E210" s="16">
        <f>1043000-184203</f>
        <v>858797</v>
      </c>
    </row>
    <row r="211" spans="1:6" s="1" customFormat="1" ht="15.75" x14ac:dyDescent="0.25">
      <c r="A211" s="19"/>
      <c r="B211" s="57" t="s">
        <v>25</v>
      </c>
      <c r="C211" s="57"/>
      <c r="D211" s="57"/>
      <c r="E211" s="20">
        <f>SUM(E208:E210)</f>
        <v>3157470</v>
      </c>
    </row>
    <row r="212" spans="1:6" s="1" customFormat="1" ht="29.25" customHeight="1" x14ac:dyDescent="0.25">
      <c r="A212" s="53" t="s">
        <v>33</v>
      </c>
      <c r="B212" s="54"/>
      <c r="C212" s="54"/>
      <c r="D212" s="54"/>
      <c r="E212" s="55"/>
    </row>
    <row r="213" spans="1:6" s="1" customFormat="1" ht="29.25" customHeight="1" x14ac:dyDescent="0.25">
      <c r="A213" s="19">
        <v>1</v>
      </c>
      <c r="B213" s="56" t="s">
        <v>219</v>
      </c>
      <c r="C213" s="56"/>
      <c r="D213" s="56"/>
      <c r="E213" s="16">
        <v>3000000</v>
      </c>
    </row>
    <row r="214" spans="1:6" s="1" customFormat="1" ht="31.5" customHeight="1" x14ac:dyDescent="0.25">
      <c r="A214" s="19">
        <v>2</v>
      </c>
      <c r="B214" s="56" t="s">
        <v>220</v>
      </c>
      <c r="C214" s="56"/>
      <c r="D214" s="56"/>
      <c r="E214" s="16">
        <f>2000000-41992</f>
        <v>1958008</v>
      </c>
    </row>
    <row r="215" spans="1:6" s="1" customFormat="1" ht="37.5" customHeight="1" x14ac:dyDescent="0.25">
      <c r="A215" s="19">
        <v>3</v>
      </c>
      <c r="B215" s="56" t="s">
        <v>237</v>
      </c>
      <c r="C215" s="56"/>
      <c r="D215" s="56"/>
      <c r="E215" s="16">
        <v>98636</v>
      </c>
    </row>
    <row r="216" spans="1:6" s="1" customFormat="1" ht="15.75" x14ac:dyDescent="0.25">
      <c r="A216" s="19"/>
      <c r="B216" s="57" t="s">
        <v>25</v>
      </c>
      <c r="C216" s="57"/>
      <c r="D216" s="57"/>
      <c r="E216" s="20">
        <f>SUM(E213:E215)</f>
        <v>5056644</v>
      </c>
    </row>
    <row r="217" spans="1:6" s="1" customFormat="1" ht="29.25" customHeight="1" x14ac:dyDescent="0.25">
      <c r="A217" s="53" t="s">
        <v>7</v>
      </c>
      <c r="B217" s="54"/>
      <c r="C217" s="54"/>
      <c r="D217" s="54"/>
      <c r="E217" s="55"/>
    </row>
    <row r="218" spans="1:6" s="1" customFormat="1" ht="36" customHeight="1" x14ac:dyDescent="0.25">
      <c r="A218" s="19">
        <v>1</v>
      </c>
      <c r="B218" s="56" t="s">
        <v>356</v>
      </c>
      <c r="C218" s="56"/>
      <c r="D218" s="56"/>
      <c r="E218" s="16">
        <f>415000-2560</f>
        <v>412440</v>
      </c>
    </row>
    <row r="219" spans="1:6" s="1" customFormat="1" ht="36.75" customHeight="1" x14ac:dyDescent="0.25">
      <c r="A219" s="19">
        <v>2</v>
      </c>
      <c r="B219" s="56" t="s">
        <v>150</v>
      </c>
      <c r="C219" s="56"/>
      <c r="D219" s="56"/>
      <c r="E219" s="16">
        <f>1073530-189911</f>
        <v>883619</v>
      </c>
    </row>
    <row r="220" spans="1:6" s="1" customFormat="1" ht="41.25" customHeight="1" x14ac:dyDescent="0.25">
      <c r="A220" s="19">
        <v>3</v>
      </c>
      <c r="B220" s="56" t="s">
        <v>357</v>
      </c>
      <c r="C220" s="56"/>
      <c r="D220" s="56"/>
      <c r="E220" s="16">
        <f>437331+400921</f>
        <v>838252</v>
      </c>
    </row>
    <row r="221" spans="1:6" s="1" customFormat="1" ht="43.5" customHeight="1" x14ac:dyDescent="0.25">
      <c r="A221" s="19">
        <v>4</v>
      </c>
      <c r="B221" s="56" t="s">
        <v>293</v>
      </c>
      <c r="C221" s="56"/>
      <c r="D221" s="56"/>
      <c r="E221" s="16">
        <v>216000</v>
      </c>
      <c r="F221" s="1">
        <v>216000</v>
      </c>
    </row>
    <row r="222" spans="1:6" s="1" customFormat="1" ht="15.75" x14ac:dyDescent="0.25">
      <c r="A222" s="19"/>
      <c r="B222" s="57" t="s">
        <v>25</v>
      </c>
      <c r="C222" s="57"/>
      <c r="D222" s="57"/>
      <c r="E222" s="20">
        <f>SUM(E218:E221)</f>
        <v>2350311</v>
      </c>
    </row>
    <row r="223" spans="1:6" s="1" customFormat="1" ht="29.25" customHeight="1" x14ac:dyDescent="0.25">
      <c r="A223" s="53" t="s">
        <v>13</v>
      </c>
      <c r="B223" s="54"/>
      <c r="C223" s="54"/>
      <c r="D223" s="54"/>
      <c r="E223" s="55"/>
    </row>
    <row r="224" spans="1:6" s="1" customFormat="1" ht="28.5" customHeight="1" x14ac:dyDescent="0.25">
      <c r="A224" s="19">
        <v>1</v>
      </c>
      <c r="B224" s="56" t="s">
        <v>212</v>
      </c>
      <c r="C224" s="56"/>
      <c r="D224" s="56"/>
      <c r="E224" s="16">
        <f>2534783+1359247</f>
        <v>3894030</v>
      </c>
    </row>
    <row r="225" spans="1:5" s="1" customFormat="1" ht="15.75" x14ac:dyDescent="0.25">
      <c r="A225" s="19"/>
      <c r="B225" s="57" t="s">
        <v>25</v>
      </c>
      <c r="C225" s="57"/>
      <c r="D225" s="57"/>
      <c r="E225" s="20">
        <f>SUM(E224)</f>
        <v>3894030</v>
      </c>
    </row>
    <row r="226" spans="1:5" s="1" customFormat="1" ht="30.75" customHeight="1" x14ac:dyDescent="0.25">
      <c r="A226" s="53" t="s">
        <v>14</v>
      </c>
      <c r="B226" s="54"/>
      <c r="C226" s="54"/>
      <c r="D226" s="54"/>
      <c r="E226" s="55"/>
    </row>
    <row r="227" spans="1:5" s="1" customFormat="1" ht="42" customHeight="1" x14ac:dyDescent="0.25">
      <c r="A227" s="19">
        <v>1</v>
      </c>
      <c r="B227" s="56" t="s">
        <v>297</v>
      </c>
      <c r="C227" s="56"/>
      <c r="D227" s="56"/>
      <c r="E227" s="16">
        <f>1680961+610108-297886</f>
        <v>1993183</v>
      </c>
    </row>
    <row r="228" spans="1:5" s="1" customFormat="1" ht="33" customHeight="1" x14ac:dyDescent="0.25">
      <c r="A228" s="19">
        <v>2</v>
      </c>
      <c r="B228" s="56" t="s">
        <v>151</v>
      </c>
      <c r="C228" s="56"/>
      <c r="D228" s="56"/>
      <c r="E228" s="16">
        <f>1104558+297886</f>
        <v>1402444</v>
      </c>
    </row>
    <row r="229" spans="1:5" s="1" customFormat="1" ht="15.75" x14ac:dyDescent="0.25">
      <c r="A229" s="19"/>
      <c r="B229" s="57" t="s">
        <v>25</v>
      </c>
      <c r="C229" s="57"/>
      <c r="D229" s="57"/>
      <c r="E229" s="20">
        <f>SUM(E227:E228)</f>
        <v>3395627</v>
      </c>
    </row>
    <row r="230" spans="1:5" s="1" customFormat="1" ht="29.25" customHeight="1" x14ac:dyDescent="0.25">
      <c r="A230" s="53" t="s">
        <v>213</v>
      </c>
      <c r="B230" s="54"/>
      <c r="C230" s="54"/>
      <c r="D230" s="54"/>
      <c r="E230" s="55"/>
    </row>
    <row r="231" spans="1:5" s="1" customFormat="1" ht="37.5" customHeight="1" x14ac:dyDescent="0.25">
      <c r="A231" s="19">
        <v>1</v>
      </c>
      <c r="B231" s="56" t="s">
        <v>196</v>
      </c>
      <c r="C231" s="56"/>
      <c r="D231" s="56"/>
      <c r="E231" s="16">
        <f>14000000+8788788</f>
        <v>22788788</v>
      </c>
    </row>
    <row r="232" spans="1:5" s="1" customFormat="1" ht="15.75" x14ac:dyDescent="0.25">
      <c r="A232" s="19"/>
      <c r="B232" s="57" t="s">
        <v>25</v>
      </c>
      <c r="C232" s="57"/>
      <c r="D232" s="57"/>
      <c r="E232" s="20">
        <f>SUM(E231)</f>
        <v>22788788</v>
      </c>
    </row>
    <row r="233" spans="1:5" s="1" customFormat="1" ht="42.75" customHeight="1" x14ac:dyDescent="0.25">
      <c r="A233" s="53" t="s">
        <v>58</v>
      </c>
      <c r="B233" s="54"/>
      <c r="C233" s="54"/>
      <c r="D233" s="54"/>
      <c r="E233" s="55"/>
    </row>
    <row r="234" spans="1:5" s="1" customFormat="1" ht="32.25" customHeight="1" x14ac:dyDescent="0.25">
      <c r="A234" s="19">
        <v>1</v>
      </c>
      <c r="B234" s="56" t="s">
        <v>209</v>
      </c>
      <c r="C234" s="56"/>
      <c r="D234" s="56"/>
      <c r="E234" s="16">
        <v>265951</v>
      </c>
    </row>
    <row r="235" spans="1:5" s="1" customFormat="1" ht="35.25" customHeight="1" x14ac:dyDescent="0.25">
      <c r="A235" s="19">
        <v>2</v>
      </c>
      <c r="B235" s="56" t="s">
        <v>234</v>
      </c>
      <c r="C235" s="56"/>
      <c r="D235" s="56"/>
      <c r="E235" s="16">
        <v>984030</v>
      </c>
    </row>
    <row r="236" spans="1:5" s="1" customFormat="1" ht="15.75" x14ac:dyDescent="0.25">
      <c r="A236" s="19"/>
      <c r="B236" s="57" t="s">
        <v>25</v>
      </c>
      <c r="C236" s="57"/>
      <c r="D236" s="57"/>
      <c r="E236" s="20">
        <f>SUM(E234:E235)</f>
        <v>1249981</v>
      </c>
    </row>
    <row r="237" spans="1:5" s="1" customFormat="1" ht="15.75" x14ac:dyDescent="0.25">
      <c r="A237" s="19"/>
      <c r="B237" s="57" t="s">
        <v>15</v>
      </c>
      <c r="C237" s="57"/>
      <c r="D237" s="57"/>
      <c r="E237" s="20">
        <f>SUM(E189+E192+E195+E201+E206+E211+E216+E222+E225+E229+E232+E236)</f>
        <v>84005690</v>
      </c>
    </row>
    <row r="238" spans="1:5" s="1" customFormat="1" ht="29.25" customHeight="1" x14ac:dyDescent="0.25">
      <c r="A238" s="50" t="s">
        <v>36</v>
      </c>
      <c r="B238" s="51"/>
      <c r="C238" s="51"/>
      <c r="D238" s="51"/>
      <c r="E238" s="52"/>
    </row>
    <row r="239" spans="1:5" s="1" customFormat="1" ht="31.5" customHeight="1" x14ac:dyDescent="0.25">
      <c r="A239" s="53" t="s">
        <v>5</v>
      </c>
      <c r="B239" s="54"/>
      <c r="C239" s="54"/>
      <c r="D239" s="54"/>
      <c r="E239" s="55"/>
    </row>
    <row r="240" spans="1:5" s="1" customFormat="1" ht="21" customHeight="1" x14ac:dyDescent="0.25">
      <c r="A240" s="19">
        <v>1</v>
      </c>
      <c r="B240" s="56" t="s">
        <v>152</v>
      </c>
      <c r="C240" s="56"/>
      <c r="D240" s="56"/>
      <c r="E240" s="16">
        <v>226024</v>
      </c>
    </row>
    <row r="241" spans="1:5" s="1" customFormat="1" ht="32.25" customHeight="1" x14ac:dyDescent="0.25">
      <c r="A241" s="19">
        <v>2</v>
      </c>
      <c r="B241" s="56" t="s">
        <v>153</v>
      </c>
      <c r="C241" s="56"/>
      <c r="D241" s="56"/>
      <c r="E241" s="16">
        <v>258365</v>
      </c>
    </row>
    <row r="242" spans="1:5" s="1" customFormat="1" ht="28.5" customHeight="1" x14ac:dyDescent="0.25">
      <c r="A242" s="19">
        <v>3</v>
      </c>
      <c r="B242" s="56" t="s">
        <v>154</v>
      </c>
      <c r="C242" s="56"/>
      <c r="D242" s="56"/>
      <c r="E242" s="16">
        <v>267843</v>
      </c>
    </row>
    <row r="243" spans="1:5" s="1" customFormat="1" ht="15.75" x14ac:dyDescent="0.25">
      <c r="A243" s="36"/>
      <c r="B243" s="57" t="s">
        <v>25</v>
      </c>
      <c r="C243" s="57"/>
      <c r="D243" s="57"/>
      <c r="E243" s="20">
        <f>SUM(E240:E242)</f>
        <v>752232</v>
      </c>
    </row>
    <row r="244" spans="1:5" s="1" customFormat="1" ht="23.25" customHeight="1" x14ac:dyDescent="0.25">
      <c r="A244" s="53" t="s">
        <v>50</v>
      </c>
      <c r="B244" s="54"/>
      <c r="C244" s="54"/>
      <c r="D244" s="54"/>
      <c r="E244" s="55"/>
    </row>
    <row r="245" spans="1:5" s="1" customFormat="1" ht="23.25" customHeight="1" x14ac:dyDescent="0.25">
      <c r="A245" s="19">
        <v>1</v>
      </c>
      <c r="B245" s="56" t="s">
        <v>51</v>
      </c>
      <c r="C245" s="56"/>
      <c r="D245" s="56"/>
      <c r="E245" s="16">
        <v>1400000</v>
      </c>
    </row>
    <row r="246" spans="1:5" s="1" customFormat="1" ht="15.75" x14ac:dyDescent="0.25">
      <c r="A246" s="19"/>
      <c r="B246" s="57" t="s">
        <v>25</v>
      </c>
      <c r="C246" s="57"/>
      <c r="D246" s="57"/>
      <c r="E246" s="20">
        <f>SUM(E245)</f>
        <v>1400000</v>
      </c>
    </row>
    <row r="247" spans="1:5" s="1" customFormat="1" ht="27.75" customHeight="1" x14ac:dyDescent="0.25">
      <c r="A247" s="53" t="s">
        <v>45</v>
      </c>
      <c r="B247" s="54"/>
      <c r="C247" s="54"/>
      <c r="D247" s="54"/>
      <c r="E247" s="55"/>
    </row>
    <row r="248" spans="1:5" s="1" customFormat="1" ht="30.75" customHeight="1" x14ac:dyDescent="0.25">
      <c r="A248" s="19">
        <v>1</v>
      </c>
      <c r="B248" s="56" t="s">
        <v>170</v>
      </c>
      <c r="C248" s="56"/>
      <c r="D248" s="56"/>
      <c r="E248" s="16">
        <v>566742</v>
      </c>
    </row>
    <row r="249" spans="1:5" s="1" customFormat="1" ht="15.75" x14ac:dyDescent="0.25">
      <c r="A249" s="36"/>
      <c r="B249" s="57" t="s">
        <v>25</v>
      </c>
      <c r="C249" s="57"/>
      <c r="D249" s="57"/>
      <c r="E249" s="20">
        <f>SUM(E248)</f>
        <v>566742</v>
      </c>
    </row>
    <row r="250" spans="1:5" s="1" customFormat="1" ht="25.5" customHeight="1" x14ac:dyDescent="0.25">
      <c r="A250" s="53" t="s">
        <v>56</v>
      </c>
      <c r="B250" s="54"/>
      <c r="C250" s="54"/>
      <c r="D250" s="54"/>
      <c r="E250" s="55"/>
    </row>
    <row r="251" spans="1:5" s="1" customFormat="1" ht="36.75" customHeight="1" x14ac:dyDescent="0.25">
      <c r="A251" s="19">
        <v>1</v>
      </c>
      <c r="B251" s="56" t="s">
        <v>171</v>
      </c>
      <c r="C251" s="56"/>
      <c r="D251" s="56"/>
      <c r="E251" s="16">
        <v>190855</v>
      </c>
    </row>
    <row r="252" spans="1:5" s="1" customFormat="1" ht="15.75" x14ac:dyDescent="0.25">
      <c r="A252" s="36"/>
      <c r="B252" s="57" t="s">
        <v>25</v>
      </c>
      <c r="C252" s="57"/>
      <c r="D252" s="57"/>
      <c r="E252" s="20">
        <f>SUM(E251)</f>
        <v>190855</v>
      </c>
    </row>
    <row r="253" spans="1:5" s="1" customFormat="1" ht="33.75" customHeight="1" x14ac:dyDescent="0.25">
      <c r="A253" s="53" t="s">
        <v>57</v>
      </c>
      <c r="B253" s="54"/>
      <c r="C253" s="54"/>
      <c r="D253" s="54"/>
      <c r="E253" s="55"/>
    </row>
    <row r="254" spans="1:5" s="1" customFormat="1" ht="25.5" customHeight="1" x14ac:dyDescent="0.25">
      <c r="A254" s="19">
        <v>1</v>
      </c>
      <c r="B254" s="56" t="s">
        <v>226</v>
      </c>
      <c r="C254" s="56"/>
      <c r="D254" s="56"/>
      <c r="E254" s="16">
        <v>460362</v>
      </c>
    </row>
    <row r="255" spans="1:5" s="1" customFormat="1" ht="15.75" x14ac:dyDescent="0.25">
      <c r="A255" s="36"/>
      <c r="B255" s="57" t="s">
        <v>25</v>
      </c>
      <c r="C255" s="57"/>
      <c r="D255" s="57"/>
      <c r="E255" s="20">
        <f>SUM(E254)</f>
        <v>460362</v>
      </c>
    </row>
    <row r="256" spans="1:5" s="1" customFormat="1" ht="25.5" customHeight="1" x14ac:dyDescent="0.25">
      <c r="A256" s="53" t="s">
        <v>16</v>
      </c>
      <c r="B256" s="54"/>
      <c r="C256" s="54"/>
      <c r="D256" s="54"/>
      <c r="E256" s="55"/>
    </row>
    <row r="257" spans="1:230" s="1" customFormat="1" ht="39" customHeight="1" x14ac:dyDescent="0.25">
      <c r="A257" s="19">
        <v>1</v>
      </c>
      <c r="B257" s="56" t="s">
        <v>210</v>
      </c>
      <c r="C257" s="56"/>
      <c r="D257" s="56"/>
      <c r="E257" s="16">
        <v>174327</v>
      </c>
    </row>
    <row r="258" spans="1:230" s="1" customFormat="1" ht="15.75" x14ac:dyDescent="0.25">
      <c r="A258" s="19"/>
      <c r="B258" s="57" t="s">
        <v>25</v>
      </c>
      <c r="C258" s="57"/>
      <c r="D258" s="57"/>
      <c r="E258" s="20">
        <f>SUM(E257)</f>
        <v>174327</v>
      </c>
    </row>
    <row r="259" spans="1:230" s="1" customFormat="1" ht="28.5" customHeight="1" x14ac:dyDescent="0.25">
      <c r="A259" s="53" t="s">
        <v>295</v>
      </c>
      <c r="B259" s="54"/>
      <c r="C259" s="54"/>
      <c r="D259" s="54"/>
      <c r="E259" s="55"/>
    </row>
    <row r="260" spans="1:230" s="1" customFormat="1" ht="37.5" customHeight="1" x14ac:dyDescent="0.25">
      <c r="A260" s="19">
        <v>1</v>
      </c>
      <c r="B260" s="56" t="s">
        <v>235</v>
      </c>
      <c r="C260" s="56"/>
      <c r="D260" s="56"/>
      <c r="E260" s="16">
        <v>724854</v>
      </c>
    </row>
    <row r="261" spans="1:230" s="1" customFormat="1" ht="15.75" x14ac:dyDescent="0.25">
      <c r="A261" s="19"/>
      <c r="B261" s="57" t="s">
        <v>25</v>
      </c>
      <c r="C261" s="57"/>
      <c r="D261" s="57"/>
      <c r="E261" s="20">
        <f>SUM(E260)</f>
        <v>724854</v>
      </c>
    </row>
    <row r="262" spans="1:230" s="1" customFormat="1" ht="15.75" x14ac:dyDescent="0.25">
      <c r="A262" s="19"/>
      <c r="B262" s="57" t="s">
        <v>17</v>
      </c>
      <c r="C262" s="57"/>
      <c r="D262" s="57"/>
      <c r="E262" s="20">
        <f>SUM(E243+E246+E249+E252+E255+E258+E261)</f>
        <v>4269372</v>
      </c>
    </row>
    <row r="263" spans="1:230" s="1" customFormat="1" ht="27.75" customHeight="1" x14ac:dyDescent="0.25">
      <c r="A263" s="50" t="s">
        <v>18</v>
      </c>
      <c r="B263" s="51"/>
      <c r="C263" s="51"/>
      <c r="D263" s="51"/>
      <c r="E263" s="52"/>
    </row>
    <row r="264" spans="1:230" s="1" customFormat="1" ht="31.5" customHeight="1" x14ac:dyDescent="0.25">
      <c r="A264" s="19"/>
      <c r="B264" s="54" t="s">
        <v>50</v>
      </c>
      <c r="C264" s="54"/>
      <c r="D264" s="54"/>
      <c r="E264" s="55"/>
    </row>
    <row r="265" spans="1:230" s="1" customFormat="1" ht="15.75" x14ac:dyDescent="0.25">
      <c r="A265" s="19">
        <v>1</v>
      </c>
      <c r="B265" s="56" t="s">
        <v>38</v>
      </c>
      <c r="C265" s="56"/>
      <c r="D265" s="56"/>
      <c r="E265" s="16">
        <v>2000000</v>
      </c>
    </row>
    <row r="266" spans="1:230" s="1" customFormat="1" ht="15.75" x14ac:dyDescent="0.25">
      <c r="A266" s="19"/>
      <c r="B266" s="57" t="s">
        <v>25</v>
      </c>
      <c r="C266" s="57"/>
      <c r="D266" s="57"/>
      <c r="E266" s="20">
        <f>SUM(E265)</f>
        <v>2000000</v>
      </c>
    </row>
    <row r="267" spans="1:230" s="1" customFormat="1" ht="15.75" x14ac:dyDescent="0.25">
      <c r="A267" s="19"/>
      <c r="B267" s="57" t="s">
        <v>19</v>
      </c>
      <c r="C267" s="57"/>
      <c r="D267" s="57"/>
      <c r="E267" s="20">
        <f>SUM(E266)</f>
        <v>2000000</v>
      </c>
    </row>
    <row r="268" spans="1:230" s="1" customFormat="1" ht="27.75" customHeight="1" x14ac:dyDescent="0.25">
      <c r="A268" s="50" t="s">
        <v>46</v>
      </c>
      <c r="B268" s="51"/>
      <c r="C268" s="51"/>
      <c r="D268" s="51"/>
      <c r="E268" s="5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1:230" s="1" customFormat="1" ht="25.5" customHeight="1" x14ac:dyDescent="0.25">
      <c r="A269" s="53" t="s">
        <v>47</v>
      </c>
      <c r="B269" s="54"/>
      <c r="C269" s="54"/>
      <c r="D269" s="54"/>
      <c r="E269" s="5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1:230" s="1" customFormat="1" ht="35.25" customHeight="1" x14ac:dyDescent="0.25">
      <c r="A270" s="19">
        <v>1</v>
      </c>
      <c r="B270" s="56" t="s">
        <v>329</v>
      </c>
      <c r="C270" s="56"/>
      <c r="D270" s="56"/>
      <c r="E270" s="16">
        <v>120000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1:230" s="1" customFormat="1" ht="15.75" x14ac:dyDescent="0.25">
      <c r="A271" s="19"/>
      <c r="B271" s="57" t="s">
        <v>25</v>
      </c>
      <c r="C271" s="57"/>
      <c r="D271" s="57"/>
      <c r="E271" s="20">
        <f>SUM(E270)</f>
        <v>120000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1:230" s="1" customFormat="1" ht="15.75" x14ac:dyDescent="0.25">
      <c r="A272" s="19"/>
      <c r="B272" s="57" t="s">
        <v>49</v>
      </c>
      <c r="C272" s="57"/>
      <c r="D272" s="57"/>
      <c r="E272" s="20">
        <f>SUM(E271)</f>
        <v>120000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1:230" s="1" customFormat="1" ht="40.5" customHeight="1" x14ac:dyDescent="0.25">
      <c r="A273" s="53" t="s">
        <v>27</v>
      </c>
      <c r="B273" s="54"/>
      <c r="C273" s="54"/>
      <c r="D273" s="54"/>
      <c r="E273" s="5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1:230" s="1" customFormat="1" ht="26.25" customHeight="1" x14ac:dyDescent="0.25">
      <c r="A274" s="53" t="s">
        <v>183</v>
      </c>
      <c r="B274" s="54"/>
      <c r="C274" s="54"/>
      <c r="D274" s="54"/>
      <c r="E274" s="5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1:230" s="1" customFormat="1" ht="30.75" customHeight="1" x14ac:dyDescent="0.25">
      <c r="A275" s="19">
        <v>1</v>
      </c>
      <c r="B275" s="56" t="s">
        <v>184</v>
      </c>
      <c r="C275" s="56"/>
      <c r="D275" s="56"/>
      <c r="E275" s="16">
        <v>3206923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1:230" s="1" customFormat="1" ht="15.75" x14ac:dyDescent="0.25">
      <c r="A276" s="19"/>
      <c r="B276" s="57" t="s">
        <v>25</v>
      </c>
      <c r="C276" s="57"/>
      <c r="D276" s="57"/>
      <c r="E276" s="20">
        <f>SUM(E275)</f>
        <v>3206923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1:230" s="1" customFormat="1" ht="29.25" customHeight="1" x14ac:dyDescent="0.25">
      <c r="A277" s="53" t="s">
        <v>11</v>
      </c>
      <c r="B277" s="54"/>
      <c r="C277" s="54"/>
      <c r="D277" s="54"/>
      <c r="E277" s="5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</row>
    <row r="278" spans="1:230" s="1" customFormat="1" ht="38.25" customHeight="1" x14ac:dyDescent="0.25">
      <c r="A278" s="19">
        <v>1</v>
      </c>
      <c r="B278" s="56" t="s">
        <v>358</v>
      </c>
      <c r="C278" s="56"/>
      <c r="D278" s="56"/>
      <c r="E278" s="16">
        <v>1497638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</row>
    <row r="279" spans="1:230" s="1" customFormat="1" ht="15.75" x14ac:dyDescent="0.25">
      <c r="A279" s="19"/>
      <c r="B279" s="57" t="s">
        <v>25</v>
      </c>
      <c r="C279" s="57"/>
      <c r="D279" s="57"/>
      <c r="E279" s="20">
        <f>SUM(E278)</f>
        <v>1497638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</row>
    <row r="280" spans="1:230" s="1" customFormat="1" ht="15.75" x14ac:dyDescent="0.25">
      <c r="A280" s="19"/>
      <c r="B280" s="57" t="s">
        <v>34</v>
      </c>
      <c r="C280" s="57"/>
      <c r="D280" s="57"/>
      <c r="E280" s="20">
        <f>E276+E279</f>
        <v>4704561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</row>
    <row r="281" spans="1:230" s="1" customFormat="1" ht="15.75" x14ac:dyDescent="0.25">
      <c r="A281" s="19"/>
      <c r="B281" s="57" t="s">
        <v>20</v>
      </c>
      <c r="C281" s="57"/>
      <c r="D281" s="57"/>
      <c r="E281" s="20">
        <f>SUM(E237+E262+E267+E272+E280)</f>
        <v>95099623</v>
      </c>
    </row>
    <row r="282" spans="1:230" s="1" customFormat="1" ht="24.75" customHeight="1" x14ac:dyDescent="0.25">
      <c r="A282" s="50" t="s">
        <v>52</v>
      </c>
      <c r="B282" s="51"/>
      <c r="C282" s="51"/>
      <c r="D282" s="51"/>
      <c r="E282" s="52"/>
    </row>
    <row r="283" spans="1:230" s="1" customFormat="1" ht="27.75" customHeight="1" x14ac:dyDescent="0.25">
      <c r="A283" s="53" t="s">
        <v>53</v>
      </c>
      <c r="B283" s="54"/>
      <c r="C283" s="54"/>
      <c r="D283" s="54"/>
      <c r="E283" s="55"/>
    </row>
    <row r="284" spans="1:230" s="1" customFormat="1" ht="21" customHeight="1" x14ac:dyDescent="0.25">
      <c r="A284" s="19">
        <v>1</v>
      </c>
      <c r="B284" s="56" t="s">
        <v>35</v>
      </c>
      <c r="C284" s="56"/>
      <c r="D284" s="56"/>
      <c r="E284" s="16">
        <v>63674</v>
      </c>
    </row>
    <row r="285" spans="1:230" s="1" customFormat="1" ht="31.5" customHeight="1" x14ac:dyDescent="0.25">
      <c r="A285" s="19">
        <v>2</v>
      </c>
      <c r="B285" s="56" t="s">
        <v>60</v>
      </c>
      <c r="C285" s="56"/>
      <c r="D285" s="56"/>
      <c r="E285" s="16">
        <v>293216</v>
      </c>
    </row>
    <row r="286" spans="1:230" s="1" customFormat="1" ht="23.25" customHeight="1" x14ac:dyDescent="0.25">
      <c r="A286" s="19">
        <v>3</v>
      </c>
      <c r="B286" s="56" t="s">
        <v>11</v>
      </c>
      <c r="C286" s="56"/>
      <c r="D286" s="56"/>
      <c r="E286" s="16">
        <v>116011</v>
      </c>
    </row>
    <row r="287" spans="1:230" s="1" customFormat="1" ht="23.25" customHeight="1" x14ac:dyDescent="0.25">
      <c r="A287" s="19">
        <v>4</v>
      </c>
      <c r="B287" s="56" t="s">
        <v>40</v>
      </c>
      <c r="C287" s="56"/>
      <c r="D287" s="56"/>
      <c r="E287" s="16">
        <v>32099</v>
      </c>
    </row>
    <row r="288" spans="1:230" s="1" customFormat="1" ht="38.25" customHeight="1" x14ac:dyDescent="0.25">
      <c r="A288" s="19">
        <v>5</v>
      </c>
      <c r="B288" s="56" t="s">
        <v>359</v>
      </c>
      <c r="C288" s="56"/>
      <c r="D288" s="56"/>
      <c r="E288" s="16">
        <v>324354</v>
      </c>
    </row>
    <row r="289" spans="1:5" s="1" customFormat="1" ht="31.5" customHeight="1" x14ac:dyDescent="0.25">
      <c r="A289" s="19"/>
      <c r="B289" s="57" t="s">
        <v>54</v>
      </c>
      <c r="C289" s="57"/>
      <c r="D289" s="57"/>
      <c r="E289" s="20">
        <f>SUM(E284:E288)</f>
        <v>829354</v>
      </c>
    </row>
    <row r="290" spans="1:5" s="1" customFormat="1" ht="15.75" x14ac:dyDescent="0.25">
      <c r="A290" s="19"/>
      <c r="B290" s="57" t="s">
        <v>55</v>
      </c>
      <c r="C290" s="57"/>
      <c r="D290" s="57"/>
      <c r="E290" s="20">
        <f>SUM(E289)</f>
        <v>829354</v>
      </c>
    </row>
    <row r="291" spans="1:5" s="1" customFormat="1" ht="23.25" customHeight="1" x14ac:dyDescent="0.25">
      <c r="A291" s="74" t="s">
        <v>130</v>
      </c>
      <c r="B291" s="57"/>
      <c r="C291" s="57"/>
      <c r="D291" s="57"/>
      <c r="E291" s="20">
        <f>SUM(E156+E281+E290)</f>
        <v>191543512</v>
      </c>
    </row>
    <row r="292" spans="1:5" s="1" customFormat="1" ht="15.75" x14ac:dyDescent="0.25">
      <c r="A292" s="75"/>
      <c r="B292" s="76"/>
      <c r="C292" s="76"/>
      <c r="D292" s="76"/>
      <c r="E292" s="77"/>
    </row>
    <row r="293" spans="1:5" s="1" customFormat="1" ht="41.25" customHeight="1" x14ac:dyDescent="0.25">
      <c r="A293" s="66" t="s">
        <v>138</v>
      </c>
      <c r="B293" s="67"/>
      <c r="C293" s="67"/>
      <c r="D293" s="67"/>
      <c r="E293" s="68"/>
    </row>
    <row r="294" spans="1:5" s="6" customFormat="1" ht="24" customHeight="1" x14ac:dyDescent="0.25">
      <c r="A294" s="31"/>
      <c r="B294" s="28" t="s">
        <v>198</v>
      </c>
      <c r="C294" s="29"/>
      <c r="D294" s="29"/>
      <c r="E294" s="14">
        <v>11550000</v>
      </c>
    </row>
    <row r="295" spans="1:5" s="6" customFormat="1" ht="31.5" customHeight="1" x14ac:dyDescent="0.25">
      <c r="A295" s="31"/>
      <c r="B295" s="70" t="s">
        <v>199</v>
      </c>
      <c r="C295" s="70"/>
      <c r="D295" s="70"/>
      <c r="E295" s="14">
        <v>112501</v>
      </c>
    </row>
    <row r="296" spans="1:5" s="6" customFormat="1" ht="15.75" x14ac:dyDescent="0.25">
      <c r="A296" s="31"/>
      <c r="B296" s="73" t="s">
        <v>139</v>
      </c>
      <c r="C296" s="73"/>
      <c r="D296" s="73"/>
      <c r="E296" s="13">
        <f>SUM(E294:E295)</f>
        <v>11662501</v>
      </c>
    </row>
    <row r="297" spans="1:5" s="1" customFormat="1" ht="15.75" x14ac:dyDescent="0.25">
      <c r="A297" s="31"/>
      <c r="B297" s="32"/>
      <c r="C297" s="32"/>
      <c r="D297" s="32"/>
      <c r="E297" s="33"/>
    </row>
    <row r="298" spans="1:5" s="39" customFormat="1" ht="24" customHeight="1" x14ac:dyDescent="0.25">
      <c r="A298" s="60" t="s">
        <v>21</v>
      </c>
      <c r="B298" s="58"/>
      <c r="C298" s="58"/>
      <c r="D298" s="58"/>
      <c r="E298" s="59"/>
    </row>
    <row r="299" spans="1:5" ht="24.75" customHeight="1" x14ac:dyDescent="0.2">
      <c r="A299" s="60" t="s">
        <v>60</v>
      </c>
      <c r="B299" s="58"/>
      <c r="C299" s="58"/>
      <c r="D299" s="58"/>
      <c r="E299" s="59"/>
    </row>
    <row r="300" spans="1:5" ht="30" customHeight="1" x14ac:dyDescent="0.2">
      <c r="A300" s="17">
        <v>1</v>
      </c>
      <c r="B300" s="61" t="s">
        <v>360</v>
      </c>
      <c r="C300" s="61"/>
      <c r="D300" s="61"/>
      <c r="E300" s="18">
        <f>8026471-14640</f>
        <v>8011831</v>
      </c>
    </row>
    <row r="301" spans="1:5" ht="35.25" customHeight="1" x14ac:dyDescent="0.2">
      <c r="A301" s="17">
        <v>2</v>
      </c>
      <c r="B301" s="61" t="s">
        <v>61</v>
      </c>
      <c r="C301" s="61"/>
      <c r="D301" s="61"/>
      <c r="E301" s="18">
        <v>1310400</v>
      </c>
    </row>
    <row r="302" spans="1:5" ht="41.25" customHeight="1" x14ac:dyDescent="0.2">
      <c r="A302" s="17">
        <v>3</v>
      </c>
      <c r="B302" s="61" t="s">
        <v>368</v>
      </c>
      <c r="C302" s="61"/>
      <c r="D302" s="61"/>
      <c r="E302" s="18">
        <v>14640</v>
      </c>
    </row>
    <row r="303" spans="1:5" ht="15.75" x14ac:dyDescent="0.2">
      <c r="A303" s="62" t="s">
        <v>25</v>
      </c>
      <c r="B303" s="63"/>
      <c r="C303" s="63"/>
      <c r="D303" s="63"/>
      <c r="E303" s="21">
        <f>SUM(E300:E302)</f>
        <v>9336871</v>
      </c>
    </row>
    <row r="304" spans="1:5" ht="30" customHeight="1" x14ac:dyDescent="0.2">
      <c r="A304" s="60" t="s">
        <v>35</v>
      </c>
      <c r="B304" s="58"/>
      <c r="C304" s="58"/>
      <c r="D304" s="58"/>
      <c r="E304" s="59"/>
    </row>
    <row r="305" spans="1:5" ht="39.75" customHeight="1" x14ac:dyDescent="0.2">
      <c r="A305" s="17">
        <v>1</v>
      </c>
      <c r="B305" s="61" t="s">
        <v>136</v>
      </c>
      <c r="C305" s="61"/>
      <c r="D305" s="61"/>
      <c r="E305" s="18">
        <f>E343+E358+E375+E383+E392+E397+E410+E418+E425+E435+E445</f>
        <v>34980439</v>
      </c>
    </row>
    <row r="306" spans="1:5" ht="15.75" x14ac:dyDescent="0.2">
      <c r="A306" s="71" t="s">
        <v>62</v>
      </c>
      <c r="B306" s="61"/>
      <c r="C306" s="61"/>
      <c r="D306" s="61"/>
      <c r="E306" s="72"/>
    </row>
    <row r="307" spans="1:5" ht="47.25" x14ac:dyDescent="0.2">
      <c r="A307" s="17"/>
      <c r="B307" s="40" t="s">
        <v>63</v>
      </c>
      <c r="C307" s="40" t="s">
        <v>64</v>
      </c>
      <c r="D307" s="40" t="s">
        <v>65</v>
      </c>
      <c r="E307" s="41" t="s">
        <v>66</v>
      </c>
    </row>
    <row r="308" spans="1:5" ht="33.75" customHeight="1" x14ac:dyDescent="0.25">
      <c r="A308" s="42" t="s">
        <v>67</v>
      </c>
      <c r="B308" s="58" t="s">
        <v>68</v>
      </c>
      <c r="C308" s="58"/>
      <c r="D308" s="58"/>
      <c r="E308" s="59"/>
    </row>
    <row r="309" spans="1:5" ht="15.75" x14ac:dyDescent="0.25">
      <c r="A309" s="43"/>
      <c r="B309" s="64" t="s">
        <v>69</v>
      </c>
      <c r="C309" s="64"/>
      <c r="D309" s="64"/>
      <c r="E309" s="65"/>
    </row>
    <row r="310" spans="1:5" ht="15.75" x14ac:dyDescent="0.25">
      <c r="A310" s="43"/>
      <c r="B310" s="34" t="s">
        <v>70</v>
      </c>
      <c r="C310" s="23">
        <v>27</v>
      </c>
      <c r="D310" s="22">
        <v>10500</v>
      </c>
      <c r="E310" s="24">
        <v>283500</v>
      </c>
    </row>
    <row r="311" spans="1:5" ht="15.75" x14ac:dyDescent="0.25">
      <c r="A311" s="43"/>
      <c r="B311" s="34" t="s">
        <v>71</v>
      </c>
      <c r="C311" s="23">
        <v>12</v>
      </c>
      <c r="D311" s="22">
        <v>15000</v>
      </c>
      <c r="E311" s="24">
        <v>180000</v>
      </c>
    </row>
    <row r="312" spans="1:5" ht="15.75" x14ac:dyDescent="0.25">
      <c r="A312" s="43"/>
      <c r="B312" s="34" t="s">
        <v>72</v>
      </c>
      <c r="C312" s="23">
        <v>1</v>
      </c>
      <c r="D312" s="22">
        <v>44000</v>
      </c>
      <c r="E312" s="24">
        <v>44000</v>
      </c>
    </row>
    <row r="313" spans="1:5" ht="15.75" x14ac:dyDescent="0.25">
      <c r="A313" s="43"/>
      <c r="B313" s="34" t="s">
        <v>73</v>
      </c>
      <c r="C313" s="23">
        <v>2</v>
      </c>
      <c r="D313" s="22">
        <v>140000</v>
      </c>
      <c r="E313" s="24">
        <v>280000</v>
      </c>
    </row>
    <row r="314" spans="1:5" ht="15.75" x14ac:dyDescent="0.25">
      <c r="A314" s="43"/>
      <c r="B314" s="34" t="s">
        <v>74</v>
      </c>
      <c r="C314" s="23">
        <v>1</v>
      </c>
      <c r="D314" s="22">
        <v>51775</v>
      </c>
      <c r="E314" s="24">
        <v>51775</v>
      </c>
    </row>
    <row r="315" spans="1:5" ht="15.75" x14ac:dyDescent="0.25">
      <c r="A315" s="43"/>
      <c r="B315" s="34" t="s">
        <v>75</v>
      </c>
      <c r="C315" s="23">
        <v>5</v>
      </c>
      <c r="D315" s="22">
        <v>750000</v>
      </c>
      <c r="E315" s="24">
        <f t="shared" ref="E315" si="0">C315*D315</f>
        <v>3750000</v>
      </c>
    </row>
    <row r="316" spans="1:5" ht="15.75" x14ac:dyDescent="0.25">
      <c r="A316" s="43"/>
      <c r="B316" s="34" t="s">
        <v>76</v>
      </c>
      <c r="C316" s="23">
        <v>2</v>
      </c>
      <c r="D316" s="22">
        <v>107040</v>
      </c>
      <c r="E316" s="24">
        <v>214080</v>
      </c>
    </row>
    <row r="317" spans="1:5" ht="15.75" x14ac:dyDescent="0.25">
      <c r="A317" s="43"/>
      <c r="B317" s="34" t="s">
        <v>77</v>
      </c>
      <c r="C317" s="23">
        <v>1</v>
      </c>
      <c r="D317" s="22">
        <v>3416700</v>
      </c>
      <c r="E317" s="24">
        <v>3416700</v>
      </c>
    </row>
    <row r="318" spans="1:5" ht="15.75" x14ac:dyDescent="0.25">
      <c r="A318" s="43"/>
      <c r="B318" s="34" t="s">
        <v>78</v>
      </c>
      <c r="C318" s="23">
        <v>5</v>
      </c>
      <c r="D318" s="22">
        <v>30000</v>
      </c>
      <c r="E318" s="24">
        <f>C318*D318</f>
        <v>150000</v>
      </c>
    </row>
    <row r="319" spans="1:5" ht="31.5" x14ac:dyDescent="0.25">
      <c r="A319" s="43"/>
      <c r="B319" s="34" t="s">
        <v>79</v>
      </c>
      <c r="C319" s="23">
        <v>1</v>
      </c>
      <c r="D319" s="22">
        <v>769000</v>
      </c>
      <c r="E319" s="24">
        <f>C319*D319</f>
        <v>769000</v>
      </c>
    </row>
    <row r="320" spans="1:5" ht="15.75" x14ac:dyDescent="0.25">
      <c r="A320" s="43"/>
      <c r="B320" s="34" t="s">
        <v>238</v>
      </c>
      <c r="C320" s="23">
        <v>1</v>
      </c>
      <c r="D320" s="22">
        <v>650000</v>
      </c>
      <c r="E320" s="24">
        <f t="shared" ref="E320:E338" si="1">C320*D320</f>
        <v>650000</v>
      </c>
    </row>
    <row r="321" spans="1:5" ht="15.75" x14ac:dyDescent="0.25">
      <c r="A321" s="43"/>
      <c r="B321" s="34" t="s">
        <v>239</v>
      </c>
      <c r="C321" s="23">
        <v>1</v>
      </c>
      <c r="D321" s="22">
        <v>2700000</v>
      </c>
      <c r="E321" s="24">
        <f t="shared" si="1"/>
        <v>2700000</v>
      </c>
    </row>
    <row r="322" spans="1:5" ht="31.5" x14ac:dyDescent="0.25">
      <c r="A322" s="43"/>
      <c r="B322" s="34" t="s">
        <v>240</v>
      </c>
      <c r="C322" s="23">
        <v>1</v>
      </c>
      <c r="D322" s="22">
        <v>470000</v>
      </c>
      <c r="E322" s="24">
        <f t="shared" si="1"/>
        <v>470000</v>
      </c>
    </row>
    <row r="323" spans="1:5" ht="15.75" x14ac:dyDescent="0.25">
      <c r="A323" s="43"/>
      <c r="B323" s="34" t="s">
        <v>241</v>
      </c>
      <c r="C323" s="23">
        <v>1</v>
      </c>
      <c r="D323" s="22">
        <v>1450000</v>
      </c>
      <c r="E323" s="24">
        <f t="shared" si="1"/>
        <v>1450000</v>
      </c>
    </row>
    <row r="324" spans="1:5" ht="15.75" x14ac:dyDescent="0.25">
      <c r="A324" s="43"/>
      <c r="B324" s="34" t="s">
        <v>242</v>
      </c>
      <c r="C324" s="23">
        <v>8</v>
      </c>
      <c r="D324" s="22">
        <v>30000</v>
      </c>
      <c r="E324" s="24">
        <f t="shared" si="1"/>
        <v>240000</v>
      </c>
    </row>
    <row r="325" spans="1:5" ht="15.75" x14ac:dyDescent="0.25">
      <c r="A325" s="43"/>
      <c r="B325" s="34" t="s">
        <v>134</v>
      </c>
      <c r="C325" s="23">
        <v>11</v>
      </c>
      <c r="D325" s="22">
        <v>19000</v>
      </c>
      <c r="E325" s="24">
        <f t="shared" si="1"/>
        <v>209000</v>
      </c>
    </row>
    <row r="326" spans="1:5" ht="15.75" x14ac:dyDescent="0.25">
      <c r="A326" s="43"/>
      <c r="B326" s="34" t="s">
        <v>243</v>
      </c>
      <c r="C326" s="23">
        <v>10</v>
      </c>
      <c r="D326" s="22">
        <v>163000</v>
      </c>
      <c r="E326" s="24">
        <f t="shared" si="1"/>
        <v>1630000</v>
      </c>
    </row>
    <row r="327" spans="1:5" ht="15.75" x14ac:dyDescent="0.25">
      <c r="A327" s="43"/>
      <c r="B327" s="34" t="s">
        <v>244</v>
      </c>
      <c r="C327" s="23">
        <v>1</v>
      </c>
      <c r="D327" s="22">
        <v>190500</v>
      </c>
      <c r="E327" s="24">
        <f t="shared" si="1"/>
        <v>190500</v>
      </c>
    </row>
    <row r="328" spans="1:5" ht="15.75" x14ac:dyDescent="0.25">
      <c r="A328" s="43"/>
      <c r="B328" s="34" t="s">
        <v>245</v>
      </c>
      <c r="C328" s="23">
        <v>2</v>
      </c>
      <c r="D328" s="22">
        <v>280200</v>
      </c>
      <c r="E328" s="24">
        <f t="shared" si="1"/>
        <v>560400</v>
      </c>
    </row>
    <row r="329" spans="1:5" ht="15.75" x14ac:dyDescent="0.25">
      <c r="A329" s="43"/>
      <c r="B329" s="34" t="s">
        <v>246</v>
      </c>
      <c r="C329" s="23">
        <v>1</v>
      </c>
      <c r="D329" s="22">
        <v>1077770</v>
      </c>
      <c r="E329" s="24">
        <f t="shared" si="1"/>
        <v>1077770</v>
      </c>
    </row>
    <row r="330" spans="1:5" ht="15.75" x14ac:dyDescent="0.25">
      <c r="A330" s="43"/>
      <c r="B330" s="34" t="s">
        <v>247</v>
      </c>
      <c r="C330" s="23">
        <v>12</v>
      </c>
      <c r="D330" s="22">
        <v>54000</v>
      </c>
      <c r="E330" s="24">
        <f t="shared" si="1"/>
        <v>648000</v>
      </c>
    </row>
    <row r="331" spans="1:5" ht="15.75" x14ac:dyDescent="0.25">
      <c r="A331" s="43"/>
      <c r="B331" s="34" t="s">
        <v>248</v>
      </c>
      <c r="C331" s="23">
        <v>3</v>
      </c>
      <c r="D331" s="22">
        <v>2700</v>
      </c>
      <c r="E331" s="24">
        <f t="shared" si="1"/>
        <v>8100</v>
      </c>
    </row>
    <row r="332" spans="1:5" ht="15.75" x14ac:dyDescent="0.25">
      <c r="A332" s="43"/>
      <c r="B332" s="34" t="s">
        <v>106</v>
      </c>
      <c r="C332" s="23">
        <v>1</v>
      </c>
      <c r="D332" s="22">
        <v>19300</v>
      </c>
      <c r="E332" s="24">
        <f t="shared" si="1"/>
        <v>19300</v>
      </c>
    </row>
    <row r="333" spans="1:5" ht="15.75" x14ac:dyDescent="0.25">
      <c r="A333" s="43"/>
      <c r="B333" s="34" t="s">
        <v>93</v>
      </c>
      <c r="C333" s="23">
        <v>1</v>
      </c>
      <c r="D333" s="22">
        <v>85000</v>
      </c>
      <c r="E333" s="24">
        <f t="shared" si="1"/>
        <v>85000</v>
      </c>
    </row>
    <row r="334" spans="1:5" ht="15.75" x14ac:dyDescent="0.25">
      <c r="A334" s="43"/>
      <c r="B334" s="34" t="s">
        <v>249</v>
      </c>
      <c r="C334" s="23">
        <v>1</v>
      </c>
      <c r="D334" s="22">
        <v>9000</v>
      </c>
      <c r="E334" s="24">
        <f t="shared" si="1"/>
        <v>9000</v>
      </c>
    </row>
    <row r="335" spans="1:5" ht="15.75" x14ac:dyDescent="0.25">
      <c r="A335" s="43"/>
      <c r="B335" s="34" t="s">
        <v>250</v>
      </c>
      <c r="C335" s="23">
        <v>1</v>
      </c>
      <c r="D335" s="22">
        <v>379000</v>
      </c>
      <c r="E335" s="24">
        <f t="shared" si="1"/>
        <v>379000</v>
      </c>
    </row>
    <row r="336" spans="1:5" ht="15.75" x14ac:dyDescent="0.25">
      <c r="A336" s="43"/>
      <c r="B336" s="34" t="s">
        <v>251</v>
      </c>
      <c r="C336" s="23">
        <v>1</v>
      </c>
      <c r="D336" s="22">
        <v>280000</v>
      </c>
      <c r="E336" s="24">
        <f t="shared" si="1"/>
        <v>280000</v>
      </c>
    </row>
    <row r="337" spans="1:5" ht="15.75" x14ac:dyDescent="0.25">
      <c r="A337" s="43"/>
      <c r="B337" s="34" t="s">
        <v>90</v>
      </c>
      <c r="C337" s="23"/>
      <c r="D337" s="22">
        <v>60525</v>
      </c>
      <c r="E337" s="24">
        <v>60525</v>
      </c>
    </row>
    <row r="338" spans="1:5" ht="15.75" x14ac:dyDescent="0.25">
      <c r="A338" s="43"/>
      <c r="B338" s="34" t="s">
        <v>252</v>
      </c>
      <c r="C338" s="23">
        <v>2</v>
      </c>
      <c r="D338" s="22">
        <v>9480</v>
      </c>
      <c r="E338" s="24">
        <f t="shared" si="1"/>
        <v>18960</v>
      </c>
    </row>
    <row r="339" spans="1:5" ht="15.75" x14ac:dyDescent="0.25">
      <c r="A339" s="43"/>
      <c r="B339" s="35" t="s">
        <v>80</v>
      </c>
      <c r="C339" s="44"/>
      <c r="D339" s="45"/>
      <c r="E339" s="46">
        <f>SUM(E310:E338)</f>
        <v>19824610</v>
      </c>
    </row>
    <row r="340" spans="1:5" ht="29.25" customHeight="1" x14ac:dyDescent="0.25">
      <c r="A340" s="43"/>
      <c r="B340" s="64" t="s">
        <v>253</v>
      </c>
      <c r="C340" s="64"/>
      <c r="D340" s="64"/>
      <c r="E340" s="65"/>
    </row>
    <row r="341" spans="1:5" ht="15.75" x14ac:dyDescent="0.25">
      <c r="A341" s="43"/>
      <c r="B341" s="34" t="s">
        <v>254</v>
      </c>
      <c r="C341" s="44" t="s">
        <v>126</v>
      </c>
      <c r="D341" s="45">
        <v>1250000</v>
      </c>
      <c r="E341" s="46">
        <v>1250000</v>
      </c>
    </row>
    <row r="342" spans="1:5" ht="15.75" x14ac:dyDescent="0.25">
      <c r="A342" s="43"/>
      <c r="B342" s="35" t="s">
        <v>255</v>
      </c>
      <c r="C342" s="44"/>
      <c r="D342" s="45"/>
      <c r="E342" s="46">
        <f>SUM(E341)</f>
        <v>1250000</v>
      </c>
    </row>
    <row r="343" spans="1:5" ht="15.75" x14ac:dyDescent="0.25">
      <c r="A343" s="43"/>
      <c r="B343" s="35" t="s">
        <v>256</v>
      </c>
      <c r="C343" s="44"/>
      <c r="D343" s="45"/>
      <c r="E343" s="46">
        <f>E339+E342</f>
        <v>21074610</v>
      </c>
    </row>
    <row r="344" spans="1:5" ht="40.5" customHeight="1" x14ac:dyDescent="0.2">
      <c r="A344" s="47" t="s">
        <v>81</v>
      </c>
      <c r="B344" s="58" t="s">
        <v>84</v>
      </c>
      <c r="C344" s="58"/>
      <c r="D344" s="58"/>
      <c r="E344" s="59"/>
    </row>
    <row r="345" spans="1:5" ht="15.75" x14ac:dyDescent="0.25">
      <c r="A345" s="43"/>
      <c r="B345" s="64" t="s">
        <v>69</v>
      </c>
      <c r="C345" s="64"/>
      <c r="D345" s="64"/>
      <c r="E345" s="65"/>
    </row>
    <row r="346" spans="1:5" ht="15.75" x14ac:dyDescent="0.25">
      <c r="A346" s="43"/>
      <c r="B346" s="34" t="s">
        <v>85</v>
      </c>
      <c r="C346" s="23">
        <v>1</v>
      </c>
      <c r="D346" s="22">
        <v>678373</v>
      </c>
      <c r="E346" s="24">
        <f>C346*D346</f>
        <v>678373</v>
      </c>
    </row>
    <row r="347" spans="1:5" ht="15.75" x14ac:dyDescent="0.25">
      <c r="A347" s="43"/>
      <c r="B347" s="34" t="s">
        <v>86</v>
      </c>
      <c r="C347" s="23">
        <v>1</v>
      </c>
      <c r="D347" s="22">
        <v>316787</v>
      </c>
      <c r="E347" s="24">
        <f>C347*D347</f>
        <v>316787</v>
      </c>
    </row>
    <row r="348" spans="1:5" ht="15.75" x14ac:dyDescent="0.25">
      <c r="A348" s="43"/>
      <c r="B348" s="34" t="s">
        <v>87</v>
      </c>
      <c r="C348" s="23">
        <v>2</v>
      </c>
      <c r="D348" s="22">
        <v>102754</v>
      </c>
      <c r="E348" s="24">
        <f>C348*D348</f>
        <v>205508</v>
      </c>
    </row>
    <row r="349" spans="1:5" ht="15.75" x14ac:dyDescent="0.25">
      <c r="A349" s="43"/>
      <c r="B349" s="34" t="s">
        <v>257</v>
      </c>
      <c r="C349" s="23">
        <v>1</v>
      </c>
      <c r="D349" s="22">
        <v>383985</v>
      </c>
      <c r="E349" s="24">
        <f>C349*D349</f>
        <v>383985</v>
      </c>
    </row>
    <row r="350" spans="1:5" ht="15.75" x14ac:dyDescent="0.25">
      <c r="A350" s="43"/>
      <c r="B350" s="34" t="s">
        <v>258</v>
      </c>
      <c r="C350" s="23">
        <v>2</v>
      </c>
      <c r="D350" s="22">
        <v>77500</v>
      </c>
      <c r="E350" s="24">
        <f t="shared" ref="E350:E356" si="2">C350*D350</f>
        <v>155000</v>
      </c>
    </row>
    <row r="351" spans="1:5" ht="15.75" x14ac:dyDescent="0.25">
      <c r="A351" s="43"/>
      <c r="B351" s="34" t="s">
        <v>259</v>
      </c>
      <c r="C351" s="23">
        <v>10</v>
      </c>
      <c r="D351" s="22">
        <v>27262</v>
      </c>
      <c r="E351" s="24">
        <f t="shared" si="2"/>
        <v>272620</v>
      </c>
    </row>
    <row r="352" spans="1:5" ht="15.75" x14ac:dyDescent="0.25">
      <c r="A352" s="43"/>
      <c r="B352" s="34" t="s">
        <v>260</v>
      </c>
      <c r="C352" s="23">
        <v>8</v>
      </c>
      <c r="D352" s="22">
        <v>13106</v>
      </c>
      <c r="E352" s="24">
        <f t="shared" si="2"/>
        <v>104848</v>
      </c>
    </row>
    <row r="353" spans="1:5" ht="15.75" x14ac:dyDescent="0.25">
      <c r="A353" s="43"/>
      <c r="B353" s="34" t="s">
        <v>261</v>
      </c>
      <c r="C353" s="23">
        <v>1</v>
      </c>
      <c r="D353" s="22">
        <v>65800</v>
      </c>
      <c r="E353" s="24">
        <f t="shared" si="2"/>
        <v>65800</v>
      </c>
    </row>
    <row r="354" spans="1:5" ht="15.75" x14ac:dyDescent="0.25">
      <c r="A354" s="43"/>
      <c r="B354" s="34" t="s">
        <v>262</v>
      </c>
      <c r="C354" s="23">
        <v>2</v>
      </c>
      <c r="D354" s="22">
        <v>12799</v>
      </c>
      <c r="E354" s="24">
        <f t="shared" si="2"/>
        <v>25598</v>
      </c>
    </row>
    <row r="355" spans="1:5" ht="15.75" x14ac:dyDescent="0.25">
      <c r="A355" s="43"/>
      <c r="B355" s="34" t="s">
        <v>263</v>
      </c>
      <c r="C355" s="23">
        <v>2</v>
      </c>
      <c r="D355" s="22">
        <v>42238</v>
      </c>
      <c r="E355" s="24">
        <f t="shared" si="2"/>
        <v>84476</v>
      </c>
    </row>
    <row r="356" spans="1:5" ht="15.75" x14ac:dyDescent="0.25">
      <c r="A356" s="43"/>
      <c r="B356" s="34" t="s">
        <v>264</v>
      </c>
      <c r="C356" s="23">
        <v>2</v>
      </c>
      <c r="D356" s="22">
        <v>41886</v>
      </c>
      <c r="E356" s="24">
        <f t="shared" si="2"/>
        <v>83772</v>
      </c>
    </row>
    <row r="357" spans="1:5" ht="15.75" x14ac:dyDescent="0.25">
      <c r="A357" s="43"/>
      <c r="B357" s="35" t="s">
        <v>80</v>
      </c>
      <c r="C357" s="23"/>
      <c r="D357" s="22"/>
      <c r="E357" s="46">
        <f>SUM(E346:E356)</f>
        <v>2376767</v>
      </c>
    </row>
    <row r="358" spans="1:5" ht="15.75" x14ac:dyDescent="0.25">
      <c r="A358" s="43"/>
      <c r="B358" s="35" t="s">
        <v>160</v>
      </c>
      <c r="C358" s="44"/>
      <c r="D358" s="45"/>
      <c r="E358" s="46">
        <f>SUM(E346:E356)</f>
        <v>2376767</v>
      </c>
    </row>
    <row r="359" spans="1:5" ht="38.25" customHeight="1" x14ac:dyDescent="0.2">
      <c r="A359" s="47" t="s">
        <v>82</v>
      </c>
      <c r="B359" s="58" t="s">
        <v>265</v>
      </c>
      <c r="C359" s="58"/>
      <c r="D359" s="58"/>
      <c r="E359" s="59"/>
    </row>
    <row r="360" spans="1:5" ht="15.75" x14ac:dyDescent="0.25">
      <c r="A360" s="43"/>
      <c r="B360" s="64" t="s">
        <v>69</v>
      </c>
      <c r="C360" s="64"/>
      <c r="D360" s="64"/>
      <c r="E360" s="65"/>
    </row>
    <row r="361" spans="1:5" ht="63" x14ac:dyDescent="0.25">
      <c r="A361" s="43"/>
      <c r="B361" s="25" t="s">
        <v>266</v>
      </c>
      <c r="C361" s="23">
        <v>1</v>
      </c>
      <c r="D361" s="22">
        <v>85000</v>
      </c>
      <c r="E361" s="24">
        <f>C361*D361</f>
        <v>85000</v>
      </c>
    </row>
    <row r="362" spans="1:5" ht="54" customHeight="1" x14ac:dyDescent="0.25">
      <c r="A362" s="43"/>
      <c r="B362" s="25" t="s">
        <v>267</v>
      </c>
      <c r="C362" s="23">
        <v>1</v>
      </c>
      <c r="D362" s="22">
        <v>91000</v>
      </c>
      <c r="E362" s="24">
        <f t="shared" ref="E362:E373" si="3">C362*D362</f>
        <v>91000</v>
      </c>
    </row>
    <row r="363" spans="1:5" ht="34.5" customHeight="1" x14ac:dyDescent="0.25">
      <c r="A363" s="43"/>
      <c r="B363" s="25" t="s">
        <v>268</v>
      </c>
      <c r="C363" s="23">
        <v>1</v>
      </c>
      <c r="D363" s="22">
        <v>68000</v>
      </c>
      <c r="E363" s="24">
        <f t="shared" si="3"/>
        <v>68000</v>
      </c>
    </row>
    <row r="364" spans="1:5" ht="47.25" x14ac:dyDescent="0.25">
      <c r="A364" s="43"/>
      <c r="B364" s="25" t="s">
        <v>269</v>
      </c>
      <c r="C364" s="23">
        <v>1</v>
      </c>
      <c r="D364" s="22">
        <v>92000</v>
      </c>
      <c r="E364" s="24">
        <f t="shared" si="3"/>
        <v>92000</v>
      </c>
    </row>
    <row r="365" spans="1:5" ht="31.5" x14ac:dyDescent="0.25">
      <c r="A365" s="43"/>
      <c r="B365" s="25" t="s">
        <v>270</v>
      </c>
      <c r="C365" s="23">
        <v>2</v>
      </c>
      <c r="D365" s="22">
        <v>323000</v>
      </c>
      <c r="E365" s="24">
        <f t="shared" si="3"/>
        <v>646000</v>
      </c>
    </row>
    <row r="366" spans="1:5" ht="31.5" x14ac:dyDescent="0.25">
      <c r="A366" s="43"/>
      <c r="B366" s="25" t="s">
        <v>271</v>
      </c>
      <c r="C366" s="23">
        <v>1</v>
      </c>
      <c r="D366" s="22">
        <v>57300</v>
      </c>
      <c r="E366" s="24">
        <f t="shared" si="3"/>
        <v>57300</v>
      </c>
    </row>
    <row r="367" spans="1:5" ht="21.75" customHeight="1" x14ac:dyDescent="0.25">
      <c r="A367" s="43"/>
      <c r="B367" s="25" t="s">
        <v>272</v>
      </c>
      <c r="C367" s="23">
        <v>20</v>
      </c>
      <c r="D367" s="22">
        <v>11900</v>
      </c>
      <c r="E367" s="24">
        <f t="shared" si="3"/>
        <v>238000</v>
      </c>
    </row>
    <row r="368" spans="1:5" ht="31.5" x14ac:dyDescent="0.25">
      <c r="A368" s="43"/>
      <c r="B368" s="25" t="s">
        <v>273</v>
      </c>
      <c r="C368" s="23">
        <v>1</v>
      </c>
      <c r="D368" s="22">
        <v>55000</v>
      </c>
      <c r="E368" s="24">
        <f t="shared" si="3"/>
        <v>55000</v>
      </c>
    </row>
    <row r="369" spans="1:5" ht="31.5" x14ac:dyDescent="0.25">
      <c r="A369" s="43"/>
      <c r="B369" s="25" t="s">
        <v>274</v>
      </c>
      <c r="C369" s="23">
        <v>3</v>
      </c>
      <c r="D369" s="22">
        <v>28700</v>
      </c>
      <c r="E369" s="24">
        <f t="shared" si="3"/>
        <v>86100</v>
      </c>
    </row>
    <row r="370" spans="1:5" ht="31.5" x14ac:dyDescent="0.25">
      <c r="A370" s="43"/>
      <c r="B370" s="25" t="s">
        <v>275</v>
      </c>
      <c r="C370" s="23">
        <v>1</v>
      </c>
      <c r="D370" s="22">
        <v>90000</v>
      </c>
      <c r="E370" s="24">
        <f t="shared" si="3"/>
        <v>90000</v>
      </c>
    </row>
    <row r="371" spans="1:5" ht="21" customHeight="1" x14ac:dyDescent="0.25">
      <c r="A371" s="43"/>
      <c r="B371" s="25" t="s">
        <v>276</v>
      </c>
      <c r="C371" s="23">
        <v>4</v>
      </c>
      <c r="D371" s="22">
        <v>105000</v>
      </c>
      <c r="E371" s="24">
        <f t="shared" si="3"/>
        <v>420000</v>
      </c>
    </row>
    <row r="372" spans="1:5" ht="31.5" x14ac:dyDescent="0.25">
      <c r="A372" s="43"/>
      <c r="B372" s="25" t="s">
        <v>277</v>
      </c>
      <c r="C372" s="23">
        <v>1</v>
      </c>
      <c r="D372" s="22">
        <v>130000</v>
      </c>
      <c r="E372" s="24">
        <f t="shared" si="3"/>
        <v>130000</v>
      </c>
    </row>
    <row r="373" spans="1:5" ht="31.5" x14ac:dyDescent="0.25">
      <c r="A373" s="43"/>
      <c r="B373" s="25" t="s">
        <v>278</v>
      </c>
      <c r="C373" s="23">
        <v>1</v>
      </c>
      <c r="D373" s="22">
        <v>65800</v>
      </c>
      <c r="E373" s="24">
        <f t="shared" si="3"/>
        <v>65800</v>
      </c>
    </row>
    <row r="374" spans="1:5" ht="15.75" x14ac:dyDescent="0.25">
      <c r="A374" s="43"/>
      <c r="B374" s="35" t="s">
        <v>80</v>
      </c>
      <c r="C374" s="23"/>
      <c r="D374" s="22"/>
      <c r="E374" s="46">
        <f>SUM(E361:E373)</f>
        <v>2124200</v>
      </c>
    </row>
    <row r="375" spans="1:5" ht="15.75" x14ac:dyDescent="0.25">
      <c r="A375" s="43"/>
      <c r="B375" s="35" t="s">
        <v>279</v>
      </c>
      <c r="C375" s="44"/>
      <c r="D375" s="45"/>
      <c r="E375" s="46">
        <f>E374</f>
        <v>2124200</v>
      </c>
    </row>
    <row r="376" spans="1:5" ht="39.75" customHeight="1" x14ac:dyDescent="0.2">
      <c r="A376" s="47" t="s">
        <v>83</v>
      </c>
      <c r="B376" s="58" t="s">
        <v>299</v>
      </c>
      <c r="C376" s="58"/>
      <c r="D376" s="58"/>
      <c r="E376" s="59"/>
    </row>
    <row r="377" spans="1:5" ht="15.75" x14ac:dyDescent="0.25">
      <c r="A377" s="43"/>
      <c r="B377" s="64" t="s">
        <v>69</v>
      </c>
      <c r="C377" s="64"/>
      <c r="D377" s="64"/>
      <c r="E377" s="65"/>
    </row>
    <row r="378" spans="1:5" ht="15.75" x14ac:dyDescent="0.25">
      <c r="A378" s="43"/>
      <c r="B378" s="34" t="s">
        <v>361</v>
      </c>
      <c r="C378" s="23">
        <v>4</v>
      </c>
      <c r="D378" s="22">
        <v>4573</v>
      </c>
      <c r="E378" s="24">
        <f t="shared" ref="E378:E381" si="4">C378*D378</f>
        <v>18292</v>
      </c>
    </row>
    <row r="379" spans="1:5" ht="15.75" x14ac:dyDescent="0.25">
      <c r="A379" s="43"/>
      <c r="B379" s="34" t="s">
        <v>280</v>
      </c>
      <c r="C379" s="23">
        <v>1</v>
      </c>
      <c r="D379" s="22">
        <v>4555</v>
      </c>
      <c r="E379" s="24">
        <f t="shared" si="4"/>
        <v>4555</v>
      </c>
    </row>
    <row r="380" spans="1:5" ht="15.75" x14ac:dyDescent="0.25">
      <c r="A380" s="43"/>
      <c r="B380" s="34" t="s">
        <v>134</v>
      </c>
      <c r="C380" s="23">
        <v>1</v>
      </c>
      <c r="D380" s="22">
        <v>9850</v>
      </c>
      <c r="E380" s="24">
        <f t="shared" si="4"/>
        <v>9850</v>
      </c>
    </row>
    <row r="381" spans="1:5" ht="15.75" x14ac:dyDescent="0.25">
      <c r="A381" s="43"/>
      <c r="B381" s="34" t="s">
        <v>115</v>
      </c>
      <c r="C381" s="23">
        <v>2</v>
      </c>
      <c r="D381" s="22">
        <v>14700</v>
      </c>
      <c r="E381" s="24">
        <f t="shared" si="4"/>
        <v>29400</v>
      </c>
    </row>
    <row r="382" spans="1:5" ht="15.75" x14ac:dyDescent="0.25">
      <c r="A382" s="43"/>
      <c r="B382" s="35" t="s">
        <v>80</v>
      </c>
      <c r="C382" s="23"/>
      <c r="D382" s="22"/>
      <c r="E382" s="46">
        <f>SUM(E378:E381)</f>
        <v>62097</v>
      </c>
    </row>
    <row r="383" spans="1:5" ht="15.75" x14ac:dyDescent="0.25">
      <c r="A383" s="43"/>
      <c r="B383" s="35" t="s">
        <v>281</v>
      </c>
      <c r="C383" s="44"/>
      <c r="D383" s="45"/>
      <c r="E383" s="46">
        <f>SUM(E378:E381)</f>
        <v>62097</v>
      </c>
    </row>
    <row r="384" spans="1:5" ht="46.5" customHeight="1" x14ac:dyDescent="0.2">
      <c r="A384" s="47" t="s">
        <v>88</v>
      </c>
      <c r="B384" s="58" t="s">
        <v>298</v>
      </c>
      <c r="C384" s="58"/>
      <c r="D384" s="58"/>
      <c r="E384" s="59"/>
    </row>
    <row r="385" spans="1:5" ht="15.75" x14ac:dyDescent="0.25">
      <c r="A385" s="43"/>
      <c r="B385" s="64" t="s">
        <v>69</v>
      </c>
      <c r="C385" s="64"/>
      <c r="D385" s="64"/>
      <c r="E385" s="65"/>
    </row>
    <row r="386" spans="1:5" ht="15.75" x14ac:dyDescent="0.25">
      <c r="A386" s="43"/>
      <c r="B386" s="34" t="s">
        <v>92</v>
      </c>
      <c r="C386" s="23">
        <v>1</v>
      </c>
      <c r="D386" s="22">
        <v>36964</v>
      </c>
      <c r="E386" s="24">
        <v>36964</v>
      </c>
    </row>
    <row r="387" spans="1:5" ht="21.75" customHeight="1" x14ac:dyDescent="0.25">
      <c r="A387" s="43"/>
      <c r="B387" s="34" t="s">
        <v>93</v>
      </c>
      <c r="C387" s="23">
        <v>4</v>
      </c>
      <c r="D387" s="22">
        <v>85000</v>
      </c>
      <c r="E387" s="24">
        <f>C387*D387</f>
        <v>340000</v>
      </c>
    </row>
    <row r="388" spans="1:5" ht="25.5" customHeight="1" x14ac:dyDescent="0.25">
      <c r="A388" s="43"/>
      <c r="B388" s="34" t="s">
        <v>94</v>
      </c>
      <c r="C388" s="23">
        <v>1</v>
      </c>
      <c r="D388" s="22">
        <v>7508</v>
      </c>
      <c r="E388" s="24">
        <v>7508</v>
      </c>
    </row>
    <row r="389" spans="1:5" ht="31.5" x14ac:dyDescent="0.25">
      <c r="A389" s="43"/>
      <c r="B389" s="34" t="s">
        <v>95</v>
      </c>
      <c r="C389" s="23">
        <v>4</v>
      </c>
      <c r="D389" s="22">
        <v>180329</v>
      </c>
      <c r="E389" s="24">
        <v>721316</v>
      </c>
    </row>
    <row r="390" spans="1:5" ht="31.5" x14ac:dyDescent="0.25">
      <c r="A390" s="43"/>
      <c r="B390" s="34" t="s">
        <v>96</v>
      </c>
      <c r="C390" s="23" t="s">
        <v>126</v>
      </c>
      <c r="D390" s="22">
        <v>3470858</v>
      </c>
      <c r="E390" s="24">
        <v>3470858</v>
      </c>
    </row>
    <row r="391" spans="1:5" ht="15.75" x14ac:dyDescent="0.25">
      <c r="A391" s="43"/>
      <c r="B391" s="35" t="s">
        <v>80</v>
      </c>
      <c r="C391" s="23"/>
      <c r="D391" s="22"/>
      <c r="E391" s="46">
        <f>SUM(E386:E390)</f>
        <v>4576646</v>
      </c>
    </row>
    <row r="392" spans="1:5" ht="15.75" x14ac:dyDescent="0.25">
      <c r="A392" s="43"/>
      <c r="B392" s="35" t="s">
        <v>155</v>
      </c>
      <c r="C392" s="44"/>
      <c r="D392" s="45"/>
      <c r="E392" s="46">
        <f>SUM(E386:E390)</f>
        <v>4576646</v>
      </c>
    </row>
    <row r="393" spans="1:5" ht="43.5" customHeight="1" x14ac:dyDescent="0.2">
      <c r="A393" s="47" t="s">
        <v>89</v>
      </c>
      <c r="B393" s="58" t="s">
        <v>99</v>
      </c>
      <c r="C393" s="58"/>
      <c r="D393" s="58"/>
      <c r="E393" s="59"/>
    </row>
    <row r="394" spans="1:5" ht="15.75" x14ac:dyDescent="0.25">
      <c r="A394" s="43"/>
      <c r="B394" s="64" t="s">
        <v>69</v>
      </c>
      <c r="C394" s="64"/>
      <c r="D394" s="64"/>
      <c r="E394" s="65"/>
    </row>
    <row r="395" spans="1:5" ht="41.25" customHeight="1" x14ac:dyDescent="0.25">
      <c r="A395" s="43"/>
      <c r="B395" s="34" t="s">
        <v>133</v>
      </c>
      <c r="C395" s="23">
        <v>1</v>
      </c>
      <c r="D395" s="22">
        <v>1037970</v>
      </c>
      <c r="E395" s="24">
        <f>C395*D395</f>
        <v>1037970</v>
      </c>
    </row>
    <row r="396" spans="1:5" ht="15.75" x14ac:dyDescent="0.25">
      <c r="A396" s="43"/>
      <c r="B396" s="35" t="s">
        <v>80</v>
      </c>
      <c r="C396" s="23"/>
      <c r="D396" s="22"/>
      <c r="E396" s="46">
        <f>E395</f>
        <v>1037970</v>
      </c>
    </row>
    <row r="397" spans="1:5" ht="15.75" x14ac:dyDescent="0.25">
      <c r="A397" s="43"/>
      <c r="B397" s="35" t="s">
        <v>282</v>
      </c>
      <c r="C397" s="44"/>
      <c r="D397" s="45"/>
      <c r="E397" s="46">
        <f>SUM(E395)</f>
        <v>1037970</v>
      </c>
    </row>
    <row r="398" spans="1:5" ht="33.75" customHeight="1" x14ac:dyDescent="0.2">
      <c r="A398" s="47" t="s">
        <v>91</v>
      </c>
      <c r="B398" s="58" t="s">
        <v>101</v>
      </c>
      <c r="C398" s="58"/>
      <c r="D398" s="58"/>
      <c r="E398" s="59"/>
    </row>
    <row r="399" spans="1:5" ht="15.75" x14ac:dyDescent="0.25">
      <c r="A399" s="43"/>
      <c r="B399" s="64" t="s">
        <v>69</v>
      </c>
      <c r="C399" s="64"/>
      <c r="D399" s="64"/>
      <c r="E399" s="65"/>
    </row>
    <row r="400" spans="1:5" ht="15.75" x14ac:dyDescent="0.25">
      <c r="A400" s="43"/>
      <c r="B400" s="34" t="s">
        <v>102</v>
      </c>
      <c r="C400" s="23">
        <v>7</v>
      </c>
      <c r="D400" s="22">
        <v>44000</v>
      </c>
      <c r="E400" s="24">
        <v>308000</v>
      </c>
    </row>
    <row r="401" spans="1:5" ht="15.75" x14ac:dyDescent="0.25">
      <c r="A401" s="43"/>
      <c r="B401" s="34" t="s">
        <v>104</v>
      </c>
      <c r="C401" s="23">
        <v>1</v>
      </c>
      <c r="D401" s="22">
        <v>30864</v>
      </c>
      <c r="E401" s="24">
        <f>C401*D401</f>
        <v>30864</v>
      </c>
    </row>
    <row r="402" spans="1:5" ht="15.75" x14ac:dyDescent="0.25">
      <c r="A402" s="43"/>
      <c r="B402" s="34" t="s">
        <v>105</v>
      </c>
      <c r="C402" s="23">
        <v>1</v>
      </c>
      <c r="D402" s="22">
        <v>630000</v>
      </c>
      <c r="E402" s="24">
        <v>630000</v>
      </c>
    </row>
    <row r="403" spans="1:5" ht="15.75" x14ac:dyDescent="0.25">
      <c r="A403" s="43"/>
      <c r="B403" s="34" t="s">
        <v>103</v>
      </c>
      <c r="C403" s="23">
        <v>10</v>
      </c>
      <c r="D403" s="22">
        <v>49000</v>
      </c>
      <c r="E403" s="24">
        <v>490000</v>
      </c>
    </row>
    <row r="404" spans="1:5" ht="15.75" x14ac:dyDescent="0.25">
      <c r="A404" s="43"/>
      <c r="B404" s="34" t="s">
        <v>106</v>
      </c>
      <c r="C404" s="23">
        <v>8</v>
      </c>
      <c r="D404" s="22">
        <v>9200</v>
      </c>
      <c r="E404" s="24">
        <v>73600</v>
      </c>
    </row>
    <row r="405" spans="1:5" ht="15.75" x14ac:dyDescent="0.25">
      <c r="A405" s="43"/>
      <c r="B405" s="34" t="s">
        <v>107</v>
      </c>
      <c r="C405" s="23">
        <v>4</v>
      </c>
      <c r="D405" s="22">
        <v>13000</v>
      </c>
      <c r="E405" s="24">
        <v>52000</v>
      </c>
    </row>
    <row r="406" spans="1:5" ht="15.75" x14ac:dyDescent="0.25">
      <c r="A406" s="43"/>
      <c r="B406" s="34" t="s">
        <v>108</v>
      </c>
      <c r="C406" s="23">
        <v>2</v>
      </c>
      <c r="D406" s="22">
        <v>110500</v>
      </c>
      <c r="E406" s="24">
        <v>221000</v>
      </c>
    </row>
    <row r="407" spans="1:5" ht="15.75" x14ac:dyDescent="0.25">
      <c r="A407" s="43"/>
      <c r="B407" s="34" t="s">
        <v>109</v>
      </c>
      <c r="C407" s="23">
        <v>3</v>
      </c>
      <c r="D407" s="22">
        <v>163000</v>
      </c>
      <c r="E407" s="24">
        <f>C407*D407</f>
        <v>489000</v>
      </c>
    </row>
    <row r="408" spans="1:5" ht="15.75" x14ac:dyDescent="0.25">
      <c r="A408" s="43"/>
      <c r="B408" s="34" t="s">
        <v>110</v>
      </c>
      <c r="C408" s="23">
        <v>6</v>
      </c>
      <c r="D408" s="22">
        <v>6175</v>
      </c>
      <c r="E408" s="24">
        <v>37050</v>
      </c>
    </row>
    <row r="409" spans="1:5" ht="15.75" x14ac:dyDescent="0.25">
      <c r="A409" s="43"/>
      <c r="B409" s="35" t="s">
        <v>80</v>
      </c>
      <c r="C409" s="44"/>
      <c r="D409" s="45"/>
      <c r="E409" s="46">
        <f>SUM(E400:E408)</f>
        <v>2331514</v>
      </c>
    </row>
    <row r="410" spans="1:5" ht="15.75" x14ac:dyDescent="0.25">
      <c r="A410" s="43"/>
      <c r="B410" s="35" t="s">
        <v>283</v>
      </c>
      <c r="C410" s="44"/>
      <c r="D410" s="45"/>
      <c r="E410" s="46">
        <f>E409</f>
        <v>2331514</v>
      </c>
    </row>
    <row r="411" spans="1:5" ht="39.75" customHeight="1" x14ac:dyDescent="0.2">
      <c r="A411" s="47" t="s">
        <v>97</v>
      </c>
      <c r="B411" s="58" t="s">
        <v>179</v>
      </c>
      <c r="C411" s="58"/>
      <c r="D411" s="58"/>
      <c r="E411" s="59"/>
    </row>
    <row r="412" spans="1:5" ht="15.75" x14ac:dyDescent="0.25">
      <c r="A412" s="43"/>
      <c r="B412" s="64" t="s">
        <v>69</v>
      </c>
      <c r="C412" s="64"/>
      <c r="D412" s="64"/>
      <c r="E412" s="65"/>
    </row>
    <row r="413" spans="1:5" ht="15.75" x14ac:dyDescent="0.25">
      <c r="A413" s="43"/>
      <c r="B413" s="34" t="s">
        <v>112</v>
      </c>
      <c r="C413" s="23">
        <v>1</v>
      </c>
      <c r="D413" s="22">
        <v>135300</v>
      </c>
      <c r="E413" s="24">
        <v>135300</v>
      </c>
    </row>
    <row r="414" spans="1:5" ht="15.75" x14ac:dyDescent="0.25">
      <c r="A414" s="43"/>
      <c r="B414" s="34" t="s">
        <v>114</v>
      </c>
      <c r="C414" s="23">
        <v>1</v>
      </c>
      <c r="D414" s="22">
        <v>5600</v>
      </c>
      <c r="E414" s="24">
        <v>5600</v>
      </c>
    </row>
    <row r="415" spans="1:5" ht="15.75" x14ac:dyDescent="0.25">
      <c r="A415" s="43"/>
      <c r="B415" s="34" t="s">
        <v>116</v>
      </c>
      <c r="C415" s="23">
        <v>2</v>
      </c>
      <c r="D415" s="22">
        <v>11125</v>
      </c>
      <c r="E415" s="24">
        <v>22250</v>
      </c>
    </row>
    <row r="416" spans="1:5" ht="15.75" x14ac:dyDescent="0.25">
      <c r="A416" s="43"/>
      <c r="B416" s="34" t="s">
        <v>70</v>
      </c>
      <c r="C416" s="23">
        <v>2</v>
      </c>
      <c r="D416" s="22">
        <v>10500</v>
      </c>
      <c r="E416" s="24">
        <v>21000</v>
      </c>
    </row>
    <row r="417" spans="1:5" ht="15.75" x14ac:dyDescent="0.25">
      <c r="A417" s="43"/>
      <c r="B417" s="35" t="s">
        <v>80</v>
      </c>
      <c r="C417" s="44"/>
      <c r="D417" s="45"/>
      <c r="E417" s="46">
        <f>SUM(E413:E416)</f>
        <v>184150</v>
      </c>
    </row>
    <row r="418" spans="1:5" ht="15.75" x14ac:dyDescent="0.25">
      <c r="A418" s="43"/>
      <c r="B418" s="35" t="s">
        <v>284</v>
      </c>
      <c r="C418" s="44"/>
      <c r="D418" s="45"/>
      <c r="E418" s="46">
        <f>E417</f>
        <v>184150</v>
      </c>
    </row>
    <row r="419" spans="1:5" ht="53.25" customHeight="1" x14ac:dyDescent="0.2">
      <c r="A419" s="47" t="s">
        <v>98</v>
      </c>
      <c r="B419" s="58" t="s">
        <v>363</v>
      </c>
      <c r="C419" s="58"/>
      <c r="D419" s="58"/>
      <c r="E419" s="59"/>
    </row>
    <row r="420" spans="1:5" ht="15.75" x14ac:dyDescent="0.25">
      <c r="A420" s="43"/>
      <c r="B420" s="64" t="s">
        <v>69</v>
      </c>
      <c r="C420" s="64"/>
      <c r="D420" s="64"/>
      <c r="E420" s="65"/>
    </row>
    <row r="421" spans="1:5" ht="15.75" x14ac:dyDescent="0.25">
      <c r="A421" s="43"/>
      <c r="B421" s="34" t="s">
        <v>117</v>
      </c>
      <c r="C421" s="23">
        <v>3</v>
      </c>
      <c r="D421" s="22">
        <v>58785</v>
      </c>
      <c r="E421" s="24">
        <v>176355</v>
      </c>
    </row>
    <row r="422" spans="1:5" ht="15.75" x14ac:dyDescent="0.25">
      <c r="A422" s="43"/>
      <c r="B422" s="34" t="s">
        <v>118</v>
      </c>
      <c r="C422" s="23">
        <v>2</v>
      </c>
      <c r="D422" s="22">
        <v>78000</v>
      </c>
      <c r="E422" s="24">
        <v>156000</v>
      </c>
    </row>
    <row r="423" spans="1:5" ht="15.75" x14ac:dyDescent="0.25">
      <c r="A423" s="43"/>
      <c r="B423" s="34" t="s">
        <v>119</v>
      </c>
      <c r="C423" s="23">
        <v>4</v>
      </c>
      <c r="D423" s="22">
        <v>4120</v>
      </c>
      <c r="E423" s="24">
        <f>C423*D423</f>
        <v>16480</v>
      </c>
    </row>
    <row r="424" spans="1:5" ht="15.75" x14ac:dyDescent="0.25">
      <c r="A424" s="43"/>
      <c r="B424" s="35" t="s">
        <v>80</v>
      </c>
      <c r="C424" s="44"/>
      <c r="D424" s="45"/>
      <c r="E424" s="46">
        <f>SUM(E421:E423)</f>
        <v>348835</v>
      </c>
    </row>
    <row r="425" spans="1:5" ht="15.75" x14ac:dyDescent="0.25">
      <c r="A425" s="43"/>
      <c r="B425" s="35" t="s">
        <v>285</v>
      </c>
      <c r="C425" s="44"/>
      <c r="D425" s="45"/>
      <c r="E425" s="46">
        <f>E424</f>
        <v>348835</v>
      </c>
    </row>
    <row r="426" spans="1:5" ht="59.25" customHeight="1" x14ac:dyDescent="0.2">
      <c r="A426" s="47" t="s">
        <v>100</v>
      </c>
      <c r="B426" s="58" t="s">
        <v>362</v>
      </c>
      <c r="C426" s="58"/>
      <c r="D426" s="58"/>
      <c r="E426" s="59"/>
    </row>
    <row r="427" spans="1:5" ht="15.75" x14ac:dyDescent="0.25">
      <c r="A427" s="43"/>
      <c r="B427" s="64" t="s">
        <v>69</v>
      </c>
      <c r="C427" s="64"/>
      <c r="D427" s="64"/>
      <c r="E427" s="65"/>
    </row>
    <row r="428" spans="1:5" ht="15.75" x14ac:dyDescent="0.25">
      <c r="A428" s="43"/>
      <c r="B428" s="34" t="s">
        <v>120</v>
      </c>
      <c r="C428" s="23">
        <v>1</v>
      </c>
      <c r="D428" s="22">
        <v>9000</v>
      </c>
      <c r="E428" s="24">
        <v>9000</v>
      </c>
    </row>
    <row r="429" spans="1:5" ht="15.75" x14ac:dyDescent="0.25">
      <c r="A429" s="43"/>
      <c r="B429" s="34" t="s">
        <v>121</v>
      </c>
      <c r="C429" s="23">
        <v>1</v>
      </c>
      <c r="D429" s="22">
        <v>14500</v>
      </c>
      <c r="E429" s="24">
        <v>14500</v>
      </c>
    </row>
    <row r="430" spans="1:5" ht="15.75" x14ac:dyDescent="0.25">
      <c r="A430" s="43"/>
      <c r="B430" s="34" t="s">
        <v>122</v>
      </c>
      <c r="C430" s="23">
        <v>2</v>
      </c>
      <c r="D430" s="22">
        <v>2700</v>
      </c>
      <c r="E430" s="24">
        <v>5400</v>
      </c>
    </row>
    <row r="431" spans="1:5" ht="15.75" x14ac:dyDescent="0.25">
      <c r="A431" s="43"/>
      <c r="B431" s="34" t="s">
        <v>123</v>
      </c>
      <c r="C431" s="23">
        <v>1</v>
      </c>
      <c r="D431" s="22">
        <v>5150</v>
      </c>
      <c r="E431" s="24">
        <v>5150</v>
      </c>
    </row>
    <row r="432" spans="1:5" ht="15.75" x14ac:dyDescent="0.25">
      <c r="A432" s="43"/>
      <c r="B432" s="34" t="s">
        <v>124</v>
      </c>
      <c r="C432" s="23">
        <v>1</v>
      </c>
      <c r="D432" s="22">
        <v>8000</v>
      </c>
      <c r="E432" s="24">
        <v>8000</v>
      </c>
    </row>
    <row r="433" spans="1:10" ht="15.75" x14ac:dyDescent="0.25">
      <c r="A433" s="43"/>
      <c r="B433" s="34" t="s">
        <v>125</v>
      </c>
      <c r="C433" s="23">
        <v>1</v>
      </c>
      <c r="D433" s="22">
        <v>1700</v>
      </c>
      <c r="E433" s="24">
        <v>1700</v>
      </c>
    </row>
    <row r="434" spans="1:10" ht="15.75" x14ac:dyDescent="0.25">
      <c r="A434" s="43"/>
      <c r="B434" s="35" t="s">
        <v>157</v>
      </c>
      <c r="C434" s="44"/>
      <c r="D434" s="45"/>
      <c r="E434" s="46">
        <f>SUM(E428:E433)</f>
        <v>43750</v>
      </c>
    </row>
    <row r="435" spans="1:10" ht="15.75" x14ac:dyDescent="0.25">
      <c r="A435" s="43"/>
      <c r="B435" s="35" t="s">
        <v>156</v>
      </c>
      <c r="C435" s="44"/>
      <c r="D435" s="45"/>
      <c r="E435" s="46">
        <f>E434</f>
        <v>43750</v>
      </c>
    </row>
    <row r="436" spans="1:10" ht="40.5" customHeight="1" x14ac:dyDescent="0.25">
      <c r="A436" s="42" t="s">
        <v>111</v>
      </c>
      <c r="B436" s="58" t="s">
        <v>286</v>
      </c>
      <c r="C436" s="58"/>
      <c r="D436" s="58"/>
      <c r="E436" s="59"/>
    </row>
    <row r="437" spans="1:10" ht="15.75" x14ac:dyDescent="0.25">
      <c r="A437" s="43"/>
      <c r="B437" s="64" t="s">
        <v>69</v>
      </c>
      <c r="C437" s="64"/>
      <c r="D437" s="64"/>
      <c r="E437" s="65"/>
    </row>
    <row r="438" spans="1:10" ht="15.75" x14ac:dyDescent="0.25">
      <c r="A438" s="43"/>
      <c r="B438" s="34" t="s">
        <v>287</v>
      </c>
      <c r="C438" s="40">
        <v>3</v>
      </c>
      <c r="D438" s="48">
        <v>160000</v>
      </c>
      <c r="E438" s="49">
        <f>C438*D438</f>
        <v>480000</v>
      </c>
    </row>
    <row r="439" spans="1:10" ht="15.75" x14ac:dyDescent="0.25">
      <c r="A439" s="43"/>
      <c r="B439" s="34" t="s">
        <v>288</v>
      </c>
      <c r="C439" s="40">
        <v>1</v>
      </c>
      <c r="D439" s="48">
        <v>45500</v>
      </c>
      <c r="E439" s="49">
        <f t="shared" ref="E439:E443" si="5">C439*D439</f>
        <v>45500</v>
      </c>
    </row>
    <row r="440" spans="1:10" ht="15.75" x14ac:dyDescent="0.25">
      <c r="A440" s="43"/>
      <c r="B440" s="34" t="s">
        <v>247</v>
      </c>
      <c r="C440" s="40">
        <v>3</v>
      </c>
      <c r="D440" s="48">
        <v>54000</v>
      </c>
      <c r="E440" s="49">
        <f t="shared" si="5"/>
        <v>162000</v>
      </c>
    </row>
    <row r="441" spans="1:10" ht="15.75" x14ac:dyDescent="0.25">
      <c r="A441" s="43"/>
      <c r="B441" s="34" t="s">
        <v>106</v>
      </c>
      <c r="C441" s="40">
        <v>1</v>
      </c>
      <c r="D441" s="48">
        <v>19300</v>
      </c>
      <c r="E441" s="49">
        <f t="shared" si="5"/>
        <v>19300</v>
      </c>
    </row>
    <row r="442" spans="1:10" ht="15.75" x14ac:dyDescent="0.25">
      <c r="A442" s="43"/>
      <c r="B442" s="34" t="s">
        <v>113</v>
      </c>
      <c r="C442" s="40">
        <v>1</v>
      </c>
      <c r="D442" s="48">
        <v>105000</v>
      </c>
      <c r="E442" s="49">
        <f t="shared" si="5"/>
        <v>105000</v>
      </c>
    </row>
    <row r="443" spans="1:10" ht="15.75" x14ac:dyDescent="0.25">
      <c r="A443" s="43"/>
      <c r="B443" s="34" t="s">
        <v>248</v>
      </c>
      <c r="C443" s="23">
        <v>3</v>
      </c>
      <c r="D443" s="48">
        <v>2700</v>
      </c>
      <c r="E443" s="49">
        <f t="shared" si="5"/>
        <v>8100</v>
      </c>
    </row>
    <row r="444" spans="1:10" ht="15.75" x14ac:dyDescent="0.25">
      <c r="A444" s="43"/>
      <c r="B444" s="35" t="s">
        <v>157</v>
      </c>
      <c r="C444" s="44"/>
      <c r="D444" s="45"/>
      <c r="E444" s="46">
        <f>SUM(E438:E443)</f>
        <v>819900</v>
      </c>
    </row>
    <row r="445" spans="1:10" ht="15.75" x14ac:dyDescent="0.2">
      <c r="A445" s="62" t="s">
        <v>161</v>
      </c>
      <c r="B445" s="63"/>
      <c r="C445" s="44"/>
      <c r="D445" s="45"/>
      <c r="E445" s="46">
        <f>E444</f>
        <v>819900</v>
      </c>
    </row>
    <row r="446" spans="1:10" ht="113.25" customHeight="1" x14ac:dyDescent="0.2">
      <c r="A446" s="17">
        <v>2</v>
      </c>
      <c r="B446" s="61" t="s">
        <v>364</v>
      </c>
      <c r="C446" s="61"/>
      <c r="D446" s="61"/>
      <c r="E446" s="18">
        <v>577992</v>
      </c>
      <c r="I446" s="4"/>
      <c r="J446" s="4"/>
    </row>
    <row r="447" spans="1:10" ht="56.25" customHeight="1" x14ac:dyDescent="0.2">
      <c r="A447" s="17">
        <v>3</v>
      </c>
      <c r="B447" s="61" t="s">
        <v>365</v>
      </c>
      <c r="C447" s="61"/>
      <c r="D447" s="61"/>
      <c r="E447" s="18">
        <v>263171</v>
      </c>
      <c r="I447" s="4"/>
      <c r="J447" s="4"/>
    </row>
    <row r="448" spans="1:10" ht="52.5" customHeight="1" x14ac:dyDescent="0.2">
      <c r="A448" s="17">
        <v>4</v>
      </c>
      <c r="B448" s="61" t="s">
        <v>366</v>
      </c>
      <c r="C448" s="61"/>
      <c r="D448" s="61"/>
      <c r="E448" s="18">
        <v>299751</v>
      </c>
      <c r="I448" s="4"/>
      <c r="J448" s="4"/>
    </row>
    <row r="449" spans="1:10" ht="50.25" customHeight="1" x14ac:dyDescent="0.2">
      <c r="A449" s="17">
        <v>5</v>
      </c>
      <c r="B449" s="61" t="s">
        <v>367</v>
      </c>
      <c r="C449" s="61"/>
      <c r="D449" s="61"/>
      <c r="E449" s="18">
        <v>520487</v>
      </c>
      <c r="I449" s="4"/>
      <c r="J449" s="4"/>
    </row>
    <row r="450" spans="1:10" ht="15.75" x14ac:dyDescent="0.2">
      <c r="A450" s="62" t="s">
        <v>135</v>
      </c>
      <c r="B450" s="63"/>
      <c r="C450" s="63"/>
      <c r="D450" s="63"/>
      <c r="E450" s="46">
        <f>E449+E448+E447+E446+E305</f>
        <v>36641840</v>
      </c>
      <c r="I450" s="4"/>
      <c r="J450" s="4"/>
    </row>
    <row r="451" spans="1:10" ht="15.75" x14ac:dyDescent="0.2">
      <c r="A451" s="62" t="s">
        <v>32</v>
      </c>
      <c r="B451" s="63"/>
      <c r="C451" s="63"/>
      <c r="D451" s="63"/>
      <c r="E451" s="21">
        <f>E450+E303</f>
        <v>45978711</v>
      </c>
    </row>
    <row r="452" spans="1:10" ht="16.5" thickBot="1" x14ac:dyDescent="0.25">
      <c r="A452" s="78" t="s">
        <v>294</v>
      </c>
      <c r="B452" s="79"/>
      <c r="C452" s="79"/>
      <c r="D452" s="79"/>
      <c r="E452" s="26">
        <f>7943850-699446</f>
        <v>7244404</v>
      </c>
    </row>
  </sheetData>
  <mergeCells count="334">
    <mergeCell ref="A1:E1"/>
    <mergeCell ref="B2:E2"/>
    <mergeCell ref="H2:K2"/>
    <mergeCell ref="B3:E3"/>
    <mergeCell ref="B4:E4"/>
    <mergeCell ref="B5:E5"/>
    <mergeCell ref="B17:D17"/>
    <mergeCell ref="A19:D19"/>
    <mergeCell ref="B20:D20"/>
    <mergeCell ref="B21:D21"/>
    <mergeCell ref="A22:E22"/>
    <mergeCell ref="A23:D23"/>
    <mergeCell ref="A24:E24"/>
    <mergeCell ref="A25:E25"/>
    <mergeCell ref="C7:E7"/>
    <mergeCell ref="B8:E8"/>
    <mergeCell ref="B9:E9"/>
    <mergeCell ref="A11:E11"/>
    <mergeCell ref="A12:E12"/>
    <mergeCell ref="B13:D13"/>
    <mergeCell ref="A14:D14"/>
    <mergeCell ref="B15:D15"/>
    <mergeCell ref="B16:D16"/>
    <mergeCell ref="B18:D18"/>
    <mergeCell ref="A26:E26"/>
    <mergeCell ref="B27:D27"/>
    <mergeCell ref="B28:D28"/>
    <mergeCell ref="A29:E29"/>
    <mergeCell ref="B30:D30"/>
    <mergeCell ref="B31:D31"/>
    <mergeCell ref="A32:E32"/>
    <mergeCell ref="B33:D33"/>
    <mergeCell ref="B34:D34"/>
    <mergeCell ref="A35:E35"/>
    <mergeCell ref="B36:D36"/>
    <mergeCell ref="B37:D37"/>
    <mergeCell ref="B38:D38"/>
    <mergeCell ref="A39:E39"/>
    <mergeCell ref="A40:E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9:D79"/>
    <mergeCell ref="A80:E80"/>
    <mergeCell ref="B81:D81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82:D82"/>
    <mergeCell ref="A83:E83"/>
    <mergeCell ref="B84:D84"/>
    <mergeCell ref="B85:D85"/>
    <mergeCell ref="B86:D86"/>
    <mergeCell ref="B87:D87"/>
    <mergeCell ref="B88:D88"/>
    <mergeCell ref="B89:D89"/>
    <mergeCell ref="A90:E90"/>
    <mergeCell ref="B91:D91"/>
    <mergeCell ref="B92:D92"/>
    <mergeCell ref="B93:D93"/>
    <mergeCell ref="B94:D94"/>
    <mergeCell ref="B95:D95"/>
    <mergeCell ref="B96:D96"/>
    <mergeCell ref="B97:D97"/>
    <mergeCell ref="A98:E98"/>
    <mergeCell ref="B99:D99"/>
    <mergeCell ref="B100:D100"/>
    <mergeCell ref="B101:D101"/>
    <mergeCell ref="B102:D102"/>
    <mergeCell ref="B103:D103"/>
    <mergeCell ref="B104:D104"/>
    <mergeCell ref="A105:E105"/>
    <mergeCell ref="B106:D106"/>
    <mergeCell ref="B107:D107"/>
    <mergeCell ref="B109:D109"/>
    <mergeCell ref="B108:D108"/>
    <mergeCell ref="A110:E110"/>
    <mergeCell ref="B111:D111"/>
    <mergeCell ref="B112:D112"/>
    <mergeCell ref="B113:D113"/>
    <mergeCell ref="B114:D114"/>
    <mergeCell ref="B115:D115"/>
    <mergeCell ref="B116:D116"/>
    <mergeCell ref="B117:D117"/>
    <mergeCell ref="A118:E118"/>
    <mergeCell ref="B119:D119"/>
    <mergeCell ref="B120:D120"/>
    <mergeCell ref="B121:D121"/>
    <mergeCell ref="B122:D122"/>
    <mergeCell ref="A123:E123"/>
    <mergeCell ref="B124:D124"/>
    <mergeCell ref="B125:D125"/>
    <mergeCell ref="B126:D126"/>
    <mergeCell ref="B127:D127"/>
    <mergeCell ref="A128:E128"/>
    <mergeCell ref="A129:E129"/>
    <mergeCell ref="B130:D130"/>
    <mergeCell ref="B131:D131"/>
    <mergeCell ref="B132:D132"/>
    <mergeCell ref="A133:E133"/>
    <mergeCell ref="B134:D134"/>
    <mergeCell ref="B135:D135"/>
    <mergeCell ref="B136:D136"/>
    <mergeCell ref="A137:E137"/>
    <mergeCell ref="A138:E138"/>
    <mergeCell ref="B139:D139"/>
    <mergeCell ref="B140:D140"/>
    <mergeCell ref="B144:D144"/>
    <mergeCell ref="A145:E145"/>
    <mergeCell ref="A146:E146"/>
    <mergeCell ref="B147:D147"/>
    <mergeCell ref="B148:D148"/>
    <mergeCell ref="A141:E141"/>
    <mergeCell ref="B142:D142"/>
    <mergeCell ref="B143:D143"/>
    <mergeCell ref="B149:D149"/>
    <mergeCell ref="B150:D150"/>
    <mergeCell ref="A151:E151"/>
    <mergeCell ref="A152:E152"/>
    <mergeCell ref="B153:D153"/>
    <mergeCell ref="B154:D154"/>
    <mergeCell ref="B155:D155"/>
    <mergeCell ref="B156:D156"/>
    <mergeCell ref="A157:E157"/>
    <mergeCell ref="A158:E158"/>
    <mergeCell ref="A159:E159"/>
    <mergeCell ref="A160:E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9:D189"/>
    <mergeCell ref="A190:E190"/>
    <mergeCell ref="B187:D187"/>
    <mergeCell ref="B188:D188"/>
    <mergeCell ref="B184:D184"/>
    <mergeCell ref="B185:D185"/>
    <mergeCell ref="B183:D183"/>
    <mergeCell ref="B186:D186"/>
    <mergeCell ref="B191:D191"/>
    <mergeCell ref="B192:D192"/>
    <mergeCell ref="A193:E193"/>
    <mergeCell ref="B194:D194"/>
    <mergeCell ref="B195:D195"/>
    <mergeCell ref="A196:E196"/>
    <mergeCell ref="B197:D197"/>
    <mergeCell ref="B198:D198"/>
    <mergeCell ref="B199:D199"/>
    <mergeCell ref="B201:D201"/>
    <mergeCell ref="A202:E202"/>
    <mergeCell ref="B203:D203"/>
    <mergeCell ref="B204:D204"/>
    <mergeCell ref="B205:D205"/>
    <mergeCell ref="B206:D206"/>
    <mergeCell ref="A207:E207"/>
    <mergeCell ref="B208:D208"/>
    <mergeCell ref="B209:D209"/>
    <mergeCell ref="B210:D210"/>
    <mergeCell ref="B211:D211"/>
    <mergeCell ref="A212:E212"/>
    <mergeCell ref="B213:D213"/>
    <mergeCell ref="B214:D214"/>
    <mergeCell ref="B216:D216"/>
    <mergeCell ref="A217:E217"/>
    <mergeCell ref="B218:D218"/>
    <mergeCell ref="B219:D219"/>
    <mergeCell ref="B215:D215"/>
    <mergeCell ref="B220:D220"/>
    <mergeCell ref="B222:D222"/>
    <mergeCell ref="A223:E223"/>
    <mergeCell ref="B224:D224"/>
    <mergeCell ref="B225:D225"/>
    <mergeCell ref="A226:E226"/>
    <mergeCell ref="B227:D227"/>
    <mergeCell ref="B228:D228"/>
    <mergeCell ref="B229:D229"/>
    <mergeCell ref="A230:E230"/>
    <mergeCell ref="B231:D231"/>
    <mergeCell ref="B232:D232"/>
    <mergeCell ref="A233:E233"/>
    <mergeCell ref="B234:D234"/>
    <mergeCell ref="B236:D236"/>
    <mergeCell ref="B237:D237"/>
    <mergeCell ref="A238:E238"/>
    <mergeCell ref="A239:E239"/>
    <mergeCell ref="B235:D235"/>
    <mergeCell ref="B257:D257"/>
    <mergeCell ref="B240:D240"/>
    <mergeCell ref="B241:D241"/>
    <mergeCell ref="B242:D242"/>
    <mergeCell ref="B243:D243"/>
    <mergeCell ref="A244:E244"/>
    <mergeCell ref="B245:D245"/>
    <mergeCell ref="B246:D246"/>
    <mergeCell ref="A247:E247"/>
    <mergeCell ref="B248:D248"/>
    <mergeCell ref="A451:D451"/>
    <mergeCell ref="A452:D452"/>
    <mergeCell ref="B399:E399"/>
    <mergeCell ref="B385:E385"/>
    <mergeCell ref="B393:E393"/>
    <mergeCell ref="B394:E394"/>
    <mergeCell ref="B398:E398"/>
    <mergeCell ref="B411:E411"/>
    <mergeCell ref="B412:E412"/>
    <mergeCell ref="B427:E427"/>
    <mergeCell ref="B436:E436"/>
    <mergeCell ref="B437:E437"/>
    <mergeCell ref="A445:B445"/>
    <mergeCell ref="B446:D446"/>
    <mergeCell ref="B447:D447"/>
    <mergeCell ref="B448:D448"/>
    <mergeCell ref="B449:D449"/>
    <mergeCell ref="A450:D450"/>
    <mergeCell ref="B426:E426"/>
    <mergeCell ref="B419:E419"/>
    <mergeCell ref="B420:E420"/>
    <mergeCell ref="A306:E306"/>
    <mergeCell ref="B308:E308"/>
    <mergeCell ref="B309:E309"/>
    <mergeCell ref="B270:D270"/>
    <mergeCell ref="B271:D271"/>
    <mergeCell ref="B272:D272"/>
    <mergeCell ref="A273:E273"/>
    <mergeCell ref="B296:D296"/>
    <mergeCell ref="B286:D286"/>
    <mergeCell ref="B287:D287"/>
    <mergeCell ref="B288:D288"/>
    <mergeCell ref="B289:D289"/>
    <mergeCell ref="B290:D290"/>
    <mergeCell ref="A291:D291"/>
    <mergeCell ref="A292:E292"/>
    <mergeCell ref="A274:E274"/>
    <mergeCell ref="B275:D275"/>
    <mergeCell ref="B276:D276"/>
    <mergeCell ref="B280:D280"/>
    <mergeCell ref="B200:D200"/>
    <mergeCell ref="B221:D221"/>
    <mergeCell ref="B305:D305"/>
    <mergeCell ref="B340:E340"/>
    <mergeCell ref="B344:E344"/>
    <mergeCell ref="B345:E345"/>
    <mergeCell ref="B359:E359"/>
    <mergeCell ref="B360:E360"/>
    <mergeCell ref="B279:D279"/>
    <mergeCell ref="B258:D258"/>
    <mergeCell ref="B262:D262"/>
    <mergeCell ref="A263:E263"/>
    <mergeCell ref="B264:E264"/>
    <mergeCell ref="B265:D265"/>
    <mergeCell ref="B266:D266"/>
    <mergeCell ref="B267:D267"/>
    <mergeCell ref="B281:D281"/>
    <mergeCell ref="A282:E282"/>
    <mergeCell ref="A283:E283"/>
    <mergeCell ref="B284:D284"/>
    <mergeCell ref="B285:D285"/>
    <mergeCell ref="A277:E277"/>
    <mergeCell ref="B278:D278"/>
    <mergeCell ref="B295:D295"/>
    <mergeCell ref="A268:E268"/>
    <mergeCell ref="A269:E269"/>
    <mergeCell ref="A259:E259"/>
    <mergeCell ref="B260:D260"/>
    <mergeCell ref="B261:D261"/>
    <mergeCell ref="B249:D249"/>
    <mergeCell ref="A250:E250"/>
    <mergeCell ref="B384:E384"/>
    <mergeCell ref="A298:E298"/>
    <mergeCell ref="A299:E299"/>
    <mergeCell ref="B300:D300"/>
    <mergeCell ref="B301:D301"/>
    <mergeCell ref="B302:D302"/>
    <mergeCell ref="A303:D303"/>
    <mergeCell ref="A304:E304"/>
    <mergeCell ref="B376:E376"/>
    <mergeCell ref="B377:E377"/>
    <mergeCell ref="A293:E293"/>
    <mergeCell ref="B251:D251"/>
    <mergeCell ref="B252:D252"/>
    <mergeCell ref="A253:E253"/>
    <mergeCell ref="B254:D254"/>
    <mergeCell ref="B255:D255"/>
    <mergeCell ref="A256:E256"/>
  </mergeCells>
  <phoneticPr fontId="1" type="noConversion"/>
  <pageMargins left="0.27559055118110237" right="0.19685039370078741" top="0.59055118110236227" bottom="0.23622047244094491" header="0" footer="0"/>
  <pageSetup paperSize="9" scale="92" firstPageNumber="168" fitToHeight="26" orientation="portrait" useFirstPageNumber="1" r:id="rId1"/>
  <headerFooter>
    <oddHeader>&amp;C&amp;P</oddHeader>
  </headerFooter>
  <rowBreaks count="2" manualBreakCount="2">
    <brk id="79" max="4" man="1"/>
    <brk id="2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7</vt:lpstr>
      <vt:lpstr>'Приложение № 7'!Заголовки_для_печати</vt:lpstr>
      <vt:lpstr>'Приложение №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2021-07-20T08:05:58Z</cp:lastPrinted>
  <dcterms:created xsi:type="dcterms:W3CDTF">2019-12-13T13:54:36Z</dcterms:created>
  <dcterms:modified xsi:type="dcterms:W3CDTF">2021-07-20T08:06:23Z</dcterms:modified>
</cp:coreProperties>
</file>