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Приложение №8.1 (118)" sheetId="1" r:id="rId1"/>
  </sheets>
  <definedNames>
    <definedName name="_xlnm.Print_Titles" localSheetId="0">'Приложение №8.1 (118)'!$12:$13</definedName>
    <definedName name="_xlnm.Print_Area" localSheetId="0">'Приложение №8.1 (118)'!$A$1:$I$117</definedName>
  </definedNames>
  <calcPr fullCalcOnLoad="1"/>
</workbook>
</file>

<file path=xl/sharedStrings.xml><?xml version="1.0" encoding="utf-8"?>
<sst xmlns="http://schemas.openxmlformats.org/spreadsheetml/2006/main" count="115" uniqueCount="106">
  <si>
    <t>№ п/п</t>
  </si>
  <si>
    <t>Статьи расходов</t>
  </si>
  <si>
    <t>РАСХОДЫ,  в т.ч.:</t>
  </si>
  <si>
    <t xml:space="preserve"> </t>
  </si>
  <si>
    <t>Ремонт дорог и дорожный сервис:</t>
  </si>
  <si>
    <t>КАПИТАЛЬНЫЙ   РЕМОНТ</t>
  </si>
  <si>
    <t>Магистральные автодороги</t>
  </si>
  <si>
    <t>СРЕДНИЙ  РЕМОНТ</t>
  </si>
  <si>
    <t>а)</t>
  </si>
  <si>
    <t>Республиканские автодороги</t>
  </si>
  <si>
    <t>Местные автодороги</t>
  </si>
  <si>
    <t>б)</t>
  </si>
  <si>
    <t>в)</t>
  </si>
  <si>
    <t>г)</t>
  </si>
  <si>
    <t>1)</t>
  </si>
  <si>
    <t>Объемы работ, кв.м</t>
  </si>
  <si>
    <t>Организация и функционирование уличного освещения</t>
  </si>
  <si>
    <t>3)</t>
  </si>
  <si>
    <t>Развитие производственных баз</t>
  </si>
  <si>
    <t>Резерв на ликвидацию аварийных ситуаций</t>
  </si>
  <si>
    <t>ДОХОДЫ, в т.ч.:</t>
  </si>
  <si>
    <t>Рыбница-Броштяны-гр. Украины, км 0-34 (выборочно)</t>
  </si>
  <si>
    <t xml:space="preserve">ВСЕГО РАСХОДОВ </t>
  </si>
  <si>
    <t>Тирасполь-Каменка, км 11-23 (выборочно)</t>
  </si>
  <si>
    <t>Тирасполь-Каменка, км 88-143 (выборочно)</t>
  </si>
  <si>
    <t>Содержание дорог общего пользования</t>
  </si>
  <si>
    <t>Брест-Кишинев-Одесса, км 935-956 (выборочно)</t>
  </si>
  <si>
    <t>Григориополь-Карманово-гр.Украины, км 2-23,4 (выборочно)</t>
  </si>
  <si>
    <t>Григориополь-Карманово-гр.Украины, км 0,7-2,0</t>
  </si>
  <si>
    <t>2)</t>
  </si>
  <si>
    <t>Рашково - Янтарное (перевод гравийно-щебеночного покрытия в асфальтобетонное)</t>
  </si>
  <si>
    <t>Рыбницкий район и                              г. Рыбница</t>
  </si>
  <si>
    <t>Каменский район и                               г. Каменка</t>
  </si>
  <si>
    <t>ремонт асфальтобетонных покрытий</t>
  </si>
  <si>
    <t>поверхностная обработка, устранение неровностей покрытия</t>
  </si>
  <si>
    <t>ремонт гравийных и щебеночных покрытий</t>
  </si>
  <si>
    <t>искусственные сооружения</t>
  </si>
  <si>
    <t>В том числе по районам,   руб.</t>
  </si>
  <si>
    <t>(Тирасполь-Каменка)-Спея-Бычок-Парканы, км 0-29 (выборочно)</t>
  </si>
  <si>
    <t>Гидирим-Воронково-гр. Украины, км 0-8 (выборочно)</t>
  </si>
  <si>
    <t>Автоподъезд к с. Плоть, км 0-1</t>
  </si>
  <si>
    <t>Ивановка-Кодыма, км 0-3 (выборочно)</t>
  </si>
  <si>
    <t>укрепление обочин</t>
  </si>
  <si>
    <t xml:space="preserve">технические средства регулирования дорожного движения </t>
  </si>
  <si>
    <t>Каменка- Кр. Октябрь, км 0-1 с устройством ливневой канализации</t>
  </si>
  <si>
    <t>Григориополь-Карманово-гр. Украины</t>
  </si>
  <si>
    <t>Рыбница-М.Ульма, км 3-4</t>
  </si>
  <si>
    <t>Воронково-Мокра, км 3-4</t>
  </si>
  <si>
    <t>Проектные работы</t>
  </si>
  <si>
    <r>
      <t xml:space="preserve">разметка проезжей части </t>
    </r>
    <r>
      <rPr>
        <sz val="12"/>
        <rFont val="Times New Roman"/>
        <family val="1"/>
      </rPr>
      <t>(км линии)</t>
    </r>
  </si>
  <si>
    <t>Тирасполь-Каменка, км 142+700-143+000</t>
  </si>
  <si>
    <t>Модернизация и реконструкция дорожных знаков (шт.)</t>
  </si>
  <si>
    <t>Установка дорожных знаков "Фотовидеофиксация" (шт.)</t>
  </si>
  <si>
    <t>4)</t>
  </si>
  <si>
    <t>ремонт тротуаров</t>
  </si>
  <si>
    <t>Ержово-цем.завод (ул. Быковского)</t>
  </si>
  <si>
    <t>На новые объекты по устройству уличного освещения в пределах населенных пунктов</t>
  </si>
  <si>
    <t>Григориополь-ский район и                               г. Григори-     ополь</t>
  </si>
  <si>
    <t>Тирасполь-Каменка, км 44-45 (у м-на "КВИНТ")</t>
  </si>
  <si>
    <t>работы по обеспечению безопасности дорожного движения, в т. ч.:</t>
  </si>
  <si>
    <t>ИТОГО по автомобиль-ным дорогам гос. собственнос-      ти,  руб.</t>
  </si>
  <si>
    <t>(Тирасполь-Каменка) - Гармацкое-Цыбулёвка,                               км 10-11 (перевод гравийного покрытия в цементобетонное)</t>
  </si>
  <si>
    <t>(Тирасполь-Каменка)-Гармацкое-Цыбулёвка,                                 км 10-11</t>
  </si>
  <si>
    <t>Днестровск - Первомайск (пос. Первомайск,                                  ул. Ленина)</t>
  </si>
  <si>
    <t>Рыбницкое ДЭСУ (а/д Тирасполь - Каменка, Рыбница-Броштяны-гр. Украины, в т.ч. обход                                               г. Рыбницы, местные автодороги)</t>
  </si>
  <si>
    <t>Тирасполь-Каменка (обход г. Григориополя), км 2-9 (выборочно)</t>
  </si>
  <si>
    <t>Тирасполь-Каменка, км 144-168 (выборочно)</t>
  </si>
  <si>
    <t>Каменка-Хрустовая-гр.Украины, км 5-12 (выборочно)</t>
  </si>
  <si>
    <t>Тирасполь-Каменка, км 168</t>
  </si>
  <si>
    <t>Тирасполь-Каменка, км 162-163 (выборочно)</t>
  </si>
  <si>
    <t>Тирасполь-Каменка, км 152</t>
  </si>
  <si>
    <t xml:space="preserve">  "О республиканском бюджете на 2021 год"</t>
  </si>
  <si>
    <t>Приложение № 8.1</t>
  </si>
  <si>
    <t>к Закону Приднестровской Молдавской Республики</t>
  </si>
  <si>
    <t>д)</t>
  </si>
  <si>
    <t>Программа развития дорожной отрасли по автомобильным дорогам  общего пользования, находящимся в государственной собственности,          на 2021 год</t>
  </si>
  <si>
    <t>Слободзей-     ский район и                          г. Слободзея</t>
  </si>
  <si>
    <t>Дубос-            сарский район и                              г. Дубос-     сары</t>
  </si>
  <si>
    <t>Субсидии республиканского бюджета на 2021 год</t>
  </si>
  <si>
    <t>в т.ч. Слободзейское ДЭСУ (г. Слободзея,                                       с. Карагаш, с. Суклея, с. Глиное, с. Коротное,                                              пос. Первомайск, с. Парканы, с. Малаешты)</t>
  </si>
  <si>
    <t>Григориопольский ДЭУ(с.Ташлык, г. Григориополь)</t>
  </si>
  <si>
    <t xml:space="preserve">Дубоссарский ДЭУ (а/д Тирасполь - Каменка, в т.ч. обход г. Дубоссары),  а/д Волгоград - Кишинев, местные автодороги  </t>
  </si>
  <si>
    <t>Ремонт кровли админ.здания котельной и проходной; установка ограждения территории ДЭУ из металлоконструкций</t>
  </si>
  <si>
    <t>Волгоград-Кишинев, км 1399-1401</t>
  </si>
  <si>
    <t>Тирасполь-Каменка, км 48-88 (выборочно)</t>
  </si>
  <si>
    <t>(Тирасполь-Каменка)-Гармацкое-Цыбулёвка, (выборочно)</t>
  </si>
  <si>
    <t>На новые объекты по устройству уличного освещения -выезд из г. Дубоссары</t>
  </si>
  <si>
    <t>7.</t>
  </si>
  <si>
    <t>Кредиторская задолженность</t>
  </si>
  <si>
    <t>Рыбница - Андреевка, км 8-9 (перевод гравийно-щебёночного покрытия в асфальтобетонное)</t>
  </si>
  <si>
    <t>Тирасполь - Незавертайловка (г. Слободзея,                                      с. Незавертайловка)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</si>
  <si>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</si>
  <si>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</si>
  <si>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</si>
  <si>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</si>
  <si>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23</t>
  </si>
  <si>
    <t>А/п к а/д Спея-Бычок-Парканы, км 0-2,7 (выборочно)</t>
  </si>
  <si>
    <t>(Тирасполь-Каменка) - Терновка, км 7-12 (выборочно)</t>
  </si>
  <si>
    <t>(Тирасполь-Каменка )-Спея-Бычок-Парканы (с.Красногорка), км 23-24 (перевод чёрногравийного покрытия в асфальтобетонное)</t>
  </si>
  <si>
    <t>Григориополь-Шипка-Карманово-Котовка,                                                     км 2-24 (выборочно)</t>
  </si>
  <si>
    <t>Тирасполь-Каменка, км 59,5-61 (ул. Свердлова)</t>
  </si>
  <si>
    <t>ГУП "Рыбницкое ДЭСУ", содержание дорог общего пользования (договор № 1 от 13.01.20г., рег.№ 46 от 24.01.20г.; договор № 5 от 07.02.20г., рег.№ 52 от 20.02.20г.)</t>
  </si>
  <si>
    <t>Буторы-Виноградное-Малаешты-Красногорка, км 0-20 (выборочно)</t>
  </si>
  <si>
    <t>Григориополь-Шипка-Карманово-Котовка,                                                  км 30-35,4</t>
  </si>
  <si>
    <t>ГУП "Григориопольский ДЭУ",  содержание дорог общего пользования (доп.соглашение                                                                  № 1 от 08.06.20г. к договору № 3/ПР, рег.                                               № 55/1 от 12.06.20г.)</t>
  </si>
  <si>
    <t>ГУП "Слободзейское ДЭСУ", содержание дорог общего пользования (доп.соглашение                                                                 № 1 от 13.07.20 г. к договору № 1/РС                                                                  от 17.02.20г., рег.№ 22  от 13.07.20г.)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</si>
</sst>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\ _L_-;\-* #,##0\ _L_-;_-* &quot;-&quot;\ _L_-;_-@_-"/>
    <numFmt numFmtId="172" formatCode="_-* #,##0.00\ &quot;L&quot;_-;\-* #,##0.00\ &quot;L&quot;_-;_-* &quot;-&quot;??\ &quot;L&quot;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\ _L_-;\-* #,##0.0\ _L_-;_-* &quot;-&quot;??\ _L_-;_-@_-"/>
    <numFmt numFmtId="189" formatCode="_-* #,##0\ _L_-;\-* #,##0\ _L_-;_-* &quot;-&quot;??\ _L_-;_-@_-"/>
  </numFmts>
  <fonts count="39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31" borderId="0" xfId="0" applyFont="1" applyFill="1" applyAlignment="1">
      <alignment vertical="center"/>
    </xf>
    <xf numFmtId="3" fontId="3" fillId="31" borderId="0" xfId="0" applyNumberFormat="1" applyFont="1" applyFill="1" applyAlignment="1">
      <alignment vertical="center"/>
    </xf>
    <xf numFmtId="0" fontId="2" fillId="31" borderId="0" xfId="0" applyFont="1" applyFill="1" applyAlignment="1">
      <alignment vertical="center"/>
    </xf>
    <xf numFmtId="0" fontId="3" fillId="31" borderId="0" xfId="0" applyFont="1" applyFill="1" applyBorder="1" applyAlignment="1">
      <alignment vertical="center"/>
    </xf>
    <xf numFmtId="3" fontId="3" fillId="31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182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/>
    </xf>
    <xf numFmtId="183" fontId="2" fillId="0" borderId="11" xfId="0" applyNumberFormat="1" applyFont="1" applyFill="1" applyBorder="1" applyAlignment="1">
      <alignment horizontal="right" vertical="center" wrapText="1"/>
    </xf>
    <xf numFmtId="183" fontId="3" fillId="0" borderId="1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183" fontId="2" fillId="0" borderId="1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left" vertical="center" wrapText="1"/>
    </xf>
    <xf numFmtId="3" fontId="38" fillId="0" borderId="11" xfId="0" applyNumberFormat="1" applyFont="1" applyFill="1" applyBorder="1" applyAlignment="1">
      <alignment horizontal="right" vertical="center" wrapText="1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vertical="center"/>
    </xf>
    <xf numFmtId="0" fontId="38" fillId="31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3" fontId="3" fillId="31" borderId="11" xfId="0" applyNumberFormat="1" applyFont="1" applyFill="1" applyBorder="1" applyAlignment="1">
      <alignment horizontal="right" vertical="center" wrapText="1"/>
    </xf>
    <xf numFmtId="1" fontId="2" fillId="31" borderId="11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183" fontId="3" fillId="0" borderId="20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 wrapText="1"/>
    </xf>
    <xf numFmtId="183" fontId="2" fillId="0" borderId="20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3" fillId="31" borderId="0" xfId="53" applyNumberFormat="1" applyFont="1" applyFill="1" applyAlignment="1">
      <alignment horizontal="right" vertical="center"/>
      <protection/>
    </xf>
    <xf numFmtId="182" fontId="2" fillId="0" borderId="22" xfId="0" applyNumberFormat="1" applyFont="1" applyFill="1" applyBorder="1" applyAlignment="1">
      <alignment horizontal="center" vertical="center" wrapText="1"/>
    </xf>
    <xf numFmtId="182" fontId="2" fillId="0" borderId="23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tabSelected="1" view="pageBreakPreview" zoomScale="75" zoomScaleSheetLayoutView="75" zoomScalePageLayoutView="0" workbookViewId="0" topLeftCell="A1">
      <pane xSplit="9" ySplit="13" topLeftCell="J116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A116" sqref="A116:IV116"/>
    </sheetView>
  </sheetViews>
  <sheetFormatPr defaultColWidth="8.75390625" defaultRowHeight="12.75"/>
  <cols>
    <col min="1" max="1" width="4.75390625" style="1" customWidth="1"/>
    <col min="2" max="2" width="44.375" style="1" customWidth="1"/>
    <col min="3" max="3" width="12.00390625" style="1" customWidth="1"/>
    <col min="4" max="4" width="14.125" style="1" customWidth="1"/>
    <col min="5" max="5" width="14.375" style="1" customWidth="1"/>
    <col min="6" max="6" width="16.125" style="1" customWidth="1"/>
    <col min="7" max="7" width="13.875" style="1" customWidth="1"/>
    <col min="8" max="9" width="12.875" style="1" customWidth="1"/>
    <col min="10" max="16384" width="8.75390625" style="1" customWidth="1"/>
  </cols>
  <sheetData>
    <row r="1" spans="8:9" ht="15.75">
      <c r="H1" s="63" t="s">
        <v>95</v>
      </c>
      <c r="I1" s="63"/>
    </row>
    <row r="2" spans="6:9" ht="15.75" customHeight="1">
      <c r="F2" s="63" t="s">
        <v>91</v>
      </c>
      <c r="G2" s="63"/>
      <c r="H2" s="63"/>
      <c r="I2" s="63"/>
    </row>
    <row r="3" spans="6:9" ht="15.75">
      <c r="F3" s="64" t="s">
        <v>92</v>
      </c>
      <c r="G3" s="64"/>
      <c r="H3" s="64"/>
      <c r="I3" s="64"/>
    </row>
    <row r="4" spans="6:9" ht="15.75">
      <c r="F4" s="64" t="s">
        <v>93</v>
      </c>
      <c r="G4" s="64"/>
      <c r="H4" s="64"/>
      <c r="I4" s="64"/>
    </row>
    <row r="5" spans="6:9" ht="15.75">
      <c r="F5" s="65" t="s">
        <v>94</v>
      </c>
      <c r="G5" s="65"/>
      <c r="H5" s="65"/>
      <c r="I5" s="65"/>
    </row>
    <row r="7" spans="1:9" ht="15.75">
      <c r="A7" s="66" t="s">
        <v>72</v>
      </c>
      <c r="B7" s="66"/>
      <c r="C7" s="66"/>
      <c r="D7" s="66"/>
      <c r="E7" s="66"/>
      <c r="F7" s="66"/>
      <c r="G7" s="66"/>
      <c r="H7" s="66"/>
      <c r="I7" s="66"/>
    </row>
    <row r="8" spans="1:9" ht="15.75">
      <c r="A8" s="66" t="s">
        <v>73</v>
      </c>
      <c r="B8" s="66"/>
      <c r="C8" s="66"/>
      <c r="D8" s="66"/>
      <c r="E8" s="66"/>
      <c r="F8" s="66"/>
      <c r="G8" s="66"/>
      <c r="H8" s="66"/>
      <c r="I8" s="66"/>
    </row>
    <row r="9" spans="1:9" ht="15.75">
      <c r="A9" s="66" t="s">
        <v>71</v>
      </c>
      <c r="B9" s="66"/>
      <c r="C9" s="66"/>
      <c r="D9" s="66"/>
      <c r="E9" s="66"/>
      <c r="F9" s="66"/>
      <c r="G9" s="66"/>
      <c r="H9" s="66"/>
      <c r="I9" s="66"/>
    </row>
    <row r="10" ht="9.75" customHeight="1">
      <c r="A10" s="5"/>
    </row>
    <row r="11" spans="1:9" ht="43.5" customHeight="1" thickBot="1">
      <c r="A11" s="78" t="s">
        <v>75</v>
      </c>
      <c r="B11" s="78"/>
      <c r="C11" s="78"/>
      <c r="D11" s="78"/>
      <c r="E11" s="78"/>
      <c r="F11" s="78"/>
      <c r="G11" s="78"/>
      <c r="H11" s="78"/>
      <c r="I11" s="78"/>
    </row>
    <row r="12" spans="1:9" ht="22.5" customHeight="1">
      <c r="A12" s="70" t="s">
        <v>0</v>
      </c>
      <c r="B12" s="72" t="s">
        <v>1</v>
      </c>
      <c r="C12" s="74" t="s">
        <v>15</v>
      </c>
      <c r="D12" s="76" t="s">
        <v>60</v>
      </c>
      <c r="E12" s="67" t="s">
        <v>37</v>
      </c>
      <c r="F12" s="68"/>
      <c r="G12" s="68"/>
      <c r="H12" s="68"/>
      <c r="I12" s="69"/>
    </row>
    <row r="13" spans="1:9" ht="78" customHeight="1">
      <c r="A13" s="71"/>
      <c r="B13" s="73"/>
      <c r="C13" s="75"/>
      <c r="D13" s="77"/>
      <c r="E13" s="7" t="s">
        <v>76</v>
      </c>
      <c r="F13" s="7" t="s">
        <v>57</v>
      </c>
      <c r="G13" s="7" t="s">
        <v>77</v>
      </c>
      <c r="H13" s="7" t="s">
        <v>31</v>
      </c>
      <c r="I13" s="8" t="s">
        <v>32</v>
      </c>
    </row>
    <row r="14" spans="1:9" ht="15.75">
      <c r="A14" s="29"/>
      <c r="B14" s="6" t="s">
        <v>20</v>
      </c>
      <c r="C14" s="10"/>
      <c r="D14" s="11"/>
      <c r="E14" s="12"/>
      <c r="F14" s="12"/>
      <c r="G14" s="12"/>
      <c r="H14" s="12"/>
      <c r="I14" s="37"/>
    </row>
    <row r="15" spans="1:9" ht="31.5">
      <c r="A15" s="29"/>
      <c r="B15" s="13" t="s">
        <v>78</v>
      </c>
      <c r="C15" s="10"/>
      <c r="D15" s="14">
        <f>SUM(E15:I15)</f>
        <v>53112812</v>
      </c>
      <c r="E15" s="14">
        <f>15873812+173037</f>
        <v>16046849</v>
      </c>
      <c r="F15" s="14">
        <f>7353709+78587</f>
        <v>7432296</v>
      </c>
      <c r="G15" s="14">
        <f>8925738+96331</f>
        <v>9022069</v>
      </c>
      <c r="H15" s="14">
        <f>12517948+131050</f>
        <v>12648998</v>
      </c>
      <c r="I15" s="41">
        <f>7875563+87037</f>
        <v>7962600</v>
      </c>
    </row>
    <row r="16" spans="1:9" ht="7.5" customHeight="1">
      <c r="A16" s="29"/>
      <c r="B16" s="15"/>
      <c r="C16" s="10"/>
      <c r="D16" s="17"/>
      <c r="E16" s="17"/>
      <c r="F16" s="17"/>
      <c r="G16" s="17"/>
      <c r="H16" s="17"/>
      <c r="I16" s="38"/>
    </row>
    <row r="17" spans="1:9" ht="15.75">
      <c r="A17" s="29"/>
      <c r="B17" s="18" t="s">
        <v>2</v>
      </c>
      <c r="C17" s="10" t="s">
        <v>3</v>
      </c>
      <c r="D17" s="14"/>
      <c r="E17" s="14"/>
      <c r="F17" s="14"/>
      <c r="G17" s="14"/>
      <c r="H17" s="14"/>
      <c r="I17" s="38"/>
    </row>
    <row r="18" spans="1:9" s="3" customFormat="1" ht="15.75">
      <c r="A18" s="31">
        <v>1</v>
      </c>
      <c r="B18" s="15" t="s">
        <v>4</v>
      </c>
      <c r="C18" s="19">
        <f>C20+C32</f>
        <v>101302</v>
      </c>
      <c r="D18" s="17">
        <f>SUM(E18:I18)</f>
        <v>23138573</v>
      </c>
      <c r="E18" s="17">
        <f>E20+E32</f>
        <v>6488487</v>
      </c>
      <c r="F18" s="17">
        <f>F20+F32</f>
        <v>3576854</v>
      </c>
      <c r="G18" s="17">
        <f>G20+G32</f>
        <v>3425207</v>
      </c>
      <c r="H18" s="17">
        <f>H20+H32</f>
        <v>5744031</v>
      </c>
      <c r="I18" s="39">
        <f>I20+I32</f>
        <v>3903994</v>
      </c>
    </row>
    <row r="19" spans="1:9" s="3" customFormat="1" ht="10.5" customHeight="1">
      <c r="A19" s="30"/>
      <c r="B19" s="15"/>
      <c r="C19" s="16"/>
      <c r="D19" s="17"/>
      <c r="E19" s="17"/>
      <c r="F19" s="17"/>
      <c r="G19" s="17"/>
      <c r="H19" s="17"/>
      <c r="I19" s="40"/>
    </row>
    <row r="20" spans="1:9" s="3" customFormat="1" ht="15.75">
      <c r="A20" s="30"/>
      <c r="B20" s="15" t="s">
        <v>5</v>
      </c>
      <c r="C20" s="19">
        <f>C21+C24</f>
        <v>13332</v>
      </c>
      <c r="D20" s="17">
        <f>SUM(E20:I20)</f>
        <v>7073014</v>
      </c>
      <c r="E20" s="17">
        <f>E21+E24</f>
        <v>1800000</v>
      </c>
      <c r="F20" s="17">
        <f>F21+F24</f>
        <v>610125</v>
      </c>
      <c r="G20" s="17">
        <f>G21+G24</f>
        <v>2261931</v>
      </c>
      <c r="H20" s="17">
        <f>H21+H24</f>
        <v>1400958</v>
      </c>
      <c r="I20" s="39">
        <f>I21+I24</f>
        <v>1000000</v>
      </c>
    </row>
    <row r="21" spans="1:9" ht="15.75">
      <c r="A21" s="29"/>
      <c r="B21" s="15" t="s">
        <v>6</v>
      </c>
      <c r="C21" s="19">
        <f>C22+C23</f>
        <v>1500</v>
      </c>
      <c r="D21" s="17">
        <f>SUM(E21:I21)</f>
        <v>1603931</v>
      </c>
      <c r="E21" s="17">
        <f>E22+E23</f>
        <v>0</v>
      </c>
      <c r="F21" s="17">
        <f>F22+F23</f>
        <v>0</v>
      </c>
      <c r="G21" s="17">
        <f>G22+G23</f>
        <v>803931</v>
      </c>
      <c r="H21" s="17">
        <f>H22+H23</f>
        <v>800000</v>
      </c>
      <c r="I21" s="39">
        <f>I22+I23</f>
        <v>0</v>
      </c>
    </row>
    <row r="22" spans="1:9" ht="15.75">
      <c r="A22" s="29"/>
      <c r="B22" s="13" t="s">
        <v>50</v>
      </c>
      <c r="C22" s="20">
        <v>1000</v>
      </c>
      <c r="D22" s="14">
        <f>SUM(E22:I22)</f>
        <v>800000</v>
      </c>
      <c r="E22" s="14"/>
      <c r="F22" s="14"/>
      <c r="G22" s="14"/>
      <c r="H22" s="14">
        <v>800000</v>
      </c>
      <c r="I22" s="38"/>
    </row>
    <row r="23" spans="1:9" ht="15.75">
      <c r="A23" s="29"/>
      <c r="B23" s="13" t="s">
        <v>83</v>
      </c>
      <c r="C23" s="20">
        <v>500</v>
      </c>
      <c r="D23" s="14">
        <f>SUM(E23:I23)</f>
        <v>803931</v>
      </c>
      <c r="E23" s="14"/>
      <c r="F23" s="14"/>
      <c r="G23" s="14">
        <f>1161657-12844-344882</f>
        <v>803931</v>
      </c>
      <c r="H23" s="14"/>
      <c r="I23" s="38"/>
    </row>
    <row r="24" spans="1:9" ht="15.75">
      <c r="A24" s="29"/>
      <c r="B24" s="15" t="s">
        <v>10</v>
      </c>
      <c r="C24" s="19">
        <f>C25+C27+C28+C29+C30</f>
        <v>11832</v>
      </c>
      <c r="D24" s="17">
        <f aca="true" t="shared" si="0" ref="D24:D30">SUM(E24:I24)</f>
        <v>5469083</v>
      </c>
      <c r="E24" s="17">
        <f>E25+E26+E27+E28+E29+E30</f>
        <v>1800000</v>
      </c>
      <c r="F24" s="17">
        <f>F25+F26+F27+F28+F29+F30</f>
        <v>610125</v>
      </c>
      <c r="G24" s="17">
        <f>G25+G26+G27+G28+G29+G30</f>
        <v>1458000</v>
      </c>
      <c r="H24" s="17">
        <f>H25+H26+H27+H28+H29+H30</f>
        <v>600958</v>
      </c>
      <c r="I24" s="39">
        <f>I25+I26+I27+I28+I29+I30</f>
        <v>1000000</v>
      </c>
    </row>
    <row r="25" spans="1:9" s="3" customFormat="1" ht="31.5">
      <c r="A25" s="29"/>
      <c r="B25" s="13" t="s">
        <v>96</v>
      </c>
      <c r="C25" s="20">
        <v>1592</v>
      </c>
      <c r="D25" s="14">
        <f t="shared" si="0"/>
        <v>1200000</v>
      </c>
      <c r="E25" s="14">
        <v>1200000</v>
      </c>
      <c r="F25" s="14"/>
      <c r="G25" s="14"/>
      <c r="H25" s="14"/>
      <c r="I25" s="40"/>
    </row>
    <row r="26" spans="1:9" s="3" customFormat="1" ht="31.5">
      <c r="A26" s="29"/>
      <c r="B26" s="13" t="s">
        <v>97</v>
      </c>
      <c r="C26" s="20">
        <v>796</v>
      </c>
      <c r="D26" s="14">
        <f t="shared" si="0"/>
        <v>600000</v>
      </c>
      <c r="E26" s="14">
        <v>600000</v>
      </c>
      <c r="F26" s="14"/>
      <c r="G26" s="14"/>
      <c r="H26" s="14"/>
      <c r="I26" s="40"/>
    </row>
    <row r="27" spans="1:9" s="3" customFormat="1" ht="63">
      <c r="A27" s="29"/>
      <c r="B27" s="13" t="s">
        <v>98</v>
      </c>
      <c r="C27" s="20">
        <f>2560-220</f>
        <v>2340</v>
      </c>
      <c r="D27" s="14">
        <f t="shared" si="0"/>
        <v>610125</v>
      </c>
      <c r="E27" s="14"/>
      <c r="F27" s="14">
        <v>610125</v>
      </c>
      <c r="G27" s="14"/>
      <c r="H27" s="14"/>
      <c r="I27" s="40"/>
    </row>
    <row r="28" spans="1:9" ht="63">
      <c r="A28" s="29"/>
      <c r="B28" s="13" t="s">
        <v>61</v>
      </c>
      <c r="C28" s="20">
        <v>3850</v>
      </c>
      <c r="D28" s="14">
        <f t="shared" si="0"/>
        <v>1458000</v>
      </c>
      <c r="E28" s="14"/>
      <c r="F28" s="14"/>
      <c r="G28" s="14">
        <v>1458000</v>
      </c>
      <c r="H28" s="14"/>
      <c r="I28" s="38"/>
    </row>
    <row r="29" spans="1:9" ht="47.25">
      <c r="A29" s="29"/>
      <c r="B29" s="13" t="s">
        <v>89</v>
      </c>
      <c r="C29" s="20">
        <v>2380</v>
      </c>
      <c r="D29" s="14">
        <f t="shared" si="0"/>
        <v>600958</v>
      </c>
      <c r="E29" s="14"/>
      <c r="F29" s="14"/>
      <c r="G29" s="14"/>
      <c r="H29" s="14">
        <v>600958</v>
      </c>
      <c r="I29" s="38"/>
    </row>
    <row r="30" spans="1:9" ht="47.25">
      <c r="A30" s="29"/>
      <c r="B30" s="13" t="s">
        <v>30</v>
      </c>
      <c r="C30" s="20">
        <v>1670</v>
      </c>
      <c r="D30" s="14">
        <f t="shared" si="0"/>
        <v>1000000</v>
      </c>
      <c r="E30" s="14"/>
      <c r="F30" s="14"/>
      <c r="G30" s="14"/>
      <c r="H30" s="14"/>
      <c r="I30" s="38">
        <v>1000000</v>
      </c>
    </row>
    <row r="31" spans="1:9" ht="15.75">
      <c r="A31" s="30"/>
      <c r="B31" s="13"/>
      <c r="C31" s="20"/>
      <c r="D31" s="14"/>
      <c r="E31" s="14"/>
      <c r="F31" s="14"/>
      <c r="G31" s="14"/>
      <c r="H31" s="14"/>
      <c r="I31" s="38"/>
    </row>
    <row r="32" spans="1:9" ht="15.75">
      <c r="A32" s="30"/>
      <c r="B32" s="15" t="s">
        <v>7</v>
      </c>
      <c r="C32" s="19">
        <f>C33+C38+C62+C67+C69</f>
        <v>87970</v>
      </c>
      <c r="D32" s="17">
        <f>SUM(E32:I32)</f>
        <v>16065559</v>
      </c>
      <c r="E32" s="17">
        <f>E33+E38+E62+E67+E69</f>
        <v>4688487</v>
      </c>
      <c r="F32" s="17">
        <f>F33+F38+F62+F67+F69</f>
        <v>2966729</v>
      </c>
      <c r="G32" s="17">
        <f>G33+G38+G62+G67+G69</f>
        <v>1163276</v>
      </c>
      <c r="H32" s="17">
        <f>H33+H38+H62+H67+H69</f>
        <v>4343073</v>
      </c>
      <c r="I32" s="39">
        <f>I33+I38+I62+I67+I69</f>
        <v>2903994</v>
      </c>
    </row>
    <row r="33" spans="1:9" s="3" customFormat="1" ht="31.5">
      <c r="A33" s="31" t="s">
        <v>8</v>
      </c>
      <c r="B33" s="15" t="s">
        <v>34</v>
      </c>
      <c r="C33" s="19">
        <f>C34</f>
        <v>40400</v>
      </c>
      <c r="D33" s="17">
        <f>SUM(E33:I33)</f>
        <v>3488487</v>
      </c>
      <c r="E33" s="17">
        <f>E34</f>
        <v>3488487</v>
      </c>
      <c r="F33" s="17">
        <f>F34</f>
        <v>0</v>
      </c>
      <c r="G33" s="17">
        <f>G34</f>
        <v>0</v>
      </c>
      <c r="H33" s="17">
        <f>H34</f>
        <v>0</v>
      </c>
      <c r="I33" s="39">
        <f>I34</f>
        <v>0</v>
      </c>
    </row>
    <row r="34" spans="1:9" ht="15.75">
      <c r="A34" s="32"/>
      <c r="B34" s="15" t="s">
        <v>6</v>
      </c>
      <c r="C34" s="19">
        <f>C35+C36</f>
        <v>40400</v>
      </c>
      <c r="D34" s="17">
        <f>SUM(E34:I34)</f>
        <v>3488487</v>
      </c>
      <c r="E34" s="17">
        <f>E35+E36</f>
        <v>3488487</v>
      </c>
      <c r="F34" s="17">
        <f>F35+F36</f>
        <v>0</v>
      </c>
      <c r="G34" s="17">
        <f>G35+G36</f>
        <v>0</v>
      </c>
      <c r="H34" s="17">
        <f>H35+H36</f>
        <v>0</v>
      </c>
      <c r="I34" s="39">
        <f>I35+I36</f>
        <v>0</v>
      </c>
    </row>
    <row r="35" spans="1:9" ht="31.5">
      <c r="A35" s="32"/>
      <c r="B35" s="13" t="s">
        <v>23</v>
      </c>
      <c r="C35" s="20">
        <v>9000</v>
      </c>
      <c r="D35" s="14">
        <f>SUM(E35:I35)</f>
        <v>2000000</v>
      </c>
      <c r="E35" s="14">
        <v>2000000</v>
      </c>
      <c r="F35" s="14"/>
      <c r="G35" s="14"/>
      <c r="H35" s="14"/>
      <c r="I35" s="38"/>
    </row>
    <row r="36" spans="1:9" ht="31.5">
      <c r="A36" s="32"/>
      <c r="B36" s="13" t="s">
        <v>26</v>
      </c>
      <c r="C36" s="20">
        <f>30900+500</f>
        <v>31400</v>
      </c>
      <c r="D36" s="14">
        <f>SUM(E36:I36)</f>
        <v>1488487</v>
      </c>
      <c r="E36" s="14">
        <f>1466238+22249</f>
        <v>1488487</v>
      </c>
      <c r="F36" s="14"/>
      <c r="G36" s="14"/>
      <c r="H36" s="14"/>
      <c r="I36" s="38"/>
    </row>
    <row r="37" spans="1:9" s="49" customFormat="1" ht="6.75" customHeight="1">
      <c r="A37" s="44"/>
      <c r="B37" s="45"/>
      <c r="C37" s="46"/>
      <c r="D37" s="47"/>
      <c r="E37" s="47"/>
      <c r="F37" s="47"/>
      <c r="G37" s="47"/>
      <c r="H37" s="47"/>
      <c r="I37" s="48"/>
    </row>
    <row r="38" spans="1:9" ht="15.75">
      <c r="A38" s="31" t="s">
        <v>11</v>
      </c>
      <c r="B38" s="15" t="s">
        <v>33</v>
      </c>
      <c r="C38" s="19">
        <f>C39+C45+C52</f>
        <v>29600</v>
      </c>
      <c r="D38" s="17">
        <f aca="true" t="shared" si="1" ref="D38:D43">SUM(E38:I38)</f>
        <v>7824317</v>
      </c>
      <c r="E38" s="17">
        <f>E39+E45+E52</f>
        <v>0</v>
      </c>
      <c r="F38" s="17">
        <f>F39+F45+F52</f>
        <v>1829000</v>
      </c>
      <c r="G38" s="17">
        <f>G39+G45+G52</f>
        <v>233012</v>
      </c>
      <c r="H38" s="17">
        <f>H39+H45+H52</f>
        <v>3758311</v>
      </c>
      <c r="I38" s="39">
        <f>I39+I45+I52</f>
        <v>2003994</v>
      </c>
    </row>
    <row r="39" spans="1:9" ht="15.75">
      <c r="A39" s="30"/>
      <c r="B39" s="15" t="s">
        <v>6</v>
      </c>
      <c r="C39" s="19">
        <f>C40+C41+C42+C43+C44</f>
        <v>9829</v>
      </c>
      <c r="D39" s="17">
        <f>SUM(E39:I39)</f>
        <v>2608264</v>
      </c>
      <c r="E39" s="17">
        <f>E40+E41+E42+E43+E44</f>
        <v>0</v>
      </c>
      <c r="F39" s="17">
        <f>F40+F41+F42+F43+F44</f>
        <v>779000</v>
      </c>
      <c r="G39" s="17">
        <f>G40+G41+G42+G43+G44</f>
        <v>233012</v>
      </c>
      <c r="H39" s="17">
        <f>H40+H41+H42+H43+H44</f>
        <v>992258</v>
      </c>
      <c r="I39" s="39">
        <f>I40+I41+I42+I43+I44</f>
        <v>603994</v>
      </c>
    </row>
    <row r="40" spans="1:9" ht="31.5">
      <c r="A40" s="29"/>
      <c r="B40" s="13" t="s">
        <v>58</v>
      </c>
      <c r="C40" s="20">
        <f>2200-76</f>
        <v>2124</v>
      </c>
      <c r="D40" s="14">
        <f t="shared" si="1"/>
        <v>629000</v>
      </c>
      <c r="E40" s="14"/>
      <c r="F40" s="14">
        <v>629000</v>
      </c>
      <c r="G40" s="14"/>
      <c r="H40" s="14"/>
      <c r="I40" s="38"/>
    </row>
    <row r="41" spans="1:9" ht="31.5">
      <c r="A41" s="29"/>
      <c r="B41" s="13" t="s">
        <v>65</v>
      </c>
      <c r="C41" s="20">
        <f>496-171</f>
        <v>325</v>
      </c>
      <c r="D41" s="14">
        <f t="shared" si="1"/>
        <v>150000</v>
      </c>
      <c r="E41" s="14"/>
      <c r="F41" s="14">
        <v>150000</v>
      </c>
      <c r="G41" s="14"/>
      <c r="H41" s="14"/>
      <c r="I41" s="38"/>
    </row>
    <row r="42" spans="1:9" ht="31.5">
      <c r="A42" s="29"/>
      <c r="B42" s="13" t="s">
        <v>84</v>
      </c>
      <c r="C42" s="20">
        <v>550</v>
      </c>
      <c r="D42" s="14">
        <f t="shared" si="1"/>
        <v>233012</v>
      </c>
      <c r="E42" s="14"/>
      <c r="F42" s="14"/>
      <c r="G42" s="14">
        <v>233012</v>
      </c>
      <c r="H42" s="14"/>
      <c r="I42" s="38"/>
    </row>
    <row r="43" spans="1:9" ht="31.5">
      <c r="A43" s="29"/>
      <c r="B43" s="13" t="s">
        <v>24</v>
      </c>
      <c r="C43" s="20">
        <f>4400-450</f>
        <v>3950</v>
      </c>
      <c r="D43" s="14">
        <f t="shared" si="1"/>
        <v>992258</v>
      </c>
      <c r="E43" s="14"/>
      <c r="F43" s="14"/>
      <c r="G43" s="14"/>
      <c r="H43" s="14">
        <f>1000654-8396</f>
        <v>992258</v>
      </c>
      <c r="I43" s="38"/>
    </row>
    <row r="44" spans="1:9" s="50" customFormat="1" ht="31.5">
      <c r="A44" s="29"/>
      <c r="B44" s="36" t="s">
        <v>66</v>
      </c>
      <c r="C44" s="20">
        <v>2880</v>
      </c>
      <c r="D44" s="14">
        <f>E44+F44+G44+H44+I44</f>
        <v>603994</v>
      </c>
      <c r="E44" s="14"/>
      <c r="F44" s="14"/>
      <c r="G44" s="14"/>
      <c r="H44" s="14"/>
      <c r="I44" s="38">
        <f>516957+87037</f>
        <v>603994</v>
      </c>
    </row>
    <row r="45" spans="1:9" ht="15.75">
      <c r="A45" s="29"/>
      <c r="B45" s="15" t="s">
        <v>9</v>
      </c>
      <c r="C45" s="19">
        <f>C46+C47+C48+C49+C50+C51</f>
        <v>10261</v>
      </c>
      <c r="D45" s="17">
        <f>SUM(E45:I45)</f>
        <v>2349138</v>
      </c>
      <c r="E45" s="17">
        <f>E46+E47+E48+E49+E50+E51</f>
        <v>0</v>
      </c>
      <c r="F45" s="17">
        <f>F46+F47+F48+F49+F50+F51</f>
        <v>850000</v>
      </c>
      <c r="G45" s="17">
        <f>G46+G47+G48+G49+G50+G51</f>
        <v>0</v>
      </c>
      <c r="H45" s="17">
        <f>H46+H47+H48+H49+H50+H51</f>
        <v>1099138</v>
      </c>
      <c r="I45" s="39">
        <f>I46+I47+I48+I49+I50+I51</f>
        <v>400000</v>
      </c>
    </row>
    <row r="46" spans="1:9" ht="31.5">
      <c r="A46" s="29"/>
      <c r="B46" s="13" t="s">
        <v>38</v>
      </c>
      <c r="C46" s="20">
        <v>870</v>
      </c>
      <c r="D46" s="14">
        <f aca="true" t="shared" si="2" ref="D46:D51">SUM(E46:I46)</f>
        <v>300000</v>
      </c>
      <c r="E46" s="14"/>
      <c r="F46" s="14">
        <v>300000</v>
      </c>
      <c r="G46" s="14"/>
      <c r="H46" s="14"/>
      <c r="I46" s="38"/>
    </row>
    <row r="47" spans="1:9" ht="31.5">
      <c r="A47" s="29"/>
      <c r="B47" s="13" t="s">
        <v>28</v>
      </c>
      <c r="C47" s="20">
        <v>1212</v>
      </c>
      <c r="D47" s="14">
        <f t="shared" si="2"/>
        <v>400000</v>
      </c>
      <c r="E47" s="14"/>
      <c r="F47" s="14">
        <v>400000</v>
      </c>
      <c r="G47" s="14"/>
      <c r="H47" s="14"/>
      <c r="I47" s="38"/>
    </row>
    <row r="48" spans="1:9" ht="31.5">
      <c r="A48" s="29"/>
      <c r="B48" s="13" t="s">
        <v>27</v>
      </c>
      <c r="C48" s="20">
        <v>404</v>
      </c>
      <c r="D48" s="14">
        <f t="shared" si="2"/>
        <v>150000</v>
      </c>
      <c r="E48" s="14"/>
      <c r="F48" s="14">
        <v>150000</v>
      </c>
      <c r="G48" s="14"/>
      <c r="H48" s="14"/>
      <c r="I48" s="38"/>
    </row>
    <row r="49" spans="1:9" ht="31.5">
      <c r="A49" s="29"/>
      <c r="B49" s="13" t="s">
        <v>21</v>
      </c>
      <c r="C49" s="20">
        <f>2840+215</f>
        <v>3055</v>
      </c>
      <c r="D49" s="14">
        <f t="shared" si="2"/>
        <v>649799</v>
      </c>
      <c r="E49" s="14"/>
      <c r="F49" s="14"/>
      <c r="G49" s="14"/>
      <c r="H49" s="14">
        <f>558848+90951</f>
        <v>649799</v>
      </c>
      <c r="I49" s="38"/>
    </row>
    <row r="50" spans="1:9" ht="31.5">
      <c r="A50" s="29"/>
      <c r="B50" s="13" t="s">
        <v>39</v>
      </c>
      <c r="C50" s="20">
        <v>2400</v>
      </c>
      <c r="D50" s="14">
        <f t="shared" si="2"/>
        <v>449339</v>
      </c>
      <c r="E50" s="14"/>
      <c r="F50" s="14"/>
      <c r="G50" s="14"/>
      <c r="H50" s="14">
        <v>449339</v>
      </c>
      <c r="I50" s="38"/>
    </row>
    <row r="51" spans="1:9" s="35" customFormat="1" ht="31.5">
      <c r="A51" s="29"/>
      <c r="B51" s="36" t="s">
        <v>67</v>
      </c>
      <c r="C51" s="20">
        <v>2320</v>
      </c>
      <c r="D51" s="14">
        <f t="shared" si="2"/>
        <v>400000</v>
      </c>
      <c r="E51" s="14"/>
      <c r="F51" s="14"/>
      <c r="G51" s="14"/>
      <c r="H51" s="14"/>
      <c r="I51" s="38">
        <v>400000</v>
      </c>
    </row>
    <row r="52" spans="1:9" ht="15.75">
      <c r="A52" s="29"/>
      <c r="B52" s="15" t="s">
        <v>10</v>
      </c>
      <c r="C52" s="19">
        <f>C53+C54+C55+C56+C57+C58+C59+C60</f>
        <v>9510</v>
      </c>
      <c r="D52" s="17">
        <f>SUM(E52:I52)</f>
        <v>2866915</v>
      </c>
      <c r="E52" s="17">
        <f>E53+E54+E55+E56+E57+E58+E59+E60</f>
        <v>0</v>
      </c>
      <c r="F52" s="17">
        <f>F53+F54+F55+F56+F57+F58+F59+F60</f>
        <v>200000</v>
      </c>
      <c r="G52" s="17">
        <f>G53+G54+G55+G56+G57+G58+G59+G60</f>
        <v>0</v>
      </c>
      <c r="H52" s="17">
        <f>H53+H54+H55+H56+H57+H58+H59+H60</f>
        <v>1666915</v>
      </c>
      <c r="I52" s="39">
        <f>I53+I54+I55+I56+I57+I58+I59+I60</f>
        <v>1000000</v>
      </c>
    </row>
    <row r="53" spans="1:9" ht="47.25">
      <c r="A53" s="29"/>
      <c r="B53" s="13" t="s">
        <v>99</v>
      </c>
      <c r="C53" s="20">
        <v>440</v>
      </c>
      <c r="D53" s="14">
        <f aca="true" t="shared" si="3" ref="D53:D84">SUM(E53:I53)</f>
        <v>200000</v>
      </c>
      <c r="E53" s="14"/>
      <c r="F53" s="14">
        <v>200000</v>
      </c>
      <c r="G53" s="14"/>
      <c r="H53" s="14"/>
      <c r="I53" s="38"/>
    </row>
    <row r="54" spans="1:9" s="3" customFormat="1" ht="15.75">
      <c r="A54" s="29"/>
      <c r="B54" s="13" t="s">
        <v>40</v>
      </c>
      <c r="C54" s="20">
        <v>1200</v>
      </c>
      <c r="D54" s="14">
        <f t="shared" si="3"/>
        <v>239688</v>
      </c>
      <c r="E54" s="14"/>
      <c r="F54" s="14"/>
      <c r="G54" s="14"/>
      <c r="H54" s="14">
        <f>223301+16387</f>
        <v>239688</v>
      </c>
      <c r="I54" s="40"/>
    </row>
    <row r="55" spans="1:9" ht="15.75">
      <c r="A55" s="29"/>
      <c r="B55" s="13" t="s">
        <v>46</v>
      </c>
      <c r="C55" s="20">
        <v>1520</v>
      </c>
      <c r="D55" s="14">
        <f t="shared" si="3"/>
        <v>299999</v>
      </c>
      <c r="E55" s="14"/>
      <c r="F55" s="14"/>
      <c r="G55" s="14"/>
      <c r="H55" s="14">
        <f>284134+15865</f>
        <v>299999</v>
      </c>
      <c r="I55" s="38"/>
    </row>
    <row r="56" spans="1:9" s="3" customFormat="1" ht="15.75">
      <c r="A56" s="29"/>
      <c r="B56" s="13" t="s">
        <v>47</v>
      </c>
      <c r="C56" s="20">
        <v>2850</v>
      </c>
      <c r="D56" s="14">
        <f t="shared" si="3"/>
        <v>570670</v>
      </c>
      <c r="E56" s="14"/>
      <c r="F56" s="14"/>
      <c r="G56" s="14"/>
      <c r="H56" s="14">
        <f>530496+40174</f>
        <v>570670</v>
      </c>
      <c r="I56" s="40"/>
    </row>
    <row r="57" spans="1:9" ht="15.75">
      <c r="A57" s="29"/>
      <c r="B57" s="13" t="s">
        <v>41</v>
      </c>
      <c r="C57" s="20">
        <v>2800</v>
      </c>
      <c r="D57" s="14">
        <f t="shared" si="3"/>
        <v>556558</v>
      </c>
      <c r="E57" s="14"/>
      <c r="F57" s="17"/>
      <c r="G57" s="17"/>
      <c r="H57" s="14">
        <f>520282+36276</f>
        <v>556558</v>
      </c>
      <c r="I57" s="38"/>
    </row>
    <row r="58" spans="1:9" s="3" customFormat="1" ht="15.75" hidden="1">
      <c r="A58" s="29"/>
      <c r="B58" s="13"/>
      <c r="C58" s="20"/>
      <c r="D58" s="14"/>
      <c r="E58" s="14"/>
      <c r="F58" s="17"/>
      <c r="G58" s="17"/>
      <c r="H58" s="14"/>
      <c r="I58" s="40"/>
    </row>
    <row r="59" spans="1:9" ht="15.75" hidden="1">
      <c r="A59" s="29"/>
      <c r="B59" s="13"/>
      <c r="C59" s="20"/>
      <c r="D59" s="14">
        <f t="shared" si="3"/>
        <v>0</v>
      </c>
      <c r="E59" s="14"/>
      <c r="F59" s="17"/>
      <c r="G59" s="17"/>
      <c r="H59" s="14"/>
      <c r="I59" s="38"/>
    </row>
    <row r="60" spans="1:9" s="35" customFormat="1" ht="31.5">
      <c r="A60" s="29"/>
      <c r="B60" s="13" t="s">
        <v>44</v>
      </c>
      <c r="C60" s="20">
        <v>700</v>
      </c>
      <c r="D60" s="14">
        <f t="shared" si="3"/>
        <v>1000000</v>
      </c>
      <c r="E60" s="14"/>
      <c r="F60" s="17"/>
      <c r="G60" s="17"/>
      <c r="H60" s="14"/>
      <c r="I60" s="38">
        <v>1000000</v>
      </c>
    </row>
    <row r="61" spans="1:9" ht="7.5" customHeight="1">
      <c r="A61" s="29"/>
      <c r="B61" s="13"/>
      <c r="C61" s="20"/>
      <c r="D61" s="14"/>
      <c r="E61" s="11"/>
      <c r="F61" s="11"/>
      <c r="G61" s="11"/>
      <c r="H61" s="11"/>
      <c r="I61" s="38"/>
    </row>
    <row r="62" spans="1:9" ht="31.5">
      <c r="A62" s="31" t="s">
        <v>12</v>
      </c>
      <c r="B62" s="15" t="s">
        <v>35</v>
      </c>
      <c r="C62" s="19">
        <f>C63</f>
        <v>17970</v>
      </c>
      <c r="D62" s="17">
        <f t="shared" si="3"/>
        <v>685264</v>
      </c>
      <c r="E62" s="17">
        <f>E63</f>
        <v>0</v>
      </c>
      <c r="F62" s="17">
        <f>F63</f>
        <v>600000</v>
      </c>
      <c r="G62" s="17">
        <f>G63</f>
        <v>85264</v>
      </c>
      <c r="H62" s="17">
        <f>H63</f>
        <v>0</v>
      </c>
      <c r="I62" s="39">
        <f>I63</f>
        <v>0</v>
      </c>
    </row>
    <row r="63" spans="1:9" ht="15.75">
      <c r="A63" s="30"/>
      <c r="B63" s="15" t="s">
        <v>10</v>
      </c>
      <c r="C63" s="17">
        <f>SUM(C64:C66)</f>
        <v>17970</v>
      </c>
      <c r="D63" s="17">
        <f t="shared" si="3"/>
        <v>685264</v>
      </c>
      <c r="E63" s="17">
        <f>SUM(E64:E66)</f>
        <v>0</v>
      </c>
      <c r="F63" s="17">
        <f>SUM(F64:F66)</f>
        <v>600000</v>
      </c>
      <c r="G63" s="17">
        <f>SUM(G64:G66)</f>
        <v>85264</v>
      </c>
      <c r="H63" s="17">
        <f>SUM(H64:H66)</f>
        <v>0</v>
      </c>
      <c r="I63" s="39">
        <f>SUM(I64:I66)</f>
        <v>0</v>
      </c>
    </row>
    <row r="64" spans="1:9" ht="31.5">
      <c r="A64" s="29"/>
      <c r="B64" s="13" t="s">
        <v>102</v>
      </c>
      <c r="C64" s="20">
        <v>8400</v>
      </c>
      <c r="D64" s="14">
        <f t="shared" si="3"/>
        <v>300000</v>
      </c>
      <c r="E64" s="14"/>
      <c r="F64" s="14">
        <v>300000</v>
      </c>
      <c r="G64" s="14"/>
      <c r="H64" s="14"/>
      <c r="I64" s="38"/>
    </row>
    <row r="65" spans="1:9" s="3" customFormat="1" ht="47.25">
      <c r="A65" s="30"/>
      <c r="B65" s="13" t="s">
        <v>103</v>
      </c>
      <c r="C65" s="20">
        <v>8400</v>
      </c>
      <c r="D65" s="14">
        <f t="shared" si="3"/>
        <v>300000</v>
      </c>
      <c r="E65" s="14"/>
      <c r="F65" s="14">
        <v>300000</v>
      </c>
      <c r="G65" s="14"/>
      <c r="H65" s="17"/>
      <c r="I65" s="40"/>
    </row>
    <row r="66" spans="1:9" ht="31.5">
      <c r="A66" s="30"/>
      <c r="B66" s="13" t="s">
        <v>85</v>
      </c>
      <c r="C66" s="20">
        <f>0+1170</f>
        <v>1170</v>
      </c>
      <c r="D66" s="14">
        <f t="shared" si="3"/>
        <v>85264</v>
      </c>
      <c r="E66" s="14"/>
      <c r="F66" s="14"/>
      <c r="G66" s="14">
        <f>0+85264</f>
        <v>85264</v>
      </c>
      <c r="H66" s="17"/>
      <c r="I66" s="38"/>
    </row>
    <row r="67" spans="1:9" ht="15.75">
      <c r="A67" s="31" t="s">
        <v>13</v>
      </c>
      <c r="B67" s="15" t="s">
        <v>36</v>
      </c>
      <c r="C67" s="17"/>
      <c r="D67" s="17"/>
      <c r="E67" s="17"/>
      <c r="F67" s="17"/>
      <c r="G67" s="17"/>
      <c r="H67" s="17"/>
      <c r="I67" s="38"/>
    </row>
    <row r="68" spans="1:9" ht="15.75">
      <c r="A68" s="33"/>
      <c r="B68" s="15"/>
      <c r="C68" s="19"/>
      <c r="D68" s="17"/>
      <c r="E68" s="17"/>
      <c r="F68" s="17"/>
      <c r="G68" s="17"/>
      <c r="H68" s="17"/>
      <c r="I68" s="38"/>
    </row>
    <row r="69" spans="1:9" ht="31.5">
      <c r="A69" s="31" t="s">
        <v>74</v>
      </c>
      <c r="B69" s="15" t="s">
        <v>59</v>
      </c>
      <c r="C69" s="19"/>
      <c r="D69" s="17">
        <f t="shared" si="3"/>
        <v>4067491</v>
      </c>
      <c r="E69" s="17">
        <f>E70+E71+E76+E80</f>
        <v>1200000</v>
      </c>
      <c r="F69" s="17">
        <f>F70+F71+F76+F80</f>
        <v>537729</v>
      </c>
      <c r="G69" s="17">
        <f>G70+G71+G76+G80</f>
        <v>845000</v>
      </c>
      <c r="H69" s="17">
        <f>H70+H71+H76+H80</f>
        <v>584762</v>
      </c>
      <c r="I69" s="39">
        <f>I70+I71+I76+I80</f>
        <v>900000</v>
      </c>
    </row>
    <row r="70" spans="1:9" ht="15.75">
      <c r="A70" s="30" t="s">
        <v>14</v>
      </c>
      <c r="B70" s="15" t="s">
        <v>49</v>
      </c>
      <c r="C70" s="52">
        <f>100+53.23+31.5+16.5+42</f>
        <v>243.23</v>
      </c>
      <c r="D70" s="17">
        <f t="shared" si="3"/>
        <v>1342054</v>
      </c>
      <c r="E70" s="17">
        <v>600000</v>
      </c>
      <c r="F70" s="17">
        <v>280000</v>
      </c>
      <c r="G70" s="17">
        <v>290000</v>
      </c>
      <c r="H70" s="17">
        <f>60000+112054</f>
        <v>172054</v>
      </c>
      <c r="I70" s="39">
        <v>0</v>
      </c>
    </row>
    <row r="71" spans="1:9" ht="15.75">
      <c r="A71" s="30" t="s">
        <v>29</v>
      </c>
      <c r="B71" s="15" t="s">
        <v>42</v>
      </c>
      <c r="C71" s="19">
        <v>1680</v>
      </c>
      <c r="D71" s="17">
        <f t="shared" si="3"/>
        <v>305000</v>
      </c>
      <c r="E71" s="17">
        <f>E72+E74</f>
        <v>0</v>
      </c>
      <c r="F71" s="17">
        <f>F72+F74</f>
        <v>200000</v>
      </c>
      <c r="G71" s="17">
        <f>G72+G74</f>
        <v>105000</v>
      </c>
      <c r="H71" s="17">
        <f>H72+H74</f>
        <v>0</v>
      </c>
      <c r="I71" s="39">
        <f>I72+I74</f>
        <v>0</v>
      </c>
    </row>
    <row r="72" spans="1:9" s="4" customFormat="1" ht="15.75">
      <c r="A72" s="29"/>
      <c r="B72" s="15" t="s">
        <v>9</v>
      </c>
      <c r="C72" s="19">
        <v>0</v>
      </c>
      <c r="D72" s="17">
        <f t="shared" si="3"/>
        <v>200000</v>
      </c>
      <c r="E72" s="17">
        <f>E73</f>
        <v>0</v>
      </c>
      <c r="F72" s="17">
        <f>F73</f>
        <v>200000</v>
      </c>
      <c r="G72" s="17">
        <f>G73</f>
        <v>0</v>
      </c>
      <c r="H72" s="17">
        <f>H73</f>
        <v>0</v>
      </c>
      <c r="I72" s="39">
        <f>I73</f>
        <v>0</v>
      </c>
    </row>
    <row r="73" spans="1:9" s="3" customFormat="1" ht="15.75">
      <c r="A73" s="29"/>
      <c r="B73" s="13" t="s">
        <v>45</v>
      </c>
      <c r="C73" s="20"/>
      <c r="D73" s="14">
        <f t="shared" si="3"/>
        <v>200000</v>
      </c>
      <c r="E73" s="14"/>
      <c r="F73" s="14">
        <v>200000</v>
      </c>
      <c r="G73" s="14"/>
      <c r="H73" s="14"/>
      <c r="I73" s="40"/>
    </row>
    <row r="74" spans="1:9" ht="15.75">
      <c r="A74" s="29"/>
      <c r="B74" s="15" t="s">
        <v>10</v>
      </c>
      <c r="C74" s="19">
        <v>1680</v>
      </c>
      <c r="D74" s="17">
        <f t="shared" si="3"/>
        <v>105000</v>
      </c>
      <c r="E74" s="17">
        <f>E75</f>
        <v>0</v>
      </c>
      <c r="F74" s="17">
        <f>F75</f>
        <v>0</v>
      </c>
      <c r="G74" s="17">
        <f>G75</f>
        <v>105000</v>
      </c>
      <c r="H74" s="17">
        <f>H75</f>
        <v>0</v>
      </c>
      <c r="I74" s="39">
        <f>I75</f>
        <v>0</v>
      </c>
    </row>
    <row r="75" spans="1:9" ht="31.5">
      <c r="A75" s="29"/>
      <c r="B75" s="9" t="s">
        <v>62</v>
      </c>
      <c r="C75" s="20">
        <v>1680</v>
      </c>
      <c r="D75" s="14">
        <f t="shared" si="3"/>
        <v>105000</v>
      </c>
      <c r="E75" s="14"/>
      <c r="F75" s="14"/>
      <c r="G75" s="14">
        <v>105000</v>
      </c>
      <c r="H75" s="14"/>
      <c r="I75" s="38"/>
    </row>
    <row r="76" spans="1:9" ht="31.5">
      <c r="A76" s="30" t="s">
        <v>17</v>
      </c>
      <c r="B76" s="15" t="s">
        <v>43</v>
      </c>
      <c r="C76" s="19">
        <f>C77+C78+C79</f>
        <v>144</v>
      </c>
      <c r="D76" s="17">
        <f>SUM(E76:I76)</f>
        <v>223774</v>
      </c>
      <c r="E76" s="17">
        <f>E77+E78+E79</f>
        <v>0</v>
      </c>
      <c r="F76" s="17">
        <f>F77+F78+F79</f>
        <v>57729</v>
      </c>
      <c r="G76" s="17">
        <f>G77+G78+G79</f>
        <v>0</v>
      </c>
      <c r="H76" s="17">
        <f>H77+H78+H79</f>
        <v>166045</v>
      </c>
      <c r="I76" s="39">
        <f>I77+I78+I79</f>
        <v>0</v>
      </c>
    </row>
    <row r="77" spans="1:9" ht="31.5">
      <c r="A77" s="29"/>
      <c r="B77" s="13" t="s">
        <v>51</v>
      </c>
      <c r="C77" s="20">
        <f>190-98</f>
        <v>92</v>
      </c>
      <c r="D77" s="14">
        <f t="shared" si="3"/>
        <v>166045</v>
      </c>
      <c r="E77" s="14"/>
      <c r="F77" s="14"/>
      <c r="G77" s="14"/>
      <c r="H77" s="14">
        <f>254030-87985</f>
        <v>166045</v>
      </c>
      <c r="I77" s="38"/>
    </row>
    <row r="78" spans="1:9" ht="31.5">
      <c r="A78" s="29"/>
      <c r="B78" s="13" t="s">
        <v>52</v>
      </c>
      <c r="C78" s="20">
        <f>68+52+32-100</f>
        <v>52</v>
      </c>
      <c r="D78" s="14">
        <f t="shared" si="3"/>
        <v>57729</v>
      </c>
      <c r="E78" s="14">
        <f>62628+8046-70674</f>
        <v>0</v>
      </c>
      <c r="F78" s="14">
        <v>57729</v>
      </c>
      <c r="G78" s="14">
        <f>24000-24000</f>
        <v>0</v>
      </c>
      <c r="H78" s="14"/>
      <c r="I78" s="38"/>
    </row>
    <row r="79" spans="1:9" ht="15.75">
      <c r="A79" s="29"/>
      <c r="B79" s="13"/>
      <c r="C79" s="20"/>
      <c r="D79" s="14"/>
      <c r="E79" s="14"/>
      <c r="F79" s="14"/>
      <c r="G79" s="14"/>
      <c r="H79" s="14"/>
      <c r="I79" s="38"/>
    </row>
    <row r="80" spans="1:9" ht="15.75">
      <c r="A80" s="30" t="s">
        <v>53</v>
      </c>
      <c r="B80" s="15" t="s">
        <v>54</v>
      </c>
      <c r="C80" s="19">
        <f>C81+C87+C92</f>
        <v>4240</v>
      </c>
      <c r="D80" s="17">
        <f t="shared" si="3"/>
        <v>2196663</v>
      </c>
      <c r="E80" s="17">
        <f>E81+E87+E92</f>
        <v>600000</v>
      </c>
      <c r="F80" s="17">
        <f>F81+F87+F92</f>
        <v>0</v>
      </c>
      <c r="G80" s="17">
        <f>G81+G87+G92</f>
        <v>450000</v>
      </c>
      <c r="H80" s="17">
        <f>H81+H87+H92</f>
        <v>246663</v>
      </c>
      <c r="I80" s="39">
        <f>I81+I87+I92</f>
        <v>900000</v>
      </c>
    </row>
    <row r="81" spans="1:9" ht="15.75">
      <c r="A81" s="29"/>
      <c r="B81" s="15" t="s">
        <v>6</v>
      </c>
      <c r="C81" s="19">
        <f>C85+C86+C82+C83+C84</f>
        <v>2850</v>
      </c>
      <c r="D81" s="17">
        <f t="shared" si="3"/>
        <v>1350000</v>
      </c>
      <c r="E81" s="17">
        <f>E85+E86</f>
        <v>0</v>
      </c>
      <c r="F81" s="17">
        <f>F85+F86</f>
        <v>0</v>
      </c>
      <c r="G81" s="17">
        <f>G85+G86</f>
        <v>450000</v>
      </c>
      <c r="H81" s="17">
        <f>H85+H86</f>
        <v>0</v>
      </c>
      <c r="I81" s="39">
        <f>I82+I83+I84</f>
        <v>900000</v>
      </c>
    </row>
    <row r="82" spans="1:9" s="35" customFormat="1" ht="31.5">
      <c r="A82" s="29"/>
      <c r="B82" s="36" t="s">
        <v>69</v>
      </c>
      <c r="C82" s="51">
        <v>650</v>
      </c>
      <c r="D82" s="14">
        <f t="shared" si="3"/>
        <v>300000</v>
      </c>
      <c r="E82" s="17"/>
      <c r="F82" s="17"/>
      <c r="G82" s="17"/>
      <c r="H82" s="17"/>
      <c r="I82" s="41">
        <v>300000</v>
      </c>
    </row>
    <row r="83" spans="1:9" s="35" customFormat="1" ht="15.75">
      <c r="A83" s="29"/>
      <c r="B83" s="36" t="s">
        <v>70</v>
      </c>
      <c r="C83" s="51">
        <v>650</v>
      </c>
      <c r="D83" s="14">
        <f t="shared" si="3"/>
        <v>300000</v>
      </c>
      <c r="E83" s="17"/>
      <c r="F83" s="17"/>
      <c r="G83" s="17"/>
      <c r="H83" s="17"/>
      <c r="I83" s="41">
        <v>300000</v>
      </c>
    </row>
    <row r="84" spans="1:9" s="35" customFormat="1" ht="15.75">
      <c r="A84" s="29"/>
      <c r="B84" s="36" t="s">
        <v>68</v>
      </c>
      <c r="C84" s="51">
        <v>650</v>
      </c>
      <c r="D84" s="14">
        <f t="shared" si="3"/>
        <v>300000</v>
      </c>
      <c r="E84" s="17"/>
      <c r="F84" s="17"/>
      <c r="G84" s="17"/>
      <c r="H84" s="17"/>
      <c r="I84" s="41">
        <v>300000</v>
      </c>
    </row>
    <row r="85" spans="1:9" ht="15.75" hidden="1">
      <c r="A85" s="29"/>
      <c r="B85" s="13"/>
      <c r="C85" s="20"/>
      <c r="D85" s="14"/>
      <c r="E85" s="14"/>
      <c r="F85" s="14"/>
      <c r="G85" s="14"/>
      <c r="H85" s="14"/>
      <c r="I85" s="38"/>
    </row>
    <row r="86" spans="1:9" ht="31.5">
      <c r="A86" s="29"/>
      <c r="B86" s="13" t="s">
        <v>100</v>
      </c>
      <c r="C86" s="20">
        <v>900</v>
      </c>
      <c r="D86" s="14">
        <f aca="true" t="shared" si="4" ref="D86:D117">SUM(E86:I86)</f>
        <v>450000</v>
      </c>
      <c r="E86" s="14"/>
      <c r="F86" s="14"/>
      <c r="G86" s="14">
        <v>450000</v>
      </c>
      <c r="H86" s="14"/>
      <c r="I86" s="38"/>
    </row>
    <row r="87" spans="1:9" ht="15.75">
      <c r="A87" s="29"/>
      <c r="B87" s="15" t="s">
        <v>9</v>
      </c>
      <c r="C87" s="19">
        <f>C88+C89+C90+C91</f>
        <v>1050</v>
      </c>
      <c r="D87" s="17">
        <f>SUM(E87:I87)</f>
        <v>600000</v>
      </c>
      <c r="E87" s="17">
        <f>E88+E89+E90</f>
        <v>600000</v>
      </c>
      <c r="F87" s="17">
        <f>F88+F90+F91</f>
        <v>0</v>
      </c>
      <c r="G87" s="17">
        <f>G88+G90+G91</f>
        <v>0</v>
      </c>
      <c r="H87" s="17">
        <f>H88+H90+H91</f>
        <v>0</v>
      </c>
      <c r="I87" s="39">
        <f>I88+I90+I91</f>
        <v>0</v>
      </c>
    </row>
    <row r="88" spans="1:9" ht="37.5" customHeight="1">
      <c r="A88" s="29"/>
      <c r="B88" s="13" t="s">
        <v>90</v>
      </c>
      <c r="C88" s="20">
        <v>850</v>
      </c>
      <c r="D88" s="14">
        <f t="shared" si="4"/>
        <v>470000</v>
      </c>
      <c r="E88" s="14">
        <f>322000+148000</f>
        <v>470000</v>
      </c>
      <c r="F88" s="14"/>
      <c r="G88" s="14"/>
      <c r="H88" s="14"/>
      <c r="I88" s="38"/>
    </row>
    <row r="89" spans="1:9" ht="33" customHeight="1">
      <c r="A89" s="29"/>
      <c r="B89" s="21" t="s">
        <v>63</v>
      </c>
      <c r="C89" s="20">
        <v>200</v>
      </c>
      <c r="D89" s="14">
        <f t="shared" si="4"/>
        <v>130000</v>
      </c>
      <c r="E89" s="14">
        <v>130000</v>
      </c>
      <c r="F89" s="14"/>
      <c r="G89" s="14"/>
      <c r="H89" s="14"/>
      <c r="I89" s="38"/>
    </row>
    <row r="90" spans="1:9" ht="15.75" hidden="1">
      <c r="A90" s="29"/>
      <c r="B90" s="22"/>
      <c r="C90" s="46">
        <v>0</v>
      </c>
      <c r="D90" s="14">
        <f t="shared" si="4"/>
        <v>0</v>
      </c>
      <c r="E90" s="14"/>
      <c r="F90" s="14"/>
      <c r="G90" s="14"/>
      <c r="H90" s="14"/>
      <c r="I90" s="38"/>
    </row>
    <row r="91" spans="1:9" ht="15.75" hidden="1">
      <c r="A91" s="29"/>
      <c r="B91" s="13"/>
      <c r="C91" s="46">
        <v>0</v>
      </c>
      <c r="D91" s="14">
        <f t="shared" si="4"/>
        <v>0</v>
      </c>
      <c r="E91" s="14"/>
      <c r="F91" s="14"/>
      <c r="G91" s="14"/>
      <c r="H91" s="14"/>
      <c r="I91" s="38"/>
    </row>
    <row r="92" spans="1:9" s="2" customFormat="1" ht="15.75">
      <c r="A92" s="29"/>
      <c r="B92" s="15" t="s">
        <v>10</v>
      </c>
      <c r="C92" s="19">
        <f>C93+C94</f>
        <v>340</v>
      </c>
      <c r="D92" s="19">
        <f t="shared" si="4"/>
        <v>246663</v>
      </c>
      <c r="E92" s="19">
        <f>E93+E94</f>
        <v>0</v>
      </c>
      <c r="F92" s="19">
        <f>F93+F94</f>
        <v>0</v>
      </c>
      <c r="G92" s="19">
        <f>G93+G94</f>
        <v>0</v>
      </c>
      <c r="H92" s="19">
        <f>H93+H94</f>
        <v>246663</v>
      </c>
      <c r="I92" s="42">
        <f>I93+I94</f>
        <v>0</v>
      </c>
    </row>
    <row r="93" spans="1:9" s="2" customFormat="1" ht="15.75">
      <c r="A93" s="29"/>
      <c r="B93" s="13" t="s">
        <v>55</v>
      </c>
      <c r="C93" s="20">
        <v>340</v>
      </c>
      <c r="D93" s="14">
        <f t="shared" si="4"/>
        <v>246663</v>
      </c>
      <c r="E93" s="14"/>
      <c r="F93" s="14"/>
      <c r="G93" s="14"/>
      <c r="H93" s="14">
        <f>103769+142894</f>
        <v>246663</v>
      </c>
      <c r="I93" s="38"/>
    </row>
    <row r="94" spans="1:9" s="2" customFormat="1" ht="7.5" customHeight="1">
      <c r="A94" s="29"/>
      <c r="B94" s="13"/>
      <c r="C94" s="20"/>
      <c r="D94" s="14"/>
      <c r="E94" s="14"/>
      <c r="F94" s="14"/>
      <c r="G94" s="14"/>
      <c r="H94" s="14"/>
      <c r="I94" s="38"/>
    </row>
    <row r="95" spans="1:9" ht="15.75">
      <c r="A95" s="31">
        <v>2</v>
      </c>
      <c r="B95" s="15" t="s">
        <v>48</v>
      </c>
      <c r="C95" s="19"/>
      <c r="D95" s="17">
        <f t="shared" si="4"/>
        <v>100000</v>
      </c>
      <c r="E95" s="17">
        <v>0</v>
      </c>
      <c r="F95" s="17">
        <v>0</v>
      </c>
      <c r="G95" s="17">
        <f>100000-100000</f>
        <v>0</v>
      </c>
      <c r="H95" s="17">
        <v>100000</v>
      </c>
      <c r="I95" s="39">
        <v>0</v>
      </c>
    </row>
    <row r="96" spans="1:9" ht="15.75">
      <c r="A96" s="31"/>
      <c r="B96" s="15"/>
      <c r="C96" s="23"/>
      <c r="D96" s="17"/>
      <c r="E96" s="17"/>
      <c r="F96" s="17"/>
      <c r="G96" s="17"/>
      <c r="H96" s="17"/>
      <c r="I96" s="38"/>
    </row>
    <row r="97" spans="1:9" ht="15.75">
      <c r="A97" s="31">
        <v>3</v>
      </c>
      <c r="B97" s="15" t="s">
        <v>25</v>
      </c>
      <c r="C97" s="23"/>
      <c r="D97" s="17">
        <f>SUM(E97:I97)</f>
        <v>25827925</v>
      </c>
      <c r="E97" s="17">
        <v>7936900</v>
      </c>
      <c r="F97" s="17">
        <f>3676855-95607</f>
        <v>3581248</v>
      </c>
      <c r="G97" s="17">
        <v>4462800</v>
      </c>
      <c r="H97" s="17">
        <f>6258900-349623</f>
        <v>5909277</v>
      </c>
      <c r="I97" s="40">
        <v>3937700</v>
      </c>
    </row>
    <row r="98" spans="1:9" ht="10.5" customHeight="1">
      <c r="A98" s="29"/>
      <c r="B98" s="13"/>
      <c r="C98" s="24"/>
      <c r="D98" s="14"/>
      <c r="E98" s="11"/>
      <c r="F98" s="11"/>
      <c r="G98" s="11"/>
      <c r="H98" s="11"/>
      <c r="I98" s="38"/>
    </row>
    <row r="99" spans="1:9" ht="31.5">
      <c r="A99" s="31">
        <v>4</v>
      </c>
      <c r="B99" s="15" t="s">
        <v>16</v>
      </c>
      <c r="C99" s="23"/>
      <c r="D99" s="17">
        <f t="shared" si="4"/>
        <v>2084289</v>
      </c>
      <c r="E99" s="17">
        <f>SUM(E100:E105)</f>
        <v>752410</v>
      </c>
      <c r="F99" s="17">
        <f>SUM(F100:F105)</f>
        <v>100000</v>
      </c>
      <c r="G99" s="17">
        <f>SUM(G100:G105)</f>
        <v>437736</v>
      </c>
      <c r="H99" s="17">
        <f>SUM(H100:H105)</f>
        <v>673237</v>
      </c>
      <c r="I99" s="39">
        <f>SUM(I100:I105)</f>
        <v>120906</v>
      </c>
    </row>
    <row r="100" spans="1:9" ht="65.25" customHeight="1">
      <c r="A100" s="29"/>
      <c r="B100" s="13" t="s">
        <v>79</v>
      </c>
      <c r="C100" s="24"/>
      <c r="D100" s="14">
        <f t="shared" si="4"/>
        <v>300000</v>
      </c>
      <c r="E100" s="14">
        <v>300000</v>
      </c>
      <c r="F100" s="14"/>
      <c r="G100" s="14"/>
      <c r="H100" s="14"/>
      <c r="I100" s="38"/>
    </row>
    <row r="101" spans="1:9" ht="31.5">
      <c r="A101" s="29"/>
      <c r="B101" s="25" t="s">
        <v>80</v>
      </c>
      <c r="C101" s="24"/>
      <c r="D101" s="14">
        <f t="shared" si="4"/>
        <v>100000</v>
      </c>
      <c r="E101" s="14"/>
      <c r="F101" s="14">
        <v>100000</v>
      </c>
      <c r="G101" s="14"/>
      <c r="H101" s="14"/>
      <c r="I101" s="38"/>
    </row>
    <row r="102" spans="1:9" ht="56.25" customHeight="1">
      <c r="A102" s="29"/>
      <c r="B102" s="25" t="s">
        <v>81</v>
      </c>
      <c r="C102" s="24"/>
      <c r="D102" s="14">
        <f t="shared" si="4"/>
        <v>299000</v>
      </c>
      <c r="E102" s="14"/>
      <c r="F102" s="14"/>
      <c r="G102" s="14">
        <v>299000</v>
      </c>
      <c r="H102" s="14"/>
      <c r="I102" s="38"/>
    </row>
    <row r="103" spans="1:9" ht="66" customHeight="1">
      <c r="A103" s="29"/>
      <c r="B103" s="25" t="s">
        <v>64</v>
      </c>
      <c r="C103" s="24"/>
      <c r="D103" s="14">
        <f t="shared" si="4"/>
        <v>100000</v>
      </c>
      <c r="E103" s="14"/>
      <c r="F103" s="14"/>
      <c r="G103" s="14"/>
      <c r="H103" s="14">
        <v>100000</v>
      </c>
      <c r="I103" s="38"/>
    </row>
    <row r="104" spans="1:9" ht="47.25">
      <c r="A104" s="29"/>
      <c r="B104" s="25" t="s">
        <v>56</v>
      </c>
      <c r="C104" s="24"/>
      <c r="D104" s="14">
        <f t="shared" si="4"/>
        <v>1246553</v>
      </c>
      <c r="E104" s="14">
        <f>800000-347590</f>
        <v>452410</v>
      </c>
      <c r="F104" s="14">
        <v>0</v>
      </c>
      <c r="G104" s="14">
        <v>100000</v>
      </c>
      <c r="H104" s="14">
        <v>573237</v>
      </c>
      <c r="I104" s="38">
        <v>120906</v>
      </c>
    </row>
    <row r="105" spans="1:9" ht="47.25">
      <c r="A105" s="29"/>
      <c r="B105" s="13" t="s">
        <v>86</v>
      </c>
      <c r="C105" s="24"/>
      <c r="D105" s="14">
        <f t="shared" si="4"/>
        <v>38736</v>
      </c>
      <c r="E105" s="14"/>
      <c r="F105" s="14"/>
      <c r="G105" s="14">
        <f>0+38736</f>
        <v>38736</v>
      </c>
      <c r="H105" s="14"/>
      <c r="I105" s="38"/>
    </row>
    <row r="106" spans="1:9" ht="15.75">
      <c r="A106" s="29"/>
      <c r="B106" s="13"/>
      <c r="C106" s="24"/>
      <c r="D106" s="14"/>
      <c r="E106" s="14"/>
      <c r="F106" s="14"/>
      <c r="G106" s="14"/>
      <c r="H106" s="14"/>
      <c r="I106" s="38"/>
    </row>
    <row r="107" spans="1:9" ht="36.75" customHeight="1">
      <c r="A107" s="31">
        <v>5</v>
      </c>
      <c r="B107" s="15" t="s">
        <v>19</v>
      </c>
      <c r="C107" s="23"/>
      <c r="D107" s="17">
        <f>SUM(E107:I107)</f>
        <v>696326</v>
      </c>
      <c r="E107" s="17">
        <f>300000</f>
        <v>300000</v>
      </c>
      <c r="F107" s="17">
        <v>0</v>
      </c>
      <c r="G107" s="17">
        <f>199995+96331</f>
        <v>296326</v>
      </c>
      <c r="H107" s="17">
        <v>100000</v>
      </c>
      <c r="I107" s="39">
        <v>0</v>
      </c>
    </row>
    <row r="108" spans="1:9" ht="7.5" customHeight="1">
      <c r="A108" s="32"/>
      <c r="B108" s="13"/>
      <c r="C108" s="24"/>
      <c r="D108" s="14"/>
      <c r="E108" s="14"/>
      <c r="F108" s="14"/>
      <c r="G108" s="14"/>
      <c r="H108" s="14"/>
      <c r="I108" s="38"/>
    </row>
    <row r="109" spans="1:9" ht="24.75" customHeight="1">
      <c r="A109" s="31">
        <v>6</v>
      </c>
      <c r="B109" s="15" t="s">
        <v>18</v>
      </c>
      <c r="C109" s="23"/>
      <c r="D109" s="17">
        <f t="shared" si="4"/>
        <v>400000</v>
      </c>
      <c r="E109" s="17">
        <f>E110</f>
        <v>0</v>
      </c>
      <c r="F109" s="17">
        <f>F110</f>
        <v>0</v>
      </c>
      <c r="G109" s="17">
        <f>G110</f>
        <v>400000</v>
      </c>
      <c r="H109" s="17">
        <f>H110</f>
        <v>0</v>
      </c>
      <c r="I109" s="39">
        <f>I110</f>
        <v>0</v>
      </c>
    </row>
    <row r="110" spans="1:9" ht="47.25">
      <c r="A110" s="32"/>
      <c r="B110" s="13" t="s">
        <v>82</v>
      </c>
      <c r="C110" s="24"/>
      <c r="D110" s="14">
        <f t="shared" si="4"/>
        <v>400000</v>
      </c>
      <c r="E110" s="14"/>
      <c r="F110" s="14"/>
      <c r="G110" s="14">
        <v>400000</v>
      </c>
      <c r="H110" s="14"/>
      <c r="I110" s="38"/>
    </row>
    <row r="111" spans="1:9" ht="15.75">
      <c r="A111" s="32"/>
      <c r="B111" s="13"/>
      <c r="C111" s="24"/>
      <c r="D111" s="14"/>
      <c r="E111" s="14"/>
      <c r="F111" s="14"/>
      <c r="G111" s="14"/>
      <c r="H111" s="14"/>
      <c r="I111" s="38"/>
    </row>
    <row r="112" spans="1:9" ht="26.25" customHeight="1">
      <c r="A112" s="58" t="s">
        <v>87</v>
      </c>
      <c r="B112" s="59" t="s">
        <v>88</v>
      </c>
      <c r="C112" s="60"/>
      <c r="D112" s="17">
        <f>SUM(E112:I112)</f>
        <v>865699</v>
      </c>
      <c r="E112" s="61">
        <f>SUM(E113:E115)</f>
        <v>569052</v>
      </c>
      <c r="F112" s="61">
        <f>SUM(F113:F115)</f>
        <v>174194</v>
      </c>
      <c r="G112" s="61">
        <f>SUM(G113:G115)</f>
        <v>0</v>
      </c>
      <c r="H112" s="61">
        <f>SUM(H113:H115)</f>
        <v>122453</v>
      </c>
      <c r="I112" s="62">
        <f>SUM(I113:I115)</f>
        <v>0</v>
      </c>
    </row>
    <row r="113" spans="1:9" ht="78.75">
      <c r="A113" s="53"/>
      <c r="B113" s="54" t="s">
        <v>105</v>
      </c>
      <c r="C113" s="55"/>
      <c r="D113" s="14">
        <f t="shared" si="4"/>
        <v>569052</v>
      </c>
      <c r="E113" s="56">
        <f>0+569052</f>
        <v>569052</v>
      </c>
      <c r="F113" s="56"/>
      <c r="G113" s="56"/>
      <c r="H113" s="56"/>
      <c r="I113" s="57"/>
    </row>
    <row r="114" spans="1:9" ht="78.75">
      <c r="A114" s="53"/>
      <c r="B114" s="54" t="s">
        <v>104</v>
      </c>
      <c r="C114" s="55"/>
      <c r="D114" s="14">
        <f t="shared" si="4"/>
        <v>174194</v>
      </c>
      <c r="E114" s="56"/>
      <c r="F114" s="56">
        <f>0+174194</f>
        <v>174194</v>
      </c>
      <c r="G114" s="56"/>
      <c r="H114" s="56"/>
      <c r="I114" s="57"/>
    </row>
    <row r="115" spans="1:9" ht="78.75">
      <c r="A115" s="53"/>
      <c r="B115" s="54" t="s">
        <v>101</v>
      </c>
      <c r="C115" s="55"/>
      <c r="D115" s="14">
        <f t="shared" si="4"/>
        <v>122453</v>
      </c>
      <c r="E115" s="56"/>
      <c r="F115" s="56"/>
      <c r="G115" s="56"/>
      <c r="H115" s="56">
        <f>0+122453</f>
        <v>122453</v>
      </c>
      <c r="I115" s="57"/>
    </row>
    <row r="116" spans="1:9" ht="6" customHeight="1">
      <c r="A116" s="53"/>
      <c r="B116" s="54"/>
      <c r="C116" s="55"/>
      <c r="D116" s="56"/>
      <c r="E116" s="56"/>
      <c r="F116" s="56"/>
      <c r="G116" s="56"/>
      <c r="H116" s="56"/>
      <c r="I116" s="57"/>
    </row>
    <row r="117" spans="1:9" ht="16.5" thickBot="1">
      <c r="A117" s="34"/>
      <c r="B117" s="26" t="s">
        <v>22</v>
      </c>
      <c r="C117" s="27"/>
      <c r="D117" s="28">
        <f t="shared" si="4"/>
        <v>53112812</v>
      </c>
      <c r="E117" s="28">
        <f>E18+E95+E97+E99+E107+E109+E112</f>
        <v>16046849</v>
      </c>
      <c r="F117" s="28">
        <f>F18+F95+F97+F99+F107+F109+F112</f>
        <v>7432296</v>
      </c>
      <c r="G117" s="28">
        <f>G18+G95+G97+G99+G107+G109+G112</f>
        <v>9022069</v>
      </c>
      <c r="H117" s="28">
        <f>H18+H95+H97+H99+H107+H109+H112</f>
        <v>12648998</v>
      </c>
      <c r="I117" s="43">
        <f>I18+I95+I97+I99+I107+I109+I112</f>
        <v>7962600</v>
      </c>
    </row>
    <row r="119" spans="4:9" ht="15.75">
      <c r="D119" s="2"/>
      <c r="E119" s="2"/>
      <c r="F119" s="2"/>
      <c r="G119" s="2"/>
      <c r="H119" s="2"/>
      <c r="I119" s="2"/>
    </row>
  </sheetData>
  <sheetProtection/>
  <mergeCells count="14">
    <mergeCell ref="E12:I12"/>
    <mergeCell ref="A12:A13"/>
    <mergeCell ref="B12:B13"/>
    <mergeCell ref="C12:C13"/>
    <mergeCell ref="D12:D13"/>
    <mergeCell ref="A9:I9"/>
    <mergeCell ref="A11:I11"/>
    <mergeCell ref="H1:I1"/>
    <mergeCell ref="F2:I2"/>
    <mergeCell ref="F3:I3"/>
    <mergeCell ref="F4:I4"/>
    <mergeCell ref="F5:I5"/>
    <mergeCell ref="A8:I8"/>
    <mergeCell ref="A7:I7"/>
  </mergeCells>
  <printOptions/>
  <pageMargins left="0.1968503937007874" right="0.1968503937007874" top="0.7874015748031497" bottom="0.3937007874015748" header="0.5905511811023623" footer="0.31496062992125984"/>
  <pageSetup firstPageNumber="201" useFirstPageNumber="1" fitToHeight="14" fitToWidth="1" horizontalDpi="600" verticalDpi="600" orientation="landscape" paperSize="9" r:id="rId1"/>
  <headerFooter>
    <oddHeader>&amp;C&amp;P</oddHeader>
  </headerFooter>
  <rowBreaks count="1" manualBreakCount="1">
    <brk id="9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Дротенко</cp:lastModifiedBy>
  <cp:lastPrinted>2021-07-20T08:42:34Z</cp:lastPrinted>
  <dcterms:created xsi:type="dcterms:W3CDTF">2014-12-25T06:21:39Z</dcterms:created>
  <dcterms:modified xsi:type="dcterms:W3CDTF">2021-07-20T08:42:35Z</dcterms:modified>
  <cp:category/>
  <cp:version/>
  <cp:contentType/>
  <cp:contentStatus/>
</cp:coreProperties>
</file>