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340" yWindow="1380" windowWidth="22290" windowHeight="14220"/>
  </bookViews>
  <sheets>
    <sheet name="Приложение № 2.1 (422)" sheetId="1" r:id="rId1"/>
  </sheets>
  <definedNames>
    <definedName name="_xlnm.Print_Titles" localSheetId="0">'Приложение № 2.1 (422)'!$13:$13</definedName>
    <definedName name="_xlnm.Print_Area" localSheetId="0">'Приложение № 2.1 (422)'!$A$1:$K$89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8" i="1" l="1"/>
  <c r="C67" i="1"/>
  <c r="C66" i="1"/>
  <c r="C80" i="1" l="1"/>
  <c r="C86" i="1"/>
  <c r="C84" i="1"/>
  <c r="C82" i="1"/>
  <c r="C78" i="1"/>
  <c r="C71" i="1" l="1"/>
  <c r="C42" i="1"/>
  <c r="H88" i="1" l="1"/>
  <c r="E88" i="1"/>
  <c r="C88" i="1"/>
  <c r="J86" i="1"/>
  <c r="I86" i="1"/>
  <c r="H86" i="1"/>
  <c r="G86" i="1"/>
  <c r="F86" i="1"/>
  <c r="E86" i="1"/>
  <c r="K68" i="1"/>
  <c r="C56" i="1"/>
  <c r="C22" i="1"/>
  <c r="C21" i="1"/>
  <c r="C20" i="1"/>
  <c r="J88" i="1" l="1"/>
  <c r="I88" i="1"/>
  <c r="G88" i="1"/>
  <c r="F88" i="1"/>
  <c r="C48" i="1" l="1"/>
  <c r="H72" i="1"/>
  <c r="F72" i="1"/>
  <c r="E72" i="1"/>
  <c r="C72" i="1"/>
  <c r="H71" i="1"/>
  <c r="F71" i="1"/>
  <c r="E71" i="1"/>
  <c r="C57" i="1"/>
  <c r="C54" i="1"/>
  <c r="H18" i="1" l="1"/>
  <c r="F18" i="1"/>
  <c r="E18" i="1"/>
  <c r="C18" i="1"/>
  <c r="H17" i="1"/>
  <c r="F17" i="1"/>
  <c r="E17" i="1"/>
  <c r="C17" i="1"/>
  <c r="D72" i="1" l="1"/>
  <c r="D71" i="1"/>
  <c r="K69" i="1"/>
  <c r="K67" i="1"/>
  <c r="J65" i="1"/>
  <c r="I65" i="1"/>
  <c r="H65" i="1"/>
  <c r="G65" i="1"/>
  <c r="F65" i="1"/>
  <c r="E65" i="1"/>
  <c r="D65" i="1"/>
  <c r="C65" i="1"/>
  <c r="K65" i="1" l="1"/>
  <c r="K66" i="1"/>
  <c r="D17" i="1"/>
  <c r="D18" i="1"/>
  <c r="D22" i="1"/>
  <c r="D47" i="1" l="1"/>
  <c r="E47" i="1"/>
  <c r="F47" i="1"/>
  <c r="G47" i="1"/>
  <c r="H47" i="1"/>
  <c r="I47" i="1"/>
  <c r="J47" i="1"/>
  <c r="C47" i="1"/>
  <c r="D41" i="1"/>
  <c r="E41" i="1"/>
  <c r="F41" i="1"/>
  <c r="G41" i="1"/>
  <c r="H41" i="1"/>
  <c r="I41" i="1"/>
  <c r="J41" i="1"/>
  <c r="C41" i="1"/>
  <c r="D15" i="1" l="1"/>
  <c r="E15" i="1"/>
  <c r="F15" i="1"/>
  <c r="G15" i="1"/>
  <c r="H15" i="1"/>
  <c r="I15" i="1"/>
  <c r="J15" i="1"/>
  <c r="C15" i="1"/>
  <c r="D24" i="1"/>
  <c r="E24" i="1"/>
  <c r="F24" i="1"/>
  <c r="G24" i="1"/>
  <c r="H24" i="1"/>
  <c r="I24" i="1"/>
  <c r="J24" i="1"/>
  <c r="C24" i="1"/>
  <c r="D33" i="1"/>
  <c r="E33" i="1"/>
  <c r="F33" i="1"/>
  <c r="G33" i="1"/>
  <c r="H33" i="1"/>
  <c r="I33" i="1"/>
  <c r="J33" i="1"/>
  <c r="C33" i="1"/>
  <c r="D44" i="1"/>
  <c r="E44" i="1"/>
  <c r="F44" i="1"/>
  <c r="G44" i="1"/>
  <c r="H44" i="1"/>
  <c r="I44" i="1"/>
  <c r="J44" i="1"/>
  <c r="C44" i="1"/>
  <c r="K88" i="1"/>
  <c r="K86" i="1"/>
  <c r="K84" i="1"/>
  <c r="K82" i="1"/>
  <c r="K80" i="1"/>
  <c r="K78" i="1"/>
  <c r="K76" i="1"/>
  <c r="K74" i="1"/>
  <c r="K72" i="1"/>
  <c r="K71" i="1"/>
  <c r="K63" i="1"/>
  <c r="K61" i="1"/>
  <c r="K59" i="1"/>
  <c r="K57" i="1"/>
  <c r="K56" i="1"/>
  <c r="K54" i="1"/>
  <c r="K53" i="1"/>
  <c r="K52" i="1"/>
  <c r="K51" i="1"/>
  <c r="K50" i="1"/>
  <c r="K49" i="1"/>
  <c r="K48" i="1"/>
  <c r="K47" i="1"/>
  <c r="K46" i="1"/>
  <c r="K45" i="1"/>
  <c r="K43" i="1"/>
  <c r="K42" i="1"/>
  <c r="K39" i="1"/>
  <c r="K38" i="1"/>
  <c r="K37" i="1"/>
  <c r="K36" i="1"/>
  <c r="K35" i="1"/>
  <c r="K34" i="1"/>
  <c r="K32" i="1"/>
  <c r="K30" i="1"/>
  <c r="K28" i="1"/>
  <c r="K27" i="1"/>
  <c r="K26" i="1"/>
  <c r="K25" i="1"/>
  <c r="K22" i="1"/>
  <c r="K21" i="1"/>
  <c r="K20" i="1"/>
  <c r="K19" i="1"/>
  <c r="K18" i="1"/>
  <c r="K17" i="1"/>
  <c r="K16" i="1"/>
  <c r="D70" i="1"/>
  <c r="E70" i="1"/>
  <c r="F70" i="1"/>
  <c r="G70" i="1"/>
  <c r="H70" i="1"/>
  <c r="I70" i="1"/>
  <c r="J70" i="1"/>
  <c r="C70" i="1"/>
  <c r="K24" i="1" l="1"/>
  <c r="K33" i="1"/>
  <c r="K15" i="1"/>
  <c r="K70" i="1"/>
  <c r="K41" i="1"/>
  <c r="I14" i="1"/>
  <c r="G14" i="1"/>
  <c r="E14" i="1"/>
  <c r="J14" i="1"/>
  <c r="H14" i="1"/>
  <c r="F14" i="1"/>
  <c r="D14" i="1"/>
  <c r="K44" i="1"/>
  <c r="C14" i="1"/>
  <c r="I89" i="1" l="1"/>
  <c r="J89" i="1"/>
  <c r="G89" i="1"/>
  <c r="D89" i="1"/>
  <c r="H89" i="1"/>
  <c r="F89" i="1"/>
  <c r="E89" i="1"/>
  <c r="C89" i="1"/>
  <c r="K14" i="1"/>
  <c r="K89" i="1" l="1"/>
</calcChain>
</file>

<file path=xl/sharedStrings.xml><?xml version="1.0" encoding="utf-8"?>
<sst xmlns="http://schemas.openxmlformats.org/spreadsheetml/2006/main" count="78" uniqueCount="77">
  <si>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</si>
  <si>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</si>
  <si>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</si>
  <si>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</si>
  <si>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</si>
  <si>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</si>
  <si>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</si>
  <si>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</si>
  <si>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</si>
  <si>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</si>
  <si>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</si>
  <si>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</si>
  <si>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</si>
  <si>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</si>
  <si>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</si>
  <si>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</si>
  <si>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</si>
  <si>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</si>
  <si>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</si>
  <si>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</si>
  <si>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</si>
  <si>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</si>
  <si>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</si>
  <si>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</si>
  <si>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реализуемую на территории ПМР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</si>
  <si>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</si>
  <si>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</si>
  <si>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</si>
  <si>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</si>
  <si>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</si>
  <si>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</si>
  <si>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Платежи за пользование водными ресурсами в пределах установленных нормативов и лимитов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</si>
  <si>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</si>
  <si>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Отчисления от фиксированного сельскохозяйственного налога</t>
  </si>
  <si>
    <t>Отчисления на воспроизводство минерально-сырьевой базы</t>
  </si>
  <si>
    <t>Налоги на внешнюю торговлю и внешнеэкономические операции</t>
  </si>
  <si>
    <t>Прочие налоги, пошлины и сборы</t>
  </si>
  <si>
    <t>Государственная пошлина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</si>
  <si>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</si>
  <si>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</si>
  <si>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</si>
  <si>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</si>
  <si>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</si>
  <si>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</si>
  <si>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</si>
  <si>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Перечисление чистого дохода центрального банка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</si>
  <si>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</si>
  <si>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</si>
  <si>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</si>
  <si>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</si>
  <si>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Прочие неналоговые доходы</t>
  </si>
  <si>
    <t>Доходы целевых бюджетных фондов</t>
  </si>
  <si>
    <t>Дорожные фонды</t>
  </si>
  <si>
    <t>Отчисления от налога на доходы организаций</t>
  </si>
  <si>
    <t>Республиканский целевой бюджетный экологический фонд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</si>
  <si>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</si>
  <si>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</si>
  <si>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Фонд развития предпринимательства</t>
  </si>
  <si>
    <t>Фонд поддержки молодежи</t>
  </si>
  <si>
    <t>Доходы от предпринимательской и иной приносящей доход деятельности</t>
  </si>
  <si>
    <t>ИТОГО</t>
  </si>
  <si>
    <t>"О республиканском бюджете на 2021 год"</t>
  </si>
  <si>
    <t>Приложение № 2.1</t>
  </si>
  <si>
    <t xml:space="preserve">к Закону Приднестровской Молдавской Республики </t>
  </si>
  <si>
    <t>Фонд поддержки сельского хозяйства</t>
  </si>
  <si>
    <t>Фонд развития мелиоративного комплекса</t>
  </si>
  <si>
    <t>Единый таможенный платеж</t>
  </si>
  <si>
    <t>Доходы республиканского бюджета в разрезе основных видов налоговых, неналоговых и иных обязательных платежей на 2021 год</t>
  </si>
  <si>
    <t>Безвозмездные перечисления</t>
  </si>
  <si>
    <t>От нерезидентов</t>
  </si>
  <si>
    <t>3011000</t>
  </si>
  <si>
    <t>От нерезидентов на цели субсидирования хозяйствующих субъектов</t>
  </si>
  <si>
    <t>Прочие безвозмездные перечисления</t>
  </si>
  <si>
    <t>Приложение № 4</t>
  </si>
  <si>
    <t>к Закону Приднестровской Молдавской Республики</t>
  </si>
  <si>
    <t xml:space="preserve">"О внесении изменений и дополнений </t>
  </si>
  <si>
    <t xml:space="preserve">в Закон Приднестровской Молдавской Республики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</si>
</sst>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-* #,##0_р_._-;\-* #,##0_р_._-;_-* &quot;-&quot;??_р_._-;_-@_-"/>
    <numFmt numFmtId="167" formatCode="_-* #,##0_р_._-;\-* #,##0_р_._-;_-* &quot;-&quot;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80">
    <xf numFmtId="0" fontId="0" fillId="0" borderId="0" xfId="0"/>
    <xf numFmtId="3" fontId="3" fillId="2" borderId="0" xfId="0" applyNumberFormat="1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left" vertical="center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right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vertical="center"/>
    </xf>
    <xf numFmtId="1" fontId="2" fillId="2" borderId="0" xfId="0" applyNumberFormat="1" applyFont="1" applyFill="1" applyAlignment="1">
      <alignment horizontal="right" vertical="center"/>
    </xf>
    <xf numFmtId="1" fontId="2" fillId="2" borderId="2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3" fontId="3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 applyAlignment="1">
      <alignment vertical="center"/>
    </xf>
    <xf numFmtId="1" fontId="2" fillId="2" borderId="10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 wrapText="1"/>
    </xf>
    <xf numFmtId="1" fontId="3" fillId="2" borderId="7" xfId="0" applyNumberFormat="1" applyFont="1" applyFill="1" applyBorder="1" applyAlignment="1">
      <alignment vertical="center" wrapText="1"/>
    </xf>
    <xf numFmtId="3" fontId="2" fillId="2" borderId="8" xfId="0" applyNumberFormat="1" applyFont="1" applyFill="1" applyBorder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3" fontId="2" fillId="2" borderId="5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vertical="center" wrapText="1"/>
    </xf>
    <xf numFmtId="3" fontId="2" fillId="4" borderId="8" xfId="0" applyNumberFormat="1" applyFont="1" applyFill="1" applyBorder="1" applyAlignment="1">
      <alignment horizontal="left" vertical="center" wrapText="1"/>
    </xf>
    <xf numFmtId="1" fontId="2" fillId="2" borderId="10" xfId="0" applyNumberFormat="1" applyFont="1" applyFill="1" applyBorder="1" applyAlignment="1">
      <alignment vertical="center" wrapText="1"/>
    </xf>
    <xf numFmtId="3" fontId="2" fillId="2" borderId="11" xfId="0" applyNumberFormat="1" applyFont="1" applyFill="1" applyBorder="1" applyAlignment="1">
      <alignment vertical="center" wrapText="1"/>
    </xf>
    <xf numFmtId="3" fontId="2" fillId="4" borderId="8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horizontal="left" vertical="center" wrapText="1"/>
    </xf>
    <xf numFmtId="3" fontId="2" fillId="4" borderId="8" xfId="0" applyNumberFormat="1" applyFont="1" applyFill="1" applyBorder="1" applyAlignment="1">
      <alignment horizontal="center" vertical="center"/>
    </xf>
    <xf numFmtId="164" fontId="2" fillId="4" borderId="8" xfId="1" applyNumberFormat="1" applyFont="1" applyFill="1" applyBorder="1" applyAlignment="1">
      <alignment horizontal="center" vertical="center"/>
    </xf>
    <xf numFmtId="164" fontId="2" fillId="4" borderId="9" xfId="1" applyNumberFormat="1" applyFont="1" applyFill="1" applyBorder="1" applyAlignment="1">
      <alignment horizontal="center" vertical="center"/>
    </xf>
    <xf numFmtId="164" fontId="2" fillId="2" borderId="11" xfId="1" applyNumberFormat="1" applyFont="1" applyFill="1" applyBorder="1" applyAlignment="1">
      <alignment horizontal="center" vertical="center"/>
    </xf>
    <xf numFmtId="164" fontId="2" fillId="2" borderId="12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/>
    </xf>
    <xf numFmtId="164" fontId="3" fillId="2" borderId="5" xfId="1" applyNumberFormat="1" applyFont="1" applyFill="1" applyBorder="1" applyAlignment="1">
      <alignment horizontal="center" vertical="center"/>
    </xf>
    <xf numFmtId="164" fontId="2" fillId="2" borderId="6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vertical="center"/>
    </xf>
    <xf numFmtId="164" fontId="2" fillId="2" borderId="5" xfId="1" applyNumberFormat="1" applyFont="1" applyFill="1" applyBorder="1" applyAlignment="1">
      <alignment horizontal="center" vertical="center"/>
    </xf>
    <xf numFmtId="164" fontId="2" fillId="2" borderId="8" xfId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166" fontId="6" fillId="0" borderId="11" xfId="0" applyNumberFormat="1" applyFont="1" applyFill="1" applyBorder="1" applyAlignment="1">
      <alignment horizontal="right" vertical="center"/>
    </xf>
    <xf numFmtId="166" fontId="8" fillId="0" borderId="12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vertical="center" wrapText="1"/>
    </xf>
    <xf numFmtId="166" fontId="6" fillId="0" borderId="14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vertical="center" wrapText="1"/>
    </xf>
    <xf numFmtId="167" fontId="6" fillId="3" borderId="5" xfId="2" applyNumberFormat="1" applyFont="1" applyFill="1" applyBorder="1" applyAlignment="1">
      <alignment horizontal="right" vertical="center"/>
    </xf>
    <xf numFmtId="167" fontId="6" fillId="3" borderId="6" xfId="0" applyNumberFormat="1" applyFont="1" applyFill="1" applyBorder="1" applyAlignment="1">
      <alignment horizontal="right" vertical="center"/>
    </xf>
    <xf numFmtId="0" fontId="4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 wrapText="1"/>
    </xf>
    <xf numFmtId="166" fontId="6" fillId="4" borderId="8" xfId="2" applyNumberFormat="1" applyFont="1" applyFill="1" applyBorder="1" applyAlignment="1">
      <alignment horizontal="right" vertical="center"/>
    </xf>
    <xf numFmtId="166" fontId="6" fillId="4" borderId="9" xfId="0" applyNumberFormat="1" applyFont="1" applyFill="1" applyBorder="1" applyAlignment="1">
      <alignment horizontal="right" vertical="center"/>
    </xf>
    <xf numFmtId="164" fontId="9" fillId="0" borderId="6" xfId="1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horizontal="right" vertical="center"/>
    </xf>
    <xf numFmtId="1" fontId="7" fillId="0" borderId="2" xfId="0" applyNumberFormat="1" applyFont="1" applyFill="1" applyBorder="1" applyAlignment="1">
      <alignment horizontal="right" vertical="center"/>
    </xf>
    <xf numFmtId="3" fontId="10" fillId="2" borderId="0" xfId="0" applyNumberFormat="1" applyFont="1" applyFill="1" applyAlignment="1">
      <alignment vertical="center"/>
    </xf>
    <xf numFmtId="3" fontId="10" fillId="2" borderId="0" xfId="0" applyNumberFormat="1" applyFont="1" applyFill="1" applyAlignment="1">
      <alignment horizontal="right"/>
    </xf>
    <xf numFmtId="3" fontId="11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3" fontId="3" fillId="3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5"/>
  <sheetViews>
    <sheetView tabSelected="1" view="pageBreakPreview" zoomScale="75" zoomScaleNormal="90" zoomScaleSheetLayoutView="75" workbookViewId="0">
      <pane xSplit="2" ySplit="13" topLeftCell="C14" activePane="bottomRight" state="frozen"/>
      <selection pane="topRight" activeCell="C1" sqref="C1"/>
      <selection pane="bottomLeft" activeCell="A10" sqref="A10"/>
      <selection pane="bottomRight" activeCell="J4" sqref="J4"/>
    </sheetView>
  </sheetViews>
  <sheetFormatPr defaultColWidth="12.140625" defaultRowHeight="15.75" x14ac:dyDescent="0.25"/>
  <cols>
    <col min="1" max="1" width="9" style="6" bestFit="1" customWidth="1"/>
    <col min="2" max="2" width="54.5703125" style="12" customWidth="1"/>
    <col min="3" max="3" width="15.85546875" style="13" bestFit="1" customWidth="1"/>
    <col min="4" max="5" width="14" style="13" bestFit="1" customWidth="1"/>
    <col min="6" max="8" width="12.85546875" style="13" bestFit="1" customWidth="1"/>
    <col min="9" max="9" width="15.5703125" style="13" bestFit="1" customWidth="1"/>
    <col min="10" max="10" width="12.85546875" style="13" bestFit="1" customWidth="1"/>
    <col min="11" max="11" width="15.85546875" style="13" bestFit="1" customWidth="1"/>
    <col min="12" max="16384" width="12.140625" style="13"/>
  </cols>
  <sheetData>
    <row r="1" spans="1:11" ht="18.75" x14ac:dyDescent="0.3">
      <c r="H1" s="74"/>
      <c r="I1" s="74"/>
      <c r="J1" s="74"/>
      <c r="K1" s="75" t="s">
        <v>73</v>
      </c>
    </row>
    <row r="2" spans="1:11" ht="18.75" x14ac:dyDescent="0.3">
      <c r="H2" s="74"/>
      <c r="I2" s="74"/>
      <c r="J2" s="74"/>
      <c r="K2" s="76" t="s">
        <v>74</v>
      </c>
    </row>
    <row r="3" spans="1:11" ht="18.75" x14ac:dyDescent="0.3">
      <c r="H3" s="74"/>
      <c r="I3" s="74"/>
      <c r="J3" s="74"/>
      <c r="K3" s="77" t="s">
        <v>75</v>
      </c>
    </row>
    <row r="4" spans="1:11" ht="18.75" x14ac:dyDescent="0.3">
      <c r="H4" s="74"/>
      <c r="I4" s="74"/>
      <c r="J4" s="74"/>
      <c r="K4" s="77" t="s">
        <v>76</v>
      </c>
    </row>
    <row r="5" spans="1:11" ht="18.75" x14ac:dyDescent="0.3">
      <c r="H5" s="74"/>
      <c r="I5" s="74"/>
      <c r="J5" s="74"/>
      <c r="K5" s="76" t="s">
        <v>61</v>
      </c>
    </row>
    <row r="7" spans="1:11" x14ac:dyDescent="0.25">
      <c r="H7" s="14"/>
      <c r="I7" s="78" t="s">
        <v>62</v>
      </c>
      <c r="J7" s="78"/>
      <c r="K7" s="78"/>
    </row>
    <row r="8" spans="1:11" x14ac:dyDescent="0.25">
      <c r="H8" s="78" t="s">
        <v>63</v>
      </c>
      <c r="I8" s="78"/>
      <c r="J8" s="78"/>
      <c r="K8" s="78"/>
    </row>
    <row r="9" spans="1:11" x14ac:dyDescent="0.25">
      <c r="H9" s="14"/>
      <c r="I9" s="78" t="s">
        <v>61</v>
      </c>
      <c r="J9" s="78"/>
      <c r="K9" s="78"/>
    </row>
    <row r="11" spans="1:11" x14ac:dyDescent="0.25">
      <c r="A11" s="79" t="s">
        <v>67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</row>
    <row r="12" spans="1:11" ht="16.5" thickBot="1" x14ac:dyDescent="0.3">
      <c r="B12" s="15"/>
      <c r="D12" s="14"/>
      <c r="E12" s="14"/>
      <c r="F12" s="14"/>
      <c r="G12" s="14"/>
      <c r="H12" s="14"/>
      <c r="I12" s="16"/>
      <c r="J12" s="14"/>
      <c r="K12" s="14" t="s">
        <v>0</v>
      </c>
    </row>
    <row r="13" spans="1:11" s="1" customFormat="1" ht="32.25" thickBot="1" x14ac:dyDescent="0.3">
      <c r="A13" s="7" t="s">
        <v>1</v>
      </c>
      <c r="B13" s="3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5" t="s">
        <v>11</v>
      </c>
    </row>
    <row r="14" spans="1:11" s="1" customFormat="1" ht="16.5" thickBot="1" x14ac:dyDescent="0.3">
      <c r="A14" s="35">
        <v>1000000</v>
      </c>
      <c r="B14" s="37" t="s">
        <v>12</v>
      </c>
      <c r="C14" s="38">
        <f t="shared" ref="C14:J14" si="0">SUM(C15+C24+C30+C32+C41+C44)</f>
        <v>783652229</v>
      </c>
      <c r="D14" s="38">
        <f t="shared" si="0"/>
        <v>190468133</v>
      </c>
      <c r="E14" s="38">
        <f t="shared" si="0"/>
        <v>39981536</v>
      </c>
      <c r="F14" s="38">
        <f t="shared" si="0"/>
        <v>31738440</v>
      </c>
      <c r="G14" s="38">
        <f t="shared" si="0"/>
        <v>13818045</v>
      </c>
      <c r="H14" s="38">
        <f t="shared" si="0"/>
        <v>12427002</v>
      </c>
      <c r="I14" s="38">
        <f t="shared" si="0"/>
        <v>9412338</v>
      </c>
      <c r="J14" s="38">
        <f t="shared" si="0"/>
        <v>3689976</v>
      </c>
      <c r="K14" s="39">
        <f>SUM(C14:J14)</f>
        <v>1085187699</v>
      </c>
    </row>
    <row r="15" spans="1:11" s="1" customFormat="1" x14ac:dyDescent="0.25">
      <c r="A15" s="17">
        <v>1010000</v>
      </c>
      <c r="B15" s="36" t="s">
        <v>13</v>
      </c>
      <c r="C15" s="40">
        <f>SUM(C16+C17+C19+C20+C21+C22)</f>
        <v>371524176</v>
      </c>
      <c r="D15" s="40">
        <f t="shared" ref="D15:J15" si="1">SUM(D16+D17+D19+D20+D21+D22)</f>
        <v>187278642</v>
      </c>
      <c r="E15" s="40">
        <f t="shared" si="1"/>
        <v>19744582</v>
      </c>
      <c r="F15" s="40">
        <f t="shared" si="1"/>
        <v>8955320</v>
      </c>
      <c r="G15" s="40">
        <f t="shared" si="1"/>
        <v>3739051</v>
      </c>
      <c r="H15" s="40">
        <f t="shared" si="1"/>
        <v>5515922</v>
      </c>
      <c r="I15" s="40">
        <f t="shared" si="1"/>
        <v>1928738</v>
      </c>
      <c r="J15" s="40">
        <f t="shared" si="1"/>
        <v>1108419</v>
      </c>
      <c r="K15" s="41">
        <f t="shared" ref="K15:K78" si="2">SUM(C15:J15)</f>
        <v>599794850</v>
      </c>
    </row>
    <row r="16" spans="1:11" s="1" customFormat="1" x14ac:dyDescent="0.25">
      <c r="A16" s="8">
        <v>1010100</v>
      </c>
      <c r="B16" s="11" t="s">
        <v>14</v>
      </c>
      <c r="C16" s="42"/>
      <c r="D16" s="42"/>
      <c r="E16" s="42"/>
      <c r="F16" s="42"/>
      <c r="G16" s="42"/>
      <c r="H16" s="42"/>
      <c r="I16" s="42"/>
      <c r="J16" s="42"/>
      <c r="K16" s="43">
        <f t="shared" si="2"/>
        <v>0</v>
      </c>
    </row>
    <row r="17" spans="1:11" s="1" customFormat="1" ht="31.5" x14ac:dyDescent="0.25">
      <c r="A17" s="8">
        <v>1010200</v>
      </c>
      <c r="B17" s="11" t="s">
        <v>15</v>
      </c>
      <c r="C17" s="42">
        <f>300023648-1112067</f>
        <v>298911581</v>
      </c>
      <c r="D17" s="42">
        <f>153128316+19548561</f>
        <v>172676877</v>
      </c>
      <c r="E17" s="42">
        <f>18314136+108046</f>
        <v>18422182</v>
      </c>
      <c r="F17" s="42">
        <f>8480829+39491</f>
        <v>8520320</v>
      </c>
      <c r="G17" s="42">
        <v>3251851</v>
      </c>
      <c r="H17" s="42">
        <f>5297884-25562</f>
        <v>5272322</v>
      </c>
      <c r="I17" s="42">
        <v>1772138</v>
      </c>
      <c r="J17" s="42">
        <v>812619</v>
      </c>
      <c r="K17" s="43">
        <f t="shared" si="2"/>
        <v>509639890</v>
      </c>
    </row>
    <row r="18" spans="1:11" s="1" customFormat="1" ht="31.5" x14ac:dyDescent="0.25">
      <c r="A18" s="19">
        <v>1010290</v>
      </c>
      <c r="B18" s="20" t="s">
        <v>16</v>
      </c>
      <c r="C18" s="44">
        <f>118028034-313364</f>
        <v>117714670</v>
      </c>
      <c r="D18" s="44">
        <f>33769006+4216000</f>
        <v>37985006</v>
      </c>
      <c r="E18" s="44">
        <f>18314136+108046</f>
        <v>18422182</v>
      </c>
      <c r="F18" s="44">
        <f>8480829+39491</f>
        <v>8520320</v>
      </c>
      <c r="G18" s="44">
        <v>3251851</v>
      </c>
      <c r="H18" s="44">
        <f>5297884-25562</f>
        <v>5272322</v>
      </c>
      <c r="I18" s="44">
        <v>1772138</v>
      </c>
      <c r="J18" s="44">
        <v>812619</v>
      </c>
      <c r="K18" s="45">
        <f t="shared" si="2"/>
        <v>193751108</v>
      </c>
    </row>
    <row r="19" spans="1:11" s="1" customFormat="1" x14ac:dyDescent="0.25">
      <c r="A19" s="8">
        <v>1010400</v>
      </c>
      <c r="B19" s="11" t="s">
        <v>17</v>
      </c>
      <c r="C19" s="42">
        <v>2331600</v>
      </c>
      <c r="D19" s="42">
        <v>0</v>
      </c>
      <c r="E19" s="42">
        <v>1322400</v>
      </c>
      <c r="F19" s="42">
        <v>435000</v>
      </c>
      <c r="G19" s="42">
        <v>487200</v>
      </c>
      <c r="H19" s="42">
        <v>243600</v>
      </c>
      <c r="I19" s="42">
        <v>156600</v>
      </c>
      <c r="J19" s="42">
        <v>295800</v>
      </c>
      <c r="K19" s="43">
        <f t="shared" si="2"/>
        <v>5272200</v>
      </c>
    </row>
    <row r="20" spans="1:11" s="1" customFormat="1" ht="47.25" x14ac:dyDescent="0.25">
      <c r="A20" s="8">
        <v>1010600</v>
      </c>
      <c r="B20" s="11" t="s">
        <v>18</v>
      </c>
      <c r="C20" s="42">
        <f>12150205-717048</f>
        <v>11433157</v>
      </c>
      <c r="D20" s="42">
        <v>98705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3">
        <f t="shared" si="2"/>
        <v>11531862</v>
      </c>
    </row>
    <row r="21" spans="1:11" s="1" customFormat="1" ht="47.25" x14ac:dyDescent="0.25">
      <c r="A21" s="8">
        <v>1010601</v>
      </c>
      <c r="B21" s="11" t="s">
        <v>19</v>
      </c>
      <c r="C21" s="42">
        <f>6301252+2445386</f>
        <v>8746638</v>
      </c>
      <c r="D21" s="42">
        <v>65430</v>
      </c>
      <c r="E21" s="42"/>
      <c r="F21" s="42"/>
      <c r="G21" s="42"/>
      <c r="H21" s="42"/>
      <c r="I21" s="42"/>
      <c r="J21" s="42"/>
      <c r="K21" s="43">
        <f t="shared" si="2"/>
        <v>8812068</v>
      </c>
    </row>
    <row r="22" spans="1:11" s="1" customFormat="1" x14ac:dyDescent="0.25">
      <c r="A22" s="8">
        <v>1010700</v>
      </c>
      <c r="B22" s="11" t="s">
        <v>20</v>
      </c>
      <c r="C22" s="42">
        <f>45391998+2248497+502805+1957900</f>
        <v>50101200</v>
      </c>
      <c r="D22" s="42">
        <f>13844946+539605+53079</f>
        <v>14437630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3">
        <f t="shared" si="2"/>
        <v>64538830</v>
      </c>
    </row>
    <row r="23" spans="1:11" s="1" customFormat="1" x14ac:dyDescent="0.25">
      <c r="A23" s="19"/>
      <c r="B23" s="11"/>
      <c r="C23" s="42"/>
      <c r="D23" s="42"/>
      <c r="E23" s="42"/>
      <c r="F23" s="42"/>
      <c r="G23" s="42"/>
      <c r="H23" s="42"/>
      <c r="I23" s="42"/>
      <c r="J23" s="42"/>
      <c r="K23" s="43"/>
    </row>
    <row r="24" spans="1:11" s="2" customFormat="1" ht="31.5" x14ac:dyDescent="0.25">
      <c r="A24" s="8">
        <v>1020000</v>
      </c>
      <c r="B24" s="11" t="s">
        <v>21</v>
      </c>
      <c r="C24" s="42">
        <f t="shared" ref="C24:J24" si="3">SUM(C25:C28)</f>
        <v>31557744</v>
      </c>
      <c r="D24" s="42">
        <f t="shared" si="3"/>
        <v>135532</v>
      </c>
      <c r="E24" s="42">
        <f t="shared" si="3"/>
        <v>12539734</v>
      </c>
      <c r="F24" s="42">
        <f t="shared" si="3"/>
        <v>296922</v>
      </c>
      <c r="G24" s="42">
        <f t="shared" si="3"/>
        <v>4354516</v>
      </c>
      <c r="H24" s="42">
        <f t="shared" si="3"/>
        <v>135736</v>
      </c>
      <c r="I24" s="42">
        <f t="shared" si="3"/>
        <v>27168</v>
      </c>
      <c r="J24" s="42">
        <f t="shared" si="3"/>
        <v>128229</v>
      </c>
      <c r="K24" s="43">
        <f t="shared" si="2"/>
        <v>49175581</v>
      </c>
    </row>
    <row r="25" spans="1:11" s="1" customFormat="1" x14ac:dyDescent="0.25">
      <c r="A25" s="8">
        <v>1020100</v>
      </c>
      <c r="B25" s="11" t="s">
        <v>22</v>
      </c>
      <c r="C25" s="42"/>
      <c r="D25" s="42"/>
      <c r="E25" s="42"/>
      <c r="F25" s="42"/>
      <c r="G25" s="42"/>
      <c r="H25" s="42"/>
      <c r="I25" s="42"/>
      <c r="J25" s="42"/>
      <c r="K25" s="43">
        <f t="shared" si="2"/>
        <v>0</v>
      </c>
    </row>
    <row r="26" spans="1:11" s="1" customFormat="1" ht="31.5" x14ac:dyDescent="0.25">
      <c r="A26" s="8">
        <v>1020200</v>
      </c>
      <c r="B26" s="11" t="s">
        <v>23</v>
      </c>
      <c r="C26" s="42">
        <v>29254544</v>
      </c>
      <c r="D26" s="42"/>
      <c r="E26" s="42">
        <v>12345325</v>
      </c>
      <c r="F26" s="42">
        <v>128617</v>
      </c>
      <c r="G26" s="42">
        <v>4267814</v>
      </c>
      <c r="H26" s="42">
        <v>26417</v>
      </c>
      <c r="I26" s="42"/>
      <c r="J26" s="42">
        <v>79370</v>
      </c>
      <c r="K26" s="43">
        <f t="shared" si="2"/>
        <v>46102087</v>
      </c>
    </row>
    <row r="27" spans="1:11" s="2" customFormat="1" ht="31.5" x14ac:dyDescent="0.25">
      <c r="A27" s="8">
        <v>1020400</v>
      </c>
      <c r="B27" s="18" t="s">
        <v>24</v>
      </c>
      <c r="C27" s="42">
        <v>675228</v>
      </c>
      <c r="D27" s="42"/>
      <c r="E27" s="42"/>
      <c r="F27" s="42"/>
      <c r="G27" s="42">
        <v>35031</v>
      </c>
      <c r="H27" s="42"/>
      <c r="I27" s="42"/>
      <c r="J27" s="42"/>
      <c r="K27" s="43">
        <f t="shared" si="2"/>
        <v>710259</v>
      </c>
    </row>
    <row r="28" spans="1:11" s="1" customFormat="1" x14ac:dyDescent="0.25">
      <c r="A28" s="8">
        <v>1020500</v>
      </c>
      <c r="B28" s="11" t="s">
        <v>25</v>
      </c>
      <c r="C28" s="42">
        <v>1627972</v>
      </c>
      <c r="D28" s="42">
        <v>135532</v>
      </c>
      <c r="E28" s="42">
        <v>194409</v>
      </c>
      <c r="F28" s="42">
        <v>168305</v>
      </c>
      <c r="G28" s="42">
        <v>51671</v>
      </c>
      <c r="H28" s="42">
        <v>109319</v>
      </c>
      <c r="I28" s="42">
        <v>27168</v>
      </c>
      <c r="J28" s="42">
        <v>48859</v>
      </c>
      <c r="K28" s="43">
        <f t="shared" si="2"/>
        <v>2363235</v>
      </c>
    </row>
    <row r="29" spans="1:11" s="1" customFormat="1" x14ac:dyDescent="0.25">
      <c r="A29" s="8"/>
      <c r="B29" s="11"/>
      <c r="C29" s="42"/>
      <c r="D29" s="42"/>
      <c r="E29" s="42"/>
      <c r="F29" s="42"/>
      <c r="G29" s="42"/>
      <c r="H29" s="42"/>
      <c r="I29" s="42"/>
      <c r="J29" s="42"/>
      <c r="K29" s="43"/>
    </row>
    <row r="30" spans="1:11" s="1" customFormat="1" x14ac:dyDescent="0.25">
      <c r="A30" s="8">
        <v>1040000</v>
      </c>
      <c r="B30" s="11" t="s">
        <v>26</v>
      </c>
      <c r="C30" s="42"/>
      <c r="D30" s="42"/>
      <c r="E30" s="42"/>
      <c r="F30" s="42"/>
      <c r="G30" s="42"/>
      <c r="H30" s="42"/>
      <c r="I30" s="42"/>
      <c r="J30" s="42"/>
      <c r="K30" s="43">
        <f t="shared" si="2"/>
        <v>0</v>
      </c>
    </row>
    <row r="31" spans="1:11" s="1" customFormat="1" x14ac:dyDescent="0.25">
      <c r="A31" s="19"/>
      <c r="B31" s="20"/>
      <c r="C31" s="42"/>
      <c r="D31" s="42"/>
      <c r="E31" s="42"/>
      <c r="F31" s="42"/>
      <c r="G31" s="42"/>
      <c r="H31" s="42"/>
      <c r="I31" s="42"/>
      <c r="J31" s="42"/>
      <c r="K31" s="43"/>
    </row>
    <row r="32" spans="1:11" s="1" customFormat="1" x14ac:dyDescent="0.25">
      <c r="A32" s="8">
        <v>1050000</v>
      </c>
      <c r="B32" s="11" t="s">
        <v>27</v>
      </c>
      <c r="C32" s="42">
        <v>11966470</v>
      </c>
      <c r="D32" s="42">
        <v>2686983</v>
      </c>
      <c r="E32" s="42">
        <v>1845955</v>
      </c>
      <c r="F32" s="42">
        <v>17470731</v>
      </c>
      <c r="G32" s="42">
        <v>1912673</v>
      </c>
      <c r="H32" s="42">
        <v>3105794</v>
      </c>
      <c r="I32" s="42">
        <v>6208467</v>
      </c>
      <c r="J32" s="42">
        <v>1102900</v>
      </c>
      <c r="K32" s="43">
        <f t="shared" si="2"/>
        <v>46299973</v>
      </c>
    </row>
    <row r="33" spans="1:11" s="1" customFormat="1" x14ac:dyDescent="0.25">
      <c r="A33" s="8">
        <v>1050100</v>
      </c>
      <c r="B33" s="11" t="s">
        <v>28</v>
      </c>
      <c r="C33" s="42">
        <f>SUM(C34:C35)</f>
        <v>3351168</v>
      </c>
      <c r="D33" s="42">
        <f t="shared" ref="D33:J33" si="4">SUM(D34:D35)</f>
        <v>31713</v>
      </c>
      <c r="E33" s="42">
        <f t="shared" si="4"/>
        <v>0</v>
      </c>
      <c r="F33" s="42">
        <f t="shared" si="4"/>
        <v>0</v>
      </c>
      <c r="G33" s="42">
        <f t="shared" si="4"/>
        <v>0</v>
      </c>
      <c r="H33" s="42">
        <f t="shared" si="4"/>
        <v>0</v>
      </c>
      <c r="I33" s="42">
        <f t="shared" si="4"/>
        <v>0</v>
      </c>
      <c r="J33" s="42">
        <f t="shared" si="4"/>
        <v>0</v>
      </c>
      <c r="K33" s="43">
        <f t="shared" si="2"/>
        <v>3382881</v>
      </c>
    </row>
    <row r="34" spans="1:11" s="1" customFormat="1" ht="31.5" x14ac:dyDescent="0.25">
      <c r="A34" s="19">
        <v>1050101</v>
      </c>
      <c r="B34" s="20" t="s">
        <v>29</v>
      </c>
      <c r="C34" s="44">
        <v>179525</v>
      </c>
      <c r="D34" s="44"/>
      <c r="E34" s="44"/>
      <c r="F34" s="44"/>
      <c r="G34" s="44"/>
      <c r="H34" s="44"/>
      <c r="I34" s="44"/>
      <c r="J34" s="44"/>
      <c r="K34" s="45">
        <f t="shared" si="2"/>
        <v>179525</v>
      </c>
    </row>
    <row r="35" spans="1:11" s="1" customFormat="1" ht="31.5" x14ac:dyDescent="0.25">
      <c r="A35" s="19">
        <v>1050102</v>
      </c>
      <c r="B35" s="20" t="s">
        <v>30</v>
      </c>
      <c r="C35" s="44">
        <v>3171643</v>
      </c>
      <c r="D35" s="44">
        <v>31713</v>
      </c>
      <c r="E35" s="44"/>
      <c r="F35" s="44"/>
      <c r="G35" s="44"/>
      <c r="H35" s="44"/>
      <c r="I35" s="44"/>
      <c r="J35" s="44"/>
      <c r="K35" s="45">
        <f t="shared" si="2"/>
        <v>3203356</v>
      </c>
    </row>
    <row r="36" spans="1:11" s="1" customFormat="1" ht="31.5" x14ac:dyDescent="0.25">
      <c r="A36" s="8">
        <v>1050200</v>
      </c>
      <c r="B36" s="11" t="s">
        <v>31</v>
      </c>
      <c r="C36" s="42">
        <v>7191514</v>
      </c>
      <c r="D36" s="42">
        <v>2655270</v>
      </c>
      <c r="E36" s="42">
        <v>1349030</v>
      </c>
      <c r="F36" s="42">
        <v>1223695</v>
      </c>
      <c r="G36" s="42">
        <v>14471</v>
      </c>
      <c r="H36" s="42">
        <v>453527</v>
      </c>
      <c r="I36" s="42">
        <v>229465</v>
      </c>
      <c r="J36" s="42">
        <v>403078</v>
      </c>
      <c r="K36" s="43">
        <f t="shared" si="2"/>
        <v>13520050</v>
      </c>
    </row>
    <row r="37" spans="1:11" s="1" customFormat="1" ht="47.25" x14ac:dyDescent="0.25">
      <c r="A37" s="8">
        <v>1050400</v>
      </c>
      <c r="B37" s="11" t="s">
        <v>32</v>
      </c>
      <c r="C37" s="42"/>
      <c r="D37" s="42"/>
      <c r="E37" s="42">
        <v>205040</v>
      </c>
      <c r="F37" s="42">
        <v>8013032</v>
      </c>
      <c r="G37" s="42">
        <v>1246980</v>
      </c>
      <c r="H37" s="42">
        <v>1253885</v>
      </c>
      <c r="I37" s="42">
        <v>3191026</v>
      </c>
      <c r="J37" s="42">
        <v>153228</v>
      </c>
      <c r="K37" s="43">
        <f t="shared" si="2"/>
        <v>14063191</v>
      </c>
    </row>
    <row r="38" spans="1:11" s="1" customFormat="1" ht="31.5" x14ac:dyDescent="0.25">
      <c r="A38" s="8">
        <v>1051100</v>
      </c>
      <c r="B38" s="11" t="s">
        <v>33</v>
      </c>
      <c r="C38" s="42">
        <v>1066233</v>
      </c>
      <c r="D38" s="42"/>
      <c r="E38" s="42">
        <v>223181</v>
      </c>
      <c r="F38" s="42">
        <v>1230180</v>
      </c>
      <c r="G38" s="42">
        <v>28040</v>
      </c>
      <c r="H38" s="42">
        <v>745218</v>
      </c>
      <c r="I38" s="42">
        <v>1005289</v>
      </c>
      <c r="J38" s="42">
        <v>455386</v>
      </c>
      <c r="K38" s="43">
        <f t="shared" si="2"/>
        <v>4753527</v>
      </c>
    </row>
    <row r="39" spans="1:11" s="2" customFormat="1" ht="31.5" x14ac:dyDescent="0.25">
      <c r="A39" s="8">
        <v>1051200</v>
      </c>
      <c r="B39" s="11" t="s">
        <v>34</v>
      </c>
      <c r="C39" s="42"/>
      <c r="D39" s="42"/>
      <c r="E39" s="42">
        <v>68704</v>
      </c>
      <c r="F39" s="42">
        <v>6995036</v>
      </c>
      <c r="G39" s="42">
        <v>623182</v>
      </c>
      <c r="H39" s="42">
        <v>651666</v>
      </c>
      <c r="I39" s="42">
        <v>1781490</v>
      </c>
      <c r="J39" s="42">
        <v>91208</v>
      </c>
      <c r="K39" s="43">
        <f t="shared" si="2"/>
        <v>10211286</v>
      </c>
    </row>
    <row r="40" spans="1:11" s="2" customFormat="1" x14ac:dyDescent="0.25">
      <c r="A40" s="19"/>
      <c r="B40" s="20"/>
      <c r="C40" s="44"/>
      <c r="D40" s="44"/>
      <c r="E40" s="44"/>
      <c r="F40" s="44"/>
      <c r="G40" s="44"/>
      <c r="H40" s="44"/>
      <c r="I40" s="44"/>
      <c r="J40" s="44"/>
      <c r="K40" s="45"/>
    </row>
    <row r="41" spans="1:11" s="1" customFormat="1" ht="31.5" x14ac:dyDescent="0.25">
      <c r="A41" s="8">
        <v>1060000</v>
      </c>
      <c r="B41" s="11" t="s">
        <v>35</v>
      </c>
      <c r="C41" s="42">
        <f>SUM(C42)</f>
        <v>354440285</v>
      </c>
      <c r="D41" s="42">
        <f t="shared" ref="D41:J41" si="5">SUM(D42)</f>
        <v>0</v>
      </c>
      <c r="E41" s="42">
        <f t="shared" si="5"/>
        <v>0</v>
      </c>
      <c r="F41" s="42">
        <f t="shared" si="5"/>
        <v>0</v>
      </c>
      <c r="G41" s="42">
        <f t="shared" si="5"/>
        <v>0</v>
      </c>
      <c r="H41" s="42">
        <f t="shared" si="5"/>
        <v>0</v>
      </c>
      <c r="I41" s="42">
        <f t="shared" si="5"/>
        <v>0</v>
      </c>
      <c r="J41" s="42">
        <f t="shared" si="5"/>
        <v>0</v>
      </c>
      <c r="K41" s="43">
        <f t="shared" si="2"/>
        <v>354440285</v>
      </c>
    </row>
    <row r="42" spans="1:11" s="1" customFormat="1" x14ac:dyDescent="0.25">
      <c r="A42" s="19">
        <v>1060400</v>
      </c>
      <c r="B42" s="20" t="s">
        <v>66</v>
      </c>
      <c r="C42" s="44">
        <f>348069020-4799749-10327977+8254720-483642-12227488-2128848-8142134-60603885+1527563-2000000+92302705+5000000</f>
        <v>354440285</v>
      </c>
      <c r="D42" s="44"/>
      <c r="E42" s="44"/>
      <c r="F42" s="44"/>
      <c r="G42" s="44"/>
      <c r="H42" s="44"/>
      <c r="I42" s="44"/>
      <c r="J42" s="44"/>
      <c r="K42" s="45">
        <f t="shared" si="2"/>
        <v>354440285</v>
      </c>
    </row>
    <row r="43" spans="1:11" s="1" customFormat="1" x14ac:dyDescent="0.25">
      <c r="A43" s="8"/>
      <c r="B43" s="11"/>
      <c r="C43" s="44"/>
      <c r="D43" s="44"/>
      <c r="E43" s="44"/>
      <c r="F43" s="44"/>
      <c r="G43" s="44"/>
      <c r="H43" s="44"/>
      <c r="I43" s="44"/>
      <c r="J43" s="44"/>
      <c r="K43" s="43">
        <f t="shared" si="2"/>
        <v>0</v>
      </c>
    </row>
    <row r="44" spans="1:11" s="1" customFormat="1" x14ac:dyDescent="0.25">
      <c r="A44" s="8">
        <v>1400000</v>
      </c>
      <c r="B44" s="11" t="s">
        <v>36</v>
      </c>
      <c r="C44" s="42">
        <f>C45</f>
        <v>14163554</v>
      </c>
      <c r="D44" s="42">
        <f t="shared" ref="D44:J44" si="6">D45</f>
        <v>366976</v>
      </c>
      <c r="E44" s="42">
        <f t="shared" si="6"/>
        <v>5851265</v>
      </c>
      <c r="F44" s="42">
        <f t="shared" si="6"/>
        <v>5015467</v>
      </c>
      <c r="G44" s="42">
        <f t="shared" si="6"/>
        <v>3811805</v>
      </c>
      <c r="H44" s="42">
        <f t="shared" si="6"/>
        <v>3669550</v>
      </c>
      <c r="I44" s="42">
        <f t="shared" si="6"/>
        <v>1247965</v>
      </c>
      <c r="J44" s="42">
        <f t="shared" si="6"/>
        <v>1350428</v>
      </c>
      <c r="K44" s="43">
        <f t="shared" si="2"/>
        <v>35477010</v>
      </c>
    </row>
    <row r="45" spans="1:11" s="1" customFormat="1" x14ac:dyDescent="0.25">
      <c r="A45" s="8">
        <v>1400100</v>
      </c>
      <c r="B45" s="11" t="s">
        <v>37</v>
      </c>
      <c r="C45" s="44">
        <v>14163554</v>
      </c>
      <c r="D45" s="44">
        <v>366976</v>
      </c>
      <c r="E45" s="44">
        <v>5851265</v>
      </c>
      <c r="F45" s="44">
        <v>5015467</v>
      </c>
      <c r="G45" s="44">
        <v>3811805</v>
      </c>
      <c r="H45" s="44">
        <v>3669550</v>
      </c>
      <c r="I45" s="44">
        <v>1247965</v>
      </c>
      <c r="J45" s="44">
        <v>1350428</v>
      </c>
      <c r="K45" s="45">
        <f t="shared" si="2"/>
        <v>35477010</v>
      </c>
    </row>
    <row r="46" spans="1:11" s="1" customFormat="1" ht="16.5" thickBot="1" x14ac:dyDescent="0.3">
      <c r="A46" s="33"/>
      <c r="B46" s="34"/>
      <c r="C46" s="46"/>
      <c r="D46" s="46"/>
      <c r="E46" s="46"/>
      <c r="F46" s="46"/>
      <c r="G46" s="46"/>
      <c r="H46" s="46"/>
      <c r="I46" s="46"/>
      <c r="J46" s="46"/>
      <c r="K46" s="47">
        <f t="shared" si="2"/>
        <v>0</v>
      </c>
    </row>
    <row r="47" spans="1:11" s="1" customFormat="1" ht="16.5" thickBot="1" x14ac:dyDescent="0.3">
      <c r="A47" s="35">
        <v>2000000</v>
      </c>
      <c r="B47" s="32" t="s">
        <v>38</v>
      </c>
      <c r="C47" s="38">
        <f>SUM(C48+C56+C59+C61+C63)</f>
        <v>105013708</v>
      </c>
      <c r="D47" s="38">
        <f t="shared" ref="D47:J47" si="7">SUM(D48+D56+D59+D61+D63)</f>
        <v>195973</v>
      </c>
      <c r="E47" s="38">
        <f t="shared" si="7"/>
        <v>9112454</v>
      </c>
      <c r="F47" s="38">
        <f t="shared" si="7"/>
        <v>2938759.9950000001</v>
      </c>
      <c r="G47" s="38">
        <f t="shared" si="7"/>
        <v>1753035</v>
      </c>
      <c r="H47" s="38">
        <f t="shared" si="7"/>
        <v>1912902</v>
      </c>
      <c r="I47" s="38">
        <f t="shared" si="7"/>
        <v>1222344</v>
      </c>
      <c r="J47" s="38">
        <f t="shared" si="7"/>
        <v>804893</v>
      </c>
      <c r="K47" s="39">
        <f t="shared" si="2"/>
        <v>122954068.995</v>
      </c>
    </row>
    <row r="48" spans="1:11" s="1" customFormat="1" ht="47.25" x14ac:dyDescent="0.25">
      <c r="A48" s="17">
        <v>2010000</v>
      </c>
      <c r="B48" s="31" t="s">
        <v>39</v>
      </c>
      <c r="C48" s="40">
        <f>23302413+662750</f>
        <v>23965163</v>
      </c>
      <c r="D48" s="40">
        <v>28291</v>
      </c>
      <c r="E48" s="40">
        <v>719757</v>
      </c>
      <c r="F48" s="40">
        <v>172681.995</v>
      </c>
      <c r="G48" s="40">
        <v>209220</v>
      </c>
      <c r="H48" s="40">
        <v>107069</v>
      </c>
      <c r="I48" s="40">
        <v>44040</v>
      </c>
      <c r="J48" s="40">
        <v>25855</v>
      </c>
      <c r="K48" s="41">
        <f t="shared" si="2"/>
        <v>25272076.995000001</v>
      </c>
    </row>
    <row r="49" spans="1:11" s="1" customFormat="1" ht="31.5" x14ac:dyDescent="0.25">
      <c r="A49" s="8">
        <v>2010200</v>
      </c>
      <c r="B49" s="11" t="s">
        <v>40</v>
      </c>
      <c r="C49" s="42">
        <v>1281979</v>
      </c>
      <c r="D49" s="42">
        <v>28292</v>
      </c>
      <c r="E49" s="42">
        <v>123744</v>
      </c>
      <c r="F49" s="42">
        <v>128758</v>
      </c>
      <c r="G49" s="42">
        <v>27013</v>
      </c>
      <c r="H49" s="42">
        <v>105474</v>
      </c>
      <c r="I49" s="42">
        <v>44040</v>
      </c>
      <c r="J49" s="42">
        <v>12616</v>
      </c>
      <c r="K49" s="43">
        <f t="shared" si="2"/>
        <v>1751916</v>
      </c>
    </row>
    <row r="50" spans="1:11" s="1" customFormat="1" ht="31.5" x14ac:dyDescent="0.25">
      <c r="A50" s="8">
        <v>2010300</v>
      </c>
      <c r="B50" s="11" t="s">
        <v>41</v>
      </c>
      <c r="C50" s="42">
        <v>5833631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3">
        <f t="shared" si="2"/>
        <v>5833631</v>
      </c>
    </row>
    <row r="51" spans="1:11" s="1" customFormat="1" ht="31.5" x14ac:dyDescent="0.25">
      <c r="A51" s="8">
        <v>2010400</v>
      </c>
      <c r="B51" s="11" t="s">
        <v>42</v>
      </c>
      <c r="C51" s="42">
        <v>340000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3">
        <f t="shared" si="2"/>
        <v>340000</v>
      </c>
    </row>
    <row r="52" spans="1:11" s="1" customFormat="1" ht="31.5" x14ac:dyDescent="0.25">
      <c r="A52" s="8">
        <v>2010500</v>
      </c>
      <c r="B52" s="11" t="s">
        <v>43</v>
      </c>
      <c r="C52" s="42">
        <v>47444</v>
      </c>
      <c r="D52" s="42">
        <v>0</v>
      </c>
      <c r="E52" s="42">
        <v>4</v>
      </c>
      <c r="F52" s="42">
        <v>43</v>
      </c>
      <c r="G52" s="42">
        <v>0</v>
      </c>
      <c r="H52" s="42">
        <v>0</v>
      </c>
      <c r="I52" s="42">
        <v>0</v>
      </c>
      <c r="J52" s="42">
        <v>0</v>
      </c>
      <c r="K52" s="43">
        <f t="shared" si="2"/>
        <v>47491</v>
      </c>
    </row>
    <row r="53" spans="1:11" s="1" customFormat="1" ht="31.5" x14ac:dyDescent="0.25">
      <c r="A53" s="8">
        <v>2010900</v>
      </c>
      <c r="B53" s="11" t="s">
        <v>44</v>
      </c>
      <c r="C53" s="42">
        <v>1251426</v>
      </c>
      <c r="D53" s="42">
        <v>0</v>
      </c>
      <c r="E53" s="42">
        <v>525830</v>
      </c>
      <c r="F53" s="42">
        <v>0</v>
      </c>
      <c r="G53" s="42">
        <v>57000</v>
      </c>
      <c r="H53" s="42">
        <v>0</v>
      </c>
      <c r="I53" s="42">
        <v>0</v>
      </c>
      <c r="J53" s="42">
        <v>0</v>
      </c>
      <c r="K53" s="43">
        <f t="shared" si="2"/>
        <v>1834256</v>
      </c>
    </row>
    <row r="54" spans="1:11" s="1" customFormat="1" ht="31.5" x14ac:dyDescent="0.25">
      <c r="A54" s="8">
        <v>2011000</v>
      </c>
      <c r="B54" s="11" t="s">
        <v>45</v>
      </c>
      <c r="C54" s="42">
        <f>13295000+662750</f>
        <v>13957750</v>
      </c>
      <c r="D54" s="42">
        <v>0</v>
      </c>
      <c r="E54" s="42">
        <v>0</v>
      </c>
      <c r="F54" s="42">
        <v>0</v>
      </c>
      <c r="G54" s="42">
        <v>0</v>
      </c>
      <c r="H54" s="48">
        <v>0</v>
      </c>
      <c r="I54" s="42">
        <v>0</v>
      </c>
      <c r="J54" s="42">
        <v>0</v>
      </c>
      <c r="K54" s="43">
        <f t="shared" si="2"/>
        <v>13957750</v>
      </c>
    </row>
    <row r="55" spans="1:11" s="1" customFormat="1" x14ac:dyDescent="0.25">
      <c r="A55" s="8"/>
      <c r="B55" s="11"/>
      <c r="C55" s="42"/>
      <c r="D55" s="42"/>
      <c r="E55" s="42"/>
      <c r="F55" s="42"/>
      <c r="G55" s="42"/>
      <c r="H55" s="42"/>
      <c r="I55" s="42"/>
      <c r="J55" s="42"/>
      <c r="K55" s="43"/>
    </row>
    <row r="56" spans="1:11" s="1" customFormat="1" ht="31.5" x14ac:dyDescent="0.25">
      <c r="A56" s="8">
        <v>2020000</v>
      </c>
      <c r="B56" s="11" t="s">
        <v>46</v>
      </c>
      <c r="C56" s="42">
        <f>54016684+6000000+3779405+5300000-3686238</f>
        <v>65409851</v>
      </c>
      <c r="D56" s="42">
        <v>3874</v>
      </c>
      <c r="E56" s="42">
        <v>80203</v>
      </c>
      <c r="F56" s="42">
        <v>20246</v>
      </c>
      <c r="G56" s="42">
        <v>16960</v>
      </c>
      <c r="H56" s="42">
        <v>10443</v>
      </c>
      <c r="I56" s="42">
        <v>34863</v>
      </c>
      <c r="J56" s="42">
        <v>12686</v>
      </c>
      <c r="K56" s="43">
        <f t="shared" si="2"/>
        <v>65589126</v>
      </c>
    </row>
    <row r="57" spans="1:11" s="1" customFormat="1" ht="31.5" x14ac:dyDescent="0.25">
      <c r="A57" s="19">
        <v>2020100</v>
      </c>
      <c r="B57" s="20" t="s">
        <v>47</v>
      </c>
      <c r="C57" s="44">
        <f>32400000+6000000+3000000+5300000</f>
        <v>46700000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5">
        <f t="shared" si="2"/>
        <v>46700000</v>
      </c>
    </row>
    <row r="58" spans="1:11" s="1" customFormat="1" x14ac:dyDescent="0.25">
      <c r="A58" s="19"/>
      <c r="B58" s="20"/>
      <c r="C58" s="44"/>
      <c r="D58" s="44"/>
      <c r="E58" s="44"/>
      <c r="F58" s="44"/>
      <c r="G58" s="44"/>
      <c r="H58" s="44"/>
      <c r="I58" s="44"/>
      <c r="J58" s="44"/>
      <c r="K58" s="43"/>
    </row>
    <row r="59" spans="1:11" s="1" customFormat="1" x14ac:dyDescent="0.25">
      <c r="A59" s="10">
        <v>2060000</v>
      </c>
      <c r="B59" s="11" t="s">
        <v>48</v>
      </c>
      <c r="C59" s="42">
        <v>4971919</v>
      </c>
      <c r="D59" s="42">
        <v>138835</v>
      </c>
      <c r="E59" s="42">
        <v>1405421</v>
      </c>
      <c r="F59" s="42">
        <v>682768</v>
      </c>
      <c r="G59" s="42">
        <v>527697</v>
      </c>
      <c r="H59" s="42">
        <v>574948</v>
      </c>
      <c r="I59" s="42">
        <v>264148</v>
      </c>
      <c r="J59" s="42">
        <v>257154</v>
      </c>
      <c r="K59" s="43">
        <f t="shared" si="2"/>
        <v>8822890</v>
      </c>
    </row>
    <row r="60" spans="1:11" s="1" customFormat="1" x14ac:dyDescent="0.25">
      <c r="A60" s="21"/>
      <c r="B60" s="20"/>
      <c r="C60" s="44"/>
      <c r="D60" s="44"/>
      <c r="E60" s="44"/>
      <c r="F60" s="44"/>
      <c r="G60" s="44"/>
      <c r="H60" s="44"/>
      <c r="I60" s="44"/>
      <c r="J60" s="44"/>
      <c r="K60" s="43"/>
    </row>
    <row r="61" spans="1:11" s="1" customFormat="1" x14ac:dyDescent="0.25">
      <c r="A61" s="10">
        <v>2070000</v>
      </c>
      <c r="B61" s="11" t="s">
        <v>49</v>
      </c>
      <c r="C61" s="42">
        <v>10666775</v>
      </c>
      <c r="D61" s="42">
        <v>24973</v>
      </c>
      <c r="E61" s="42">
        <v>6907073</v>
      </c>
      <c r="F61" s="42">
        <v>2063064</v>
      </c>
      <c r="G61" s="42">
        <v>999158</v>
      </c>
      <c r="H61" s="42">
        <v>1220442</v>
      </c>
      <c r="I61" s="42">
        <v>879293</v>
      </c>
      <c r="J61" s="42">
        <v>509198</v>
      </c>
      <c r="K61" s="43">
        <f t="shared" si="2"/>
        <v>23269976</v>
      </c>
    </row>
    <row r="62" spans="1:11" s="1" customFormat="1" x14ac:dyDescent="0.25">
      <c r="A62" s="21"/>
      <c r="B62" s="20"/>
      <c r="C62" s="42"/>
      <c r="D62" s="44"/>
      <c r="E62" s="44"/>
      <c r="F62" s="44"/>
      <c r="G62" s="44"/>
      <c r="H62" s="44"/>
      <c r="I62" s="44"/>
      <c r="J62" s="44"/>
      <c r="K62" s="43"/>
    </row>
    <row r="63" spans="1:11" s="1" customFormat="1" x14ac:dyDescent="0.25">
      <c r="A63" s="10">
        <v>2090000</v>
      </c>
      <c r="B63" s="11" t="s">
        <v>50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3">
        <f t="shared" si="2"/>
        <v>0</v>
      </c>
    </row>
    <row r="64" spans="1:11" s="1" customFormat="1" ht="16.5" thickBot="1" x14ac:dyDescent="0.3">
      <c r="A64" s="23"/>
      <c r="B64" s="27"/>
      <c r="C64" s="49"/>
      <c r="D64" s="49"/>
      <c r="E64" s="49"/>
      <c r="F64" s="49"/>
      <c r="G64" s="49"/>
      <c r="H64" s="49"/>
      <c r="I64" s="49"/>
      <c r="J64" s="49"/>
      <c r="K64" s="47"/>
    </row>
    <row r="65" spans="1:11" s="1" customFormat="1" ht="16.5" thickBot="1" x14ac:dyDescent="0.3">
      <c r="A65" s="66">
        <v>3000000</v>
      </c>
      <c r="B65" s="67" t="s">
        <v>68</v>
      </c>
      <c r="C65" s="68">
        <f t="shared" ref="C65:J65" si="8">SUM(C66:C69)</f>
        <v>66037790</v>
      </c>
      <c r="D65" s="68">
        <f t="shared" si="8"/>
        <v>0</v>
      </c>
      <c r="E65" s="68">
        <f t="shared" si="8"/>
        <v>0</v>
      </c>
      <c r="F65" s="68">
        <f t="shared" si="8"/>
        <v>0</v>
      </c>
      <c r="G65" s="68">
        <f t="shared" si="8"/>
        <v>0</v>
      </c>
      <c r="H65" s="68">
        <f t="shared" si="8"/>
        <v>0</v>
      </c>
      <c r="I65" s="68">
        <f t="shared" si="8"/>
        <v>0</v>
      </c>
      <c r="J65" s="68">
        <f t="shared" si="8"/>
        <v>0</v>
      </c>
      <c r="K65" s="69">
        <f>SUM(C65:J65)</f>
        <v>66037790</v>
      </c>
    </row>
    <row r="66" spans="1:11" s="1" customFormat="1" x14ac:dyDescent="0.25">
      <c r="A66" s="55">
        <v>3010000</v>
      </c>
      <c r="B66" s="56" t="s">
        <v>69</v>
      </c>
      <c r="C66" s="57">
        <f>0+21245763+4594200</f>
        <v>25839963</v>
      </c>
      <c r="D66" s="57">
        <v>0</v>
      </c>
      <c r="E66" s="57">
        <v>0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8">
        <f>SUM(C66:J66)</f>
        <v>25839963</v>
      </c>
    </row>
    <row r="67" spans="1:11" s="1" customFormat="1" ht="31.5" x14ac:dyDescent="0.25">
      <c r="A67" s="59" t="s">
        <v>70</v>
      </c>
      <c r="B67" s="60" t="s">
        <v>71</v>
      </c>
      <c r="C67" s="61">
        <f>0+7086783</f>
        <v>7086783</v>
      </c>
      <c r="D67" s="61"/>
      <c r="E67" s="61"/>
      <c r="F67" s="61"/>
      <c r="G67" s="61"/>
      <c r="H67" s="61"/>
      <c r="I67" s="61"/>
      <c r="J67" s="61"/>
      <c r="K67" s="70">
        <f t="shared" ref="K67:K68" si="9">SUM(C67:J67)</f>
        <v>7086783</v>
      </c>
    </row>
    <row r="68" spans="1:11" s="1" customFormat="1" x14ac:dyDescent="0.25">
      <c r="A68" s="73">
        <v>3060000</v>
      </c>
      <c r="B68" s="71" t="s">
        <v>72</v>
      </c>
      <c r="C68" s="72">
        <f>0+93044+33018000</f>
        <v>33111044</v>
      </c>
      <c r="D68" s="72"/>
      <c r="E68" s="72"/>
      <c r="F68" s="72"/>
      <c r="G68" s="72"/>
      <c r="H68" s="72"/>
      <c r="I68" s="72"/>
      <c r="J68" s="72"/>
      <c r="K68" s="70">
        <f t="shared" si="9"/>
        <v>33111044</v>
      </c>
    </row>
    <row r="69" spans="1:11" s="1" customFormat="1" ht="16.5" thickBot="1" x14ac:dyDescent="0.3">
      <c r="A69" s="62"/>
      <c r="B69" s="63"/>
      <c r="C69" s="64"/>
      <c r="D69" s="64"/>
      <c r="E69" s="64"/>
      <c r="F69" s="64"/>
      <c r="G69" s="64"/>
      <c r="H69" s="64"/>
      <c r="I69" s="64"/>
      <c r="J69" s="64"/>
      <c r="K69" s="65">
        <f>SUM(C69:J69)</f>
        <v>0</v>
      </c>
    </row>
    <row r="70" spans="1:11" s="1" customFormat="1" ht="16.5" thickBot="1" x14ac:dyDescent="0.3">
      <c r="A70" s="28">
        <v>4000000</v>
      </c>
      <c r="B70" s="32" t="s">
        <v>51</v>
      </c>
      <c r="C70" s="38">
        <f>SUM(C71+C74+C76+C78+C80+C82+C84+C86)</f>
        <v>552345565</v>
      </c>
      <c r="D70" s="38">
        <f t="shared" ref="D70:J70" si="10">SUM(D71+D74+D76+D78+D80+D82+D84+D86)</f>
        <v>19197438</v>
      </c>
      <c r="E70" s="38">
        <f t="shared" si="10"/>
        <v>23425442</v>
      </c>
      <c r="F70" s="38">
        <f t="shared" si="10"/>
        <v>32313564</v>
      </c>
      <c r="G70" s="38">
        <f t="shared" si="10"/>
        <v>14498746</v>
      </c>
      <c r="H70" s="38">
        <f t="shared" si="10"/>
        <v>23167182</v>
      </c>
      <c r="I70" s="38">
        <f t="shared" si="10"/>
        <v>18062126</v>
      </c>
      <c r="J70" s="38">
        <f t="shared" si="10"/>
        <v>6946603</v>
      </c>
      <c r="K70" s="39">
        <f t="shared" si="2"/>
        <v>689956666</v>
      </c>
    </row>
    <row r="71" spans="1:11" s="1" customFormat="1" x14ac:dyDescent="0.25">
      <c r="A71" s="30">
        <v>4010000</v>
      </c>
      <c r="B71" s="31" t="s">
        <v>52</v>
      </c>
      <c r="C71" s="40">
        <f>122917412+380000+993480+483642+20826564</f>
        <v>145601098</v>
      </c>
      <c r="D71" s="40">
        <f>13803564+1686000</f>
        <v>15489564</v>
      </c>
      <c r="E71" s="40">
        <f>15239585+43218</f>
        <v>15282803</v>
      </c>
      <c r="F71" s="40">
        <f>11623510+15797</f>
        <v>11639307</v>
      </c>
      <c r="G71" s="40">
        <v>6082795</v>
      </c>
      <c r="H71" s="40">
        <f>3128590-10225</f>
        <v>3118365</v>
      </c>
      <c r="I71" s="40">
        <v>1078860</v>
      </c>
      <c r="J71" s="40">
        <v>931353</v>
      </c>
      <c r="K71" s="41">
        <f t="shared" si="2"/>
        <v>199224145</v>
      </c>
    </row>
    <row r="72" spans="1:11" s="1" customFormat="1" x14ac:dyDescent="0.25">
      <c r="A72" s="21">
        <v>4010104</v>
      </c>
      <c r="B72" s="20" t="s">
        <v>53</v>
      </c>
      <c r="C72" s="44">
        <f>47232122-125346</f>
        <v>47106776</v>
      </c>
      <c r="D72" s="44">
        <f>13513004+1686000</f>
        <v>15199004</v>
      </c>
      <c r="E72" s="44">
        <f>7403153+43218</f>
        <v>7446371</v>
      </c>
      <c r="F72" s="44">
        <f>3261494+15797</f>
        <v>3277291</v>
      </c>
      <c r="G72" s="44">
        <v>1302289</v>
      </c>
      <c r="H72" s="44">
        <f>2114978-10225</f>
        <v>2104753</v>
      </c>
      <c r="I72" s="44">
        <v>718444</v>
      </c>
      <c r="J72" s="44">
        <v>325090</v>
      </c>
      <c r="K72" s="45">
        <f t="shared" si="2"/>
        <v>77480018</v>
      </c>
    </row>
    <row r="73" spans="1:11" s="1" customFormat="1" x14ac:dyDescent="0.25">
      <c r="A73" s="21"/>
      <c r="B73" s="20"/>
      <c r="C73" s="44"/>
      <c r="D73" s="44"/>
      <c r="E73" s="44"/>
      <c r="F73" s="44"/>
      <c r="G73" s="44"/>
      <c r="H73" s="44"/>
      <c r="I73" s="44"/>
      <c r="J73" s="44"/>
      <c r="K73" s="43"/>
    </row>
    <row r="74" spans="1:11" s="1" customFormat="1" ht="31.5" x14ac:dyDescent="0.25">
      <c r="A74" s="10">
        <v>4020100</v>
      </c>
      <c r="B74" s="11" t="s">
        <v>54</v>
      </c>
      <c r="C74" s="42">
        <v>2103291</v>
      </c>
      <c r="D74" s="42">
        <v>919121</v>
      </c>
      <c r="E74" s="42">
        <v>560814</v>
      </c>
      <c r="F74" s="42">
        <v>367923</v>
      </c>
      <c r="G74" s="42">
        <v>327344</v>
      </c>
      <c r="H74" s="42">
        <v>1040483</v>
      </c>
      <c r="I74" s="42">
        <v>250820</v>
      </c>
      <c r="J74" s="42">
        <v>150366</v>
      </c>
      <c r="K74" s="43">
        <f t="shared" si="2"/>
        <v>5720162</v>
      </c>
    </row>
    <row r="75" spans="1:11" s="1" customFormat="1" x14ac:dyDescent="0.25">
      <c r="A75" s="21"/>
      <c r="B75" s="20"/>
      <c r="C75" s="44"/>
      <c r="D75" s="44"/>
      <c r="E75" s="44"/>
      <c r="F75" s="44"/>
      <c r="G75" s="44"/>
      <c r="H75" s="44"/>
      <c r="I75" s="44"/>
      <c r="J75" s="44"/>
      <c r="K75" s="43"/>
    </row>
    <row r="76" spans="1:11" ht="63" x14ac:dyDescent="0.25">
      <c r="A76" s="8">
        <v>4080000</v>
      </c>
      <c r="B76" s="11" t="s">
        <v>55</v>
      </c>
      <c r="C76" s="42">
        <v>519248</v>
      </c>
      <c r="D76" s="42">
        <v>0</v>
      </c>
      <c r="E76" s="42">
        <v>636894</v>
      </c>
      <c r="F76" s="42">
        <v>11657740</v>
      </c>
      <c r="G76" s="42">
        <v>5234178</v>
      </c>
      <c r="H76" s="42">
        <v>13517479</v>
      </c>
      <c r="I76" s="42">
        <v>12521634</v>
      </c>
      <c r="J76" s="42">
        <v>3874977</v>
      </c>
      <c r="K76" s="43">
        <f t="shared" si="2"/>
        <v>47962150</v>
      </c>
    </row>
    <row r="77" spans="1:11" x14ac:dyDescent="0.25">
      <c r="A77" s="10"/>
      <c r="B77" s="11"/>
      <c r="C77" s="42"/>
      <c r="D77" s="42"/>
      <c r="E77" s="42"/>
      <c r="F77" s="42"/>
      <c r="G77" s="42"/>
      <c r="H77" s="42"/>
      <c r="I77" s="42"/>
      <c r="J77" s="42"/>
      <c r="K77" s="43"/>
    </row>
    <row r="78" spans="1:11" x14ac:dyDescent="0.25">
      <c r="A78" s="10">
        <v>4100000</v>
      </c>
      <c r="B78" s="11" t="s">
        <v>56</v>
      </c>
      <c r="C78" s="42">
        <f>202239581+4799749+10327977-380000-12589119+23155241+8142134+60603885-1527563+29115442-5000000</f>
        <v>318887327</v>
      </c>
      <c r="D78" s="42">
        <v>2788753</v>
      </c>
      <c r="E78" s="42">
        <v>6785836</v>
      </c>
      <c r="F78" s="42">
        <v>5887622</v>
      </c>
      <c r="G78" s="42">
        <v>1648730</v>
      </c>
      <c r="H78" s="42">
        <v>2492040</v>
      </c>
      <c r="I78" s="42">
        <v>1439463</v>
      </c>
      <c r="J78" s="42">
        <v>873782</v>
      </c>
      <c r="K78" s="43">
        <f t="shared" si="2"/>
        <v>340803553</v>
      </c>
    </row>
    <row r="79" spans="1:11" x14ac:dyDescent="0.25">
      <c r="A79" s="10"/>
      <c r="B79" s="11"/>
      <c r="C79" s="42"/>
      <c r="D79" s="42"/>
      <c r="E79" s="42"/>
      <c r="F79" s="42"/>
      <c r="G79" s="42"/>
      <c r="H79" s="42"/>
      <c r="I79" s="42"/>
      <c r="J79" s="42"/>
      <c r="K79" s="43"/>
    </row>
    <row r="80" spans="1:11" x14ac:dyDescent="0.25">
      <c r="A80" s="10">
        <v>4110000</v>
      </c>
      <c r="B80" s="11" t="s">
        <v>57</v>
      </c>
      <c r="C80" s="42">
        <f>5026949+4334399+2252311+2179285</f>
        <v>13792944</v>
      </c>
      <c r="D80" s="42"/>
      <c r="E80" s="42"/>
      <c r="F80" s="42"/>
      <c r="G80" s="42"/>
      <c r="H80" s="42"/>
      <c r="I80" s="42"/>
      <c r="J80" s="42"/>
      <c r="K80" s="43">
        <f t="shared" ref="K80:K89" si="11">SUM(C80:J80)</f>
        <v>13792944</v>
      </c>
    </row>
    <row r="81" spans="1:11" x14ac:dyDescent="0.25">
      <c r="A81" s="10"/>
      <c r="B81" s="11"/>
      <c r="C81" s="42"/>
      <c r="D81" s="42"/>
      <c r="E81" s="42"/>
      <c r="F81" s="42"/>
      <c r="G81" s="42"/>
      <c r="H81" s="42"/>
      <c r="I81" s="42"/>
      <c r="J81" s="42"/>
      <c r="K81" s="43"/>
    </row>
    <row r="82" spans="1:11" x14ac:dyDescent="0.25">
      <c r="A82" s="10">
        <v>4120000</v>
      </c>
      <c r="B82" s="11" t="s">
        <v>58</v>
      </c>
      <c r="C82" s="42">
        <f>12000000+2793552</f>
        <v>14793552</v>
      </c>
      <c r="D82" s="42"/>
      <c r="E82" s="42"/>
      <c r="F82" s="42"/>
      <c r="G82" s="42"/>
      <c r="H82" s="42"/>
      <c r="I82" s="42"/>
      <c r="J82" s="42"/>
      <c r="K82" s="43">
        <f t="shared" si="11"/>
        <v>14793552</v>
      </c>
    </row>
    <row r="83" spans="1:11" x14ac:dyDescent="0.25">
      <c r="A83" s="10"/>
      <c r="B83" s="11"/>
      <c r="C83" s="42"/>
      <c r="D83" s="42"/>
      <c r="E83" s="42"/>
      <c r="F83" s="42"/>
      <c r="G83" s="42"/>
      <c r="H83" s="42"/>
      <c r="I83" s="42"/>
      <c r="J83" s="42"/>
      <c r="K83" s="43"/>
    </row>
    <row r="84" spans="1:11" x14ac:dyDescent="0.25">
      <c r="A84" s="10">
        <v>4130000</v>
      </c>
      <c r="B84" s="22" t="s">
        <v>64</v>
      </c>
      <c r="C84" s="42">
        <f>20500000+2000000+5237910</f>
        <v>27737910</v>
      </c>
      <c r="D84" s="53"/>
      <c r="E84" s="53"/>
      <c r="F84" s="53"/>
      <c r="G84" s="53"/>
      <c r="H84" s="53"/>
      <c r="I84" s="53"/>
      <c r="J84" s="53"/>
      <c r="K84" s="43">
        <f t="shared" si="11"/>
        <v>27737910</v>
      </c>
    </row>
    <row r="85" spans="1:11" x14ac:dyDescent="0.25">
      <c r="A85" s="23"/>
      <c r="B85" s="52"/>
      <c r="C85" s="49"/>
      <c r="D85" s="54"/>
      <c r="E85" s="54"/>
      <c r="F85" s="54"/>
      <c r="G85" s="54"/>
      <c r="H85" s="54"/>
      <c r="I85" s="54"/>
      <c r="J85" s="54"/>
      <c r="K85" s="47"/>
    </row>
    <row r="86" spans="1:11" x14ac:dyDescent="0.25">
      <c r="A86" s="10">
        <v>4140000</v>
      </c>
      <c r="B86" s="22" t="s">
        <v>65</v>
      </c>
      <c r="C86" s="42">
        <f>32352240+2128848-11012055+5441162</f>
        <v>28910195</v>
      </c>
      <c r="D86" s="53"/>
      <c r="E86" s="53">
        <f>0+159095</f>
        <v>159095</v>
      </c>
      <c r="F86" s="53">
        <f>0+2760972</f>
        <v>2760972</v>
      </c>
      <c r="G86" s="53">
        <f>0+1205699</f>
        <v>1205699</v>
      </c>
      <c r="H86" s="53">
        <f>0+2998815</f>
        <v>2998815</v>
      </c>
      <c r="I86" s="53">
        <f>0+2771349</f>
        <v>2771349</v>
      </c>
      <c r="J86" s="53">
        <f>0+1116125</f>
        <v>1116125</v>
      </c>
      <c r="K86" s="43">
        <f t="shared" si="11"/>
        <v>39922250</v>
      </c>
    </row>
    <row r="87" spans="1:11" ht="16.5" thickBot="1" x14ac:dyDescent="0.3">
      <c r="A87" s="23"/>
      <c r="B87" s="27"/>
      <c r="C87" s="49"/>
      <c r="D87" s="54"/>
      <c r="E87" s="54"/>
      <c r="F87" s="54"/>
      <c r="G87" s="54"/>
      <c r="H87" s="54"/>
      <c r="I87" s="54"/>
      <c r="J87" s="54"/>
      <c r="K87" s="47"/>
    </row>
    <row r="88" spans="1:11" ht="32.25" thickBot="1" x14ac:dyDescent="0.3">
      <c r="A88" s="28">
        <v>5000000</v>
      </c>
      <c r="B88" s="29" t="s">
        <v>59</v>
      </c>
      <c r="C88" s="38">
        <f>153697588+930847+75256</f>
        <v>154703691</v>
      </c>
      <c r="D88" s="38">
        <v>6327189</v>
      </c>
      <c r="E88" s="38">
        <f>40230445+124139-15256</f>
        <v>40339328</v>
      </c>
      <c r="F88" s="38">
        <f>19971166+210000</f>
        <v>20181166</v>
      </c>
      <c r="G88" s="38">
        <f>9494134+54264</f>
        <v>9548398</v>
      </c>
      <c r="H88" s="38">
        <f>6621496+66250+8892</f>
        <v>6696638</v>
      </c>
      <c r="I88" s="38">
        <f>4936142+155000</f>
        <v>5091142</v>
      </c>
      <c r="J88" s="38">
        <f>2974802+37500</f>
        <v>3012302</v>
      </c>
      <c r="K88" s="39">
        <f t="shared" si="11"/>
        <v>245899854</v>
      </c>
    </row>
    <row r="89" spans="1:11" ht="16.5" thickBot="1" x14ac:dyDescent="0.3">
      <c r="A89" s="24"/>
      <c r="B89" s="25" t="s">
        <v>60</v>
      </c>
      <c r="C89" s="50">
        <f>SUM(C14+C47+C70+C88+C65)</f>
        <v>1661752983</v>
      </c>
      <c r="D89" s="50">
        <f t="shared" ref="D89:J89" si="12">SUM(D14+D47+D70+D88+D65)</f>
        <v>216188733</v>
      </c>
      <c r="E89" s="50">
        <f t="shared" si="12"/>
        <v>112858760</v>
      </c>
      <c r="F89" s="50">
        <f t="shared" si="12"/>
        <v>87171929.995000005</v>
      </c>
      <c r="G89" s="50">
        <f t="shared" si="12"/>
        <v>39618224</v>
      </c>
      <c r="H89" s="50">
        <f t="shared" si="12"/>
        <v>44203724</v>
      </c>
      <c r="I89" s="50">
        <f t="shared" si="12"/>
        <v>33787950</v>
      </c>
      <c r="J89" s="50">
        <f t="shared" si="12"/>
        <v>14453774</v>
      </c>
      <c r="K89" s="51">
        <f t="shared" si="11"/>
        <v>2210036077.9949999</v>
      </c>
    </row>
    <row r="99" spans="2:10" x14ac:dyDescent="0.25">
      <c r="B99" s="26"/>
      <c r="C99" s="16"/>
      <c r="D99" s="16"/>
      <c r="E99" s="16"/>
      <c r="F99" s="16"/>
      <c r="G99" s="16"/>
      <c r="H99" s="16"/>
      <c r="I99" s="16"/>
      <c r="J99" s="16"/>
    </row>
    <row r="100" spans="2:10" x14ac:dyDescent="0.25">
      <c r="B100" s="26"/>
      <c r="C100" s="16"/>
      <c r="D100" s="16"/>
      <c r="E100" s="16"/>
      <c r="F100" s="16"/>
      <c r="G100" s="16"/>
      <c r="H100" s="16"/>
      <c r="I100" s="16"/>
      <c r="J100" s="16"/>
    </row>
    <row r="124" spans="2:10" x14ac:dyDescent="0.25">
      <c r="B124" s="26"/>
      <c r="C124" s="16"/>
      <c r="D124" s="16"/>
      <c r="E124" s="16"/>
      <c r="F124" s="16"/>
      <c r="G124" s="16"/>
      <c r="H124" s="16"/>
      <c r="I124" s="16"/>
      <c r="J124" s="16"/>
    </row>
    <row r="125" spans="2:10" x14ac:dyDescent="0.25">
      <c r="B125" s="26"/>
      <c r="C125" s="16"/>
      <c r="D125" s="16"/>
      <c r="E125" s="16"/>
      <c r="F125" s="16"/>
      <c r="G125" s="16"/>
      <c r="H125" s="16"/>
      <c r="I125" s="16"/>
      <c r="J125" s="16"/>
    </row>
    <row r="126" spans="2:10" x14ac:dyDescent="0.25">
      <c r="B126" s="26"/>
      <c r="C126" s="16"/>
      <c r="D126" s="16"/>
      <c r="E126" s="16"/>
      <c r="F126" s="16"/>
      <c r="G126" s="16"/>
      <c r="H126" s="16"/>
      <c r="I126" s="16"/>
      <c r="J126" s="16"/>
    </row>
    <row r="127" spans="2:10" x14ac:dyDescent="0.25">
      <c r="B127" s="26"/>
      <c r="C127" s="16"/>
      <c r="D127" s="16"/>
      <c r="E127" s="16"/>
      <c r="F127" s="16"/>
      <c r="G127" s="16"/>
      <c r="H127" s="16"/>
      <c r="I127" s="16"/>
      <c r="J127" s="16"/>
    </row>
    <row r="133" spans="1:10" x14ac:dyDescent="0.25">
      <c r="A133" s="9"/>
      <c r="B133" s="2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B134" s="2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B135" s="26"/>
      <c r="C135" s="16"/>
      <c r="D135" s="16"/>
      <c r="E135" s="16"/>
      <c r="F135" s="16"/>
      <c r="G135" s="16"/>
      <c r="H135" s="16"/>
      <c r="I135" s="16"/>
      <c r="J135" s="16"/>
    </row>
  </sheetData>
  <mergeCells count="4">
    <mergeCell ref="I7:K7"/>
    <mergeCell ref="H8:K8"/>
    <mergeCell ref="I9:K9"/>
    <mergeCell ref="A11:K11"/>
  </mergeCells>
  <pageMargins left="0.39370078740157483" right="0.19685039370078741" top="0.6692913385826772" bottom="0.39370078740157483" header="0" footer="0"/>
  <pageSetup paperSize="9" scale="74" firstPageNumber="12" fitToHeight="3" orientation="landscape" useFirstPageNumber="1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2.1 (422)</vt:lpstr>
      <vt:lpstr>'Приложение № 2.1 (422)'!Заголовки_для_печати</vt:lpstr>
      <vt:lpstr>'Приложение № 2.1 (422)'!Область_печати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2022-03-22T06:41:16Z</dcterms:modified>
</cp:coreProperties>
</file>