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2022\Президент\Распоряжения\сентябрь\Новая папка\"/>
    </mc:Choice>
  </mc:AlternateContent>
  <bookViews>
    <workbookView xWindow="-120" yWindow="-120" windowWidth="29040" windowHeight="15840"/>
  </bookViews>
  <sheets>
    <sheet name="Приложение № 2.2 " sheetId="1" r:id="rId1"/>
  </sheets>
  <definedNames>
    <definedName name="_xlnm.Print_Titles" localSheetId="0">'Приложение № 2.2 '!$8:$8</definedName>
    <definedName name="_xlnm.Print_Area" localSheetId="0">'Приложение № 2.2 '!$A$1:$G$294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3" i="1" l="1"/>
  <c r="F290" i="1" l="1"/>
  <c r="F175" i="1" l="1"/>
  <c r="F292" i="1" l="1"/>
  <c r="G292" i="1" l="1"/>
  <c r="F152" i="1" l="1"/>
  <c r="G291" i="1" l="1"/>
  <c r="F216" i="1" l="1"/>
  <c r="F169" i="1" l="1"/>
  <c r="F168" i="1"/>
  <c r="F167" i="1"/>
  <c r="F52" i="1"/>
  <c r="F50" i="1"/>
  <c r="F49" i="1"/>
  <c r="F48" i="1"/>
  <c r="F47" i="1"/>
  <c r="F136" i="1" l="1"/>
  <c r="G136" i="1" s="1"/>
  <c r="G135" i="1"/>
  <c r="F166" i="1" l="1"/>
  <c r="F277" i="1" l="1"/>
  <c r="G129" i="1"/>
  <c r="F105" i="1"/>
  <c r="G286" i="1" l="1"/>
  <c r="G213" i="1"/>
  <c r="G209" i="1"/>
  <c r="G188" i="1"/>
  <c r="G290" i="1"/>
  <c r="G289" i="1"/>
  <c r="G285" i="1"/>
  <c r="G284" i="1"/>
  <c r="G283" i="1"/>
  <c r="G282" i="1"/>
  <c r="G281" i="1"/>
  <c r="G280" i="1"/>
  <c r="G271" i="1"/>
  <c r="G268" i="1"/>
  <c r="G265" i="1"/>
  <c r="G261" i="1"/>
  <c r="G251" i="1"/>
  <c r="G246" i="1"/>
  <c r="G236" i="1"/>
  <c r="G233" i="1"/>
  <c r="G228" i="1"/>
  <c r="G227" i="1"/>
  <c r="G212" i="1"/>
  <c r="G208" i="1"/>
  <c r="G205" i="1"/>
  <c r="G204" i="1"/>
  <c r="G203" i="1"/>
  <c r="G197" i="1"/>
  <c r="G194" i="1"/>
  <c r="G193" i="1"/>
  <c r="G189" i="1"/>
  <c r="G186" i="1"/>
  <c r="G179" i="1"/>
  <c r="G172" i="1"/>
  <c r="G163" i="1"/>
  <c r="G162" i="1"/>
  <c r="G161" i="1"/>
  <c r="G160" i="1"/>
  <c r="G148" i="1"/>
  <c r="G140" i="1"/>
  <c r="G132" i="1"/>
  <c r="G123" i="1"/>
  <c r="G120" i="1"/>
  <c r="G117" i="1"/>
  <c r="G116" i="1"/>
  <c r="G115" i="1"/>
  <c r="G114" i="1"/>
  <c r="G111" i="1"/>
  <c r="G108" i="1"/>
  <c r="G105" i="1"/>
  <c r="G100" i="1"/>
  <c r="G99" i="1"/>
  <c r="G95" i="1"/>
  <c r="G94" i="1"/>
  <c r="G93" i="1"/>
  <c r="G92" i="1"/>
  <c r="G91" i="1"/>
  <c r="G90" i="1"/>
  <c r="G88" i="1"/>
  <c r="G84" i="1"/>
  <c r="G82" i="1"/>
  <c r="G77" i="1"/>
  <c r="G76" i="1"/>
  <c r="G73" i="1"/>
  <c r="G72" i="1"/>
  <c r="G71" i="1"/>
  <c r="G70" i="1"/>
  <c r="G69" i="1"/>
  <c r="G68" i="1"/>
  <c r="G67" i="1"/>
  <c r="G65" i="1"/>
  <c r="G62" i="1"/>
  <c r="G61" i="1"/>
  <c r="G60" i="1"/>
  <c r="G56" i="1"/>
  <c r="G53" i="1"/>
  <c r="G51" i="1"/>
  <c r="G50" i="1"/>
  <c r="G48" i="1"/>
  <c r="G44" i="1"/>
  <c r="G29" i="1"/>
  <c r="G23" i="1"/>
  <c r="G22" i="1"/>
  <c r="G17" i="1"/>
  <c r="G15" i="1"/>
  <c r="G14" i="1"/>
  <c r="G13" i="1"/>
  <c r="G12" i="1"/>
  <c r="G11" i="1"/>
  <c r="F210" i="1"/>
  <c r="F211" i="1"/>
  <c r="F156" i="1"/>
  <c r="F279" i="1"/>
  <c r="F278" i="1"/>
  <c r="F272" i="1"/>
  <c r="F269" i="1"/>
  <c r="F264" i="1"/>
  <c r="F266" i="1" s="1"/>
  <c r="F262" i="1"/>
  <c r="F256" i="1"/>
  <c r="F257" i="1" s="1"/>
  <c r="F258" i="1" s="1"/>
  <c r="F252" i="1"/>
  <c r="F253" i="1" s="1"/>
  <c r="F247" i="1"/>
  <c r="F243" i="1"/>
  <c r="F244" i="1" s="1"/>
  <c r="F240" i="1"/>
  <c r="F241" i="1" s="1"/>
  <c r="F237" i="1"/>
  <c r="F238" i="1" s="1"/>
  <c r="F232" i="1"/>
  <c r="F231" i="1"/>
  <c r="F229" i="1"/>
  <c r="F224" i="1"/>
  <c r="F225" i="1" s="1"/>
  <c r="F219" i="1"/>
  <c r="F220" i="1" s="1"/>
  <c r="F217" i="1"/>
  <c r="F202" i="1"/>
  <c r="F206" i="1" s="1"/>
  <c r="F199" i="1"/>
  <c r="F198" i="1"/>
  <c r="F192" i="1"/>
  <c r="F195" i="1" s="1"/>
  <c r="F187" i="1"/>
  <c r="F185" i="1"/>
  <c r="F184" i="1"/>
  <c r="F183" i="1"/>
  <c r="F180" i="1"/>
  <c r="F178" i="1"/>
  <c r="F177" i="1"/>
  <c r="F176" i="1"/>
  <c r="F173" i="1"/>
  <c r="F159" i="1"/>
  <c r="F164" i="1" s="1"/>
  <c r="F155" i="1"/>
  <c r="F151" i="1"/>
  <c r="F150" i="1"/>
  <c r="F149" i="1"/>
  <c r="F141" i="1"/>
  <c r="F142" i="1" s="1"/>
  <c r="F133" i="1"/>
  <c r="F128" i="1"/>
  <c r="F124" i="1"/>
  <c r="F121" i="1"/>
  <c r="F118" i="1"/>
  <c r="F112" i="1"/>
  <c r="F109" i="1"/>
  <c r="F106" i="1"/>
  <c r="F98" i="1"/>
  <c r="F101" i="1" s="1"/>
  <c r="F89" i="1"/>
  <c r="F87" i="1"/>
  <c r="F83" i="1"/>
  <c r="F81" i="1"/>
  <c r="F80" i="1"/>
  <c r="F78" i="1"/>
  <c r="F66" i="1"/>
  <c r="F74" i="1" s="1"/>
  <c r="F59" i="1"/>
  <c r="F57" i="1"/>
  <c r="F43" i="1"/>
  <c r="F42" i="1"/>
  <c r="F41" i="1"/>
  <c r="F38" i="1"/>
  <c r="F37" i="1"/>
  <c r="F36" i="1"/>
  <c r="F35" i="1"/>
  <c r="F34" i="1"/>
  <c r="F30" i="1"/>
  <c r="F26" i="1"/>
  <c r="F27" i="1" s="1"/>
  <c r="F24" i="1"/>
  <c r="F16" i="1"/>
  <c r="F10" i="1"/>
  <c r="F39" i="1" l="1"/>
  <c r="F200" i="1"/>
  <c r="F234" i="1"/>
  <c r="F248" i="1" s="1"/>
  <c r="F157" i="1"/>
  <c r="F190" i="1"/>
  <c r="F85" i="1"/>
  <c r="F130" i="1"/>
  <c r="F137" i="1" s="1"/>
  <c r="F54" i="1"/>
  <c r="F170" i="1"/>
  <c r="F273" i="1"/>
  <c r="F45" i="1"/>
  <c r="F63" i="1"/>
  <c r="F96" i="1"/>
  <c r="F153" i="1"/>
  <c r="F181" i="1"/>
  <c r="F125" i="1"/>
  <c r="F214" i="1"/>
  <c r="F31" i="1"/>
  <c r="C57" i="1"/>
  <c r="G57" i="1" s="1"/>
  <c r="F221" i="1" l="1"/>
  <c r="F274" i="1" s="1"/>
  <c r="C277" i="1"/>
  <c r="G277" i="1" s="1"/>
  <c r="C272" i="1"/>
  <c r="G272" i="1" s="1"/>
  <c r="C264" i="1"/>
  <c r="G264" i="1" s="1"/>
  <c r="C256" i="1"/>
  <c r="G256" i="1" s="1"/>
  <c r="C243" i="1"/>
  <c r="G243" i="1" s="1"/>
  <c r="C240" i="1"/>
  <c r="G240" i="1" s="1"/>
  <c r="C237" i="1"/>
  <c r="G237" i="1" s="1"/>
  <c r="C232" i="1"/>
  <c r="G232" i="1" s="1"/>
  <c r="C231" i="1"/>
  <c r="G231" i="1" s="1"/>
  <c r="C224" i="1"/>
  <c r="G224" i="1" s="1"/>
  <c r="C219" i="1"/>
  <c r="G219" i="1" s="1"/>
  <c r="C216" i="1"/>
  <c r="G216" i="1" s="1"/>
  <c r="C211" i="1"/>
  <c r="G211" i="1" s="1"/>
  <c r="C210" i="1"/>
  <c r="G210" i="1" s="1"/>
  <c r="C202" i="1"/>
  <c r="G202" i="1" s="1"/>
  <c r="C199" i="1"/>
  <c r="G199" i="1" s="1"/>
  <c r="C198" i="1"/>
  <c r="G198" i="1" s="1"/>
  <c r="C192" i="1"/>
  <c r="G192" i="1" s="1"/>
  <c r="C278" i="1" l="1"/>
  <c r="G278" i="1" s="1"/>
  <c r="C187" i="1"/>
  <c r="G187" i="1" s="1"/>
  <c r="C185" i="1"/>
  <c r="G185" i="1" s="1"/>
  <c r="C184" i="1"/>
  <c r="G184" i="1" s="1"/>
  <c r="C183" i="1"/>
  <c r="G183" i="1" s="1"/>
  <c r="C180" i="1"/>
  <c r="G180" i="1" s="1"/>
  <c r="C176" i="1"/>
  <c r="G176" i="1" s="1"/>
  <c r="C169" i="1"/>
  <c r="G169" i="1" s="1"/>
  <c r="C168" i="1"/>
  <c r="G168" i="1" s="1"/>
  <c r="C167" i="1"/>
  <c r="G167" i="1" s="1"/>
  <c r="C166" i="1"/>
  <c r="G166" i="1" s="1"/>
  <c r="C159" i="1"/>
  <c r="G159" i="1" s="1"/>
  <c r="C156" i="1"/>
  <c r="G156" i="1" s="1"/>
  <c r="C155" i="1"/>
  <c r="G155" i="1" s="1"/>
  <c r="C152" i="1"/>
  <c r="G152" i="1" s="1"/>
  <c r="C151" i="1"/>
  <c r="G151" i="1" s="1"/>
  <c r="C150" i="1"/>
  <c r="G150" i="1" s="1"/>
  <c r="C149" i="1"/>
  <c r="G149" i="1" s="1"/>
  <c r="C133" i="1"/>
  <c r="G133" i="1" s="1"/>
  <c r="C128" i="1"/>
  <c r="G128" i="1" s="1"/>
  <c r="C98" i="1"/>
  <c r="G98" i="1" s="1"/>
  <c r="C89" i="1"/>
  <c r="G89" i="1" s="1"/>
  <c r="C87" i="1"/>
  <c r="G87" i="1" s="1"/>
  <c r="C83" i="1"/>
  <c r="G83" i="1" s="1"/>
  <c r="C81" i="1"/>
  <c r="G81" i="1" s="1"/>
  <c r="C80" i="1"/>
  <c r="G80" i="1" s="1"/>
  <c r="C66" i="1"/>
  <c r="G66" i="1" s="1"/>
  <c r="C52" i="1"/>
  <c r="G52" i="1" s="1"/>
  <c r="C49" i="1"/>
  <c r="G49" i="1" s="1"/>
  <c r="C47" i="1"/>
  <c r="G47" i="1" s="1"/>
  <c r="C43" i="1"/>
  <c r="G43" i="1" s="1"/>
  <c r="C42" i="1"/>
  <c r="G42" i="1" s="1"/>
  <c r="C41" i="1"/>
  <c r="G41" i="1" s="1"/>
  <c r="C38" i="1"/>
  <c r="G38" i="1" s="1"/>
  <c r="C37" i="1"/>
  <c r="G37" i="1" s="1"/>
  <c r="C36" i="1"/>
  <c r="G36" i="1" s="1"/>
  <c r="C35" i="1"/>
  <c r="G35" i="1" s="1"/>
  <c r="C34" i="1"/>
  <c r="G34" i="1" s="1"/>
  <c r="C26" i="1"/>
  <c r="G26" i="1" s="1"/>
  <c r="C24" i="1"/>
  <c r="G24" i="1" s="1"/>
  <c r="C101" i="1" l="1"/>
  <c r="G101" i="1" s="1"/>
  <c r="C269" i="1"/>
  <c r="G269" i="1" s="1"/>
  <c r="C59" i="1"/>
  <c r="G59" i="1" s="1"/>
  <c r="C177" i="1"/>
  <c r="G177" i="1" s="1"/>
  <c r="C175" i="1"/>
  <c r="G175" i="1" s="1"/>
  <c r="C63" i="1" l="1"/>
  <c r="G63" i="1" s="1"/>
  <c r="C279" i="1"/>
  <c r="G279" i="1" s="1"/>
  <c r="C266" i="1"/>
  <c r="G266" i="1" s="1"/>
  <c r="C164" i="1"/>
  <c r="G164" i="1" s="1"/>
  <c r="C124" i="1"/>
  <c r="G124" i="1" s="1"/>
  <c r="C10" i="1"/>
  <c r="G10" i="1" s="1"/>
  <c r="C16" i="1" l="1"/>
  <c r="G16" i="1" s="1"/>
  <c r="C153" i="1" l="1"/>
  <c r="G153" i="1" s="1"/>
  <c r="C195" i="1"/>
  <c r="G195" i="1" s="1"/>
  <c r="C170" i="1"/>
  <c r="G170" i="1" s="1"/>
  <c r="C220" i="1" l="1"/>
  <c r="G220" i="1" s="1"/>
  <c r="C229" i="1"/>
  <c r="G229" i="1" s="1"/>
  <c r="C121" i="1" l="1"/>
  <c r="G121" i="1" s="1"/>
  <c r="C247" i="1"/>
  <c r="G247" i="1" s="1"/>
  <c r="C112" i="1"/>
  <c r="G112" i="1" s="1"/>
  <c r="C118" i="1"/>
  <c r="G118" i="1" s="1"/>
  <c r="C244" i="1"/>
  <c r="G244" i="1" s="1"/>
  <c r="C238" i="1"/>
  <c r="G238" i="1" s="1"/>
  <c r="C234" i="1"/>
  <c r="G234" i="1" s="1"/>
  <c r="C157" i="1"/>
  <c r="G157" i="1" s="1"/>
  <c r="C39" i="1"/>
  <c r="G39" i="1" s="1"/>
  <c r="C214" i="1"/>
  <c r="G214" i="1" s="1"/>
  <c r="C206" i="1"/>
  <c r="G206" i="1" s="1"/>
  <c r="C96" i="1"/>
  <c r="G96" i="1" s="1"/>
  <c r="C200" i="1"/>
  <c r="G200" i="1" s="1"/>
  <c r="C85" i="1"/>
  <c r="G85" i="1" s="1"/>
  <c r="C74" i="1"/>
  <c r="C130" i="1"/>
  <c r="G130" i="1" s="1"/>
  <c r="C178" i="1"/>
  <c r="G178" i="1" s="1"/>
  <c r="C173" i="1"/>
  <c r="G173" i="1" s="1"/>
  <c r="C137" i="1" l="1"/>
  <c r="G137" i="1" s="1"/>
  <c r="C78" i="1"/>
  <c r="C54" i="1"/>
  <c r="G54" i="1" s="1"/>
  <c r="C181" i="1"/>
  <c r="G181" i="1" s="1"/>
  <c r="C45" i="1"/>
  <c r="G45" i="1" s="1"/>
  <c r="C190" i="1"/>
  <c r="G190" i="1" s="1"/>
  <c r="C102" i="1" l="1"/>
  <c r="G78" i="1"/>
  <c r="C225" i="1"/>
  <c r="G225" i="1" s="1"/>
  <c r="C27" i="1" l="1"/>
  <c r="G27" i="1" s="1"/>
  <c r="C262" i="1" l="1"/>
  <c r="G262" i="1" s="1"/>
  <c r="C273" i="1" l="1"/>
  <c r="G273" i="1" s="1"/>
  <c r="C257" i="1"/>
  <c r="G257" i="1" s="1"/>
  <c r="C252" i="1"/>
  <c r="G252" i="1" s="1"/>
  <c r="C241" i="1"/>
  <c r="G241" i="1" s="1"/>
  <c r="C141" i="1"/>
  <c r="G141" i="1" s="1"/>
  <c r="C109" i="1"/>
  <c r="G109" i="1" s="1"/>
  <c r="C106" i="1"/>
  <c r="G106" i="1" s="1"/>
  <c r="C248" i="1" l="1"/>
  <c r="G248" i="1" s="1"/>
  <c r="C125" i="1"/>
  <c r="G125" i="1" s="1"/>
  <c r="C30" i="1"/>
  <c r="G30" i="1" s="1"/>
  <c r="C142" i="1"/>
  <c r="G142" i="1" s="1"/>
  <c r="C217" i="1"/>
  <c r="G217" i="1" s="1"/>
  <c r="C253" i="1"/>
  <c r="G253" i="1" s="1"/>
  <c r="C258" i="1"/>
  <c r="G258" i="1" s="1"/>
  <c r="C221" i="1" l="1"/>
  <c r="G221" i="1" s="1"/>
  <c r="C31" i="1"/>
  <c r="G31" i="1" s="1"/>
  <c r="C274" i="1" l="1"/>
  <c r="G274" i="1" s="1"/>
  <c r="C143" i="1"/>
  <c r="C18" i="1" l="1"/>
  <c r="C287" i="1"/>
  <c r="G74" i="1" l="1"/>
  <c r="F102" i="1"/>
  <c r="F143" i="1" s="1"/>
  <c r="F18" i="1" s="1"/>
  <c r="G143" i="1" l="1"/>
  <c r="F287" i="1"/>
  <c r="G287" i="1" s="1"/>
  <c r="G288" i="1" s="1"/>
  <c r="G102" i="1"/>
  <c r="G18" i="1" l="1"/>
</calcChain>
</file>

<file path=xl/sharedStrings.xml><?xml version="1.0" encoding="utf-8"?>
<sst xmlns="http://schemas.openxmlformats.org/spreadsheetml/2006/main" count="852" uniqueCount="240">
  <si>
    <t xml:space="preserve">Государственная администрация Рыбницкого района и г. Рыбницы </t>
  </si>
  <si>
    <t>Министерство обороны Приднестровской Молдавской Республики</t>
  </si>
  <si>
    <t>Итого по подстатье 240 240</t>
  </si>
  <si>
    <t xml:space="preserve">Министерство обороны Приднестровской Молдавской Республики </t>
  </si>
  <si>
    <t>Государственная администрация Григориопольского района и г. Григориополя</t>
  </si>
  <si>
    <t>Итого по программе капитальных вложений</t>
  </si>
  <si>
    <t>Министерство по социальной защите и труду  Приднестровской Молдавской Республики</t>
  </si>
  <si>
    <t>Государственная администрация г. Тирасполя и г. Днестровска</t>
  </si>
  <si>
    <t>Государственная администрация Слобоздейского района и г. Слободзеи</t>
  </si>
  <si>
    <t>Государственная администрация  Рыбницкого района и г. Рыбницы</t>
  </si>
  <si>
    <t>Государственная администрация Каменского района и г. Каменки</t>
  </si>
  <si>
    <t>Итого по программе капитального ремонта</t>
  </si>
  <si>
    <t>№ п/п</t>
  </si>
  <si>
    <t xml:space="preserve">Наименование объекта </t>
  </si>
  <si>
    <t>Программа капитальных вложений</t>
  </si>
  <si>
    <t>Итого</t>
  </si>
  <si>
    <t>Государственная администрация г. Бендеры</t>
  </si>
  <si>
    <t>Государственная администрация Слободзейского района и г. Слободзеи</t>
  </si>
  <si>
    <t>Государственная администрация  Каменского района и г. Каменки</t>
  </si>
  <si>
    <t>Государственная администрация Дубоссарского района и г. Дубоссары</t>
  </si>
  <si>
    <t>Министерство здравоохранения Приднестровской Молдавской Республики</t>
  </si>
  <si>
    <t xml:space="preserve">Сумма, руб. </t>
  </si>
  <si>
    <t>Государственная администрация Рыбницкого района и г. Рыбницы</t>
  </si>
  <si>
    <t xml:space="preserve">Прокуратура Приднестровской Молдавской Республики </t>
  </si>
  <si>
    <t>Министерство экономического развития Приднестровской Молдавской Республики</t>
  </si>
  <si>
    <t>Министерство внутренних дел Приднестровской Молдавской Республики</t>
  </si>
  <si>
    <t>Министерство юстиции Приднестровской Молдавской Республики</t>
  </si>
  <si>
    <t>ДОХОДЫ ВСЕГО, в том числе:</t>
  </si>
  <si>
    <t>РАСХОДЫ ВСЕГО, в том числе:</t>
  </si>
  <si>
    <t xml:space="preserve">Министерство по социальной защите и труду Приднестровской Молдавской Республики </t>
  </si>
  <si>
    <t>Капитальные вложения в строительство коммунальных объектов (240 250)</t>
  </si>
  <si>
    <t>Программа капитального ремонта</t>
  </si>
  <si>
    <t>Приднестровский государственный университет им. Т. Г. Шевченко</t>
  </si>
  <si>
    <t>Министерство просвещения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</si>
  <si>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</si>
  <si>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>Капитальный ремонт гидротехнических и противопаводковых сооружений, в том числе проектные работы</t>
  </si>
  <si>
    <t>Администрация Президента Приднестровской Молдавской Республики</t>
  </si>
  <si>
    <t>Государственная администрация г. Днестровска</t>
  </si>
  <si>
    <t xml:space="preserve">Создание парка имени  Александра Невского на территории исторического военно-мемориального комплекса "Бендерская крепость" и реконструкция исторического военно-мемориального  комплекса "Бендерская крепость", в том числе проектные работы </t>
  </si>
  <si>
    <t>Капитальный ремонт  Дома культуры с. Незавертайловка</t>
  </si>
  <si>
    <t>Восстановление парка Витгенштейна, г. Каменка, в том числе проектные работы</t>
  </si>
  <si>
    <t>Капитальный ремонт санитарных узлов ГУ "Республиканский центр матери и ребенка", расположенного по адресу: г. Тирасполь, ул. 1 Мая, 58, в том числе проектные работы</t>
  </si>
  <si>
    <t>Реконструкция СВА с. Дойбаны под размещение единого комплекса для проживания одиноких граждан пожилого возраста</t>
  </si>
  <si>
    <t>Государственная служба охраны Приднестровской Молдавской Республики</t>
  </si>
  <si>
    <t>Министерство государственной безопасности Приднестровской Молдавской Республики</t>
  </si>
  <si>
    <t xml:space="preserve">Государственная служба исполнения наказаний Министерства юстиции Приднестровской Молдавской Республики </t>
  </si>
  <si>
    <t xml:space="preserve">Следственный комитет Приднестровской Молдавской Республики </t>
  </si>
  <si>
    <t>Секретно</t>
  </si>
  <si>
    <t xml:space="preserve">Государственная служба по спорту Приднестровской Молдавской Республики </t>
  </si>
  <si>
    <t>Капитальный ремонт СВА с. Парканы ГУ "Бендерский центр амбулаторно-поликлинической помощи", расположенного по адресу: с. Парканы, ул. Ленина, 83, в том числе проектные работы</t>
  </si>
  <si>
    <t>Реконструкция объекта "Кицканский плацдарм", в том числе проектные работы</t>
  </si>
  <si>
    <t>Отчисления от единого таможенного платежа в размере 29,92%</t>
  </si>
  <si>
    <t xml:space="preserve">"О республиканском бюджете на 2022 год" </t>
  </si>
  <si>
    <t>1.</t>
  </si>
  <si>
    <t>4.</t>
  </si>
  <si>
    <t>8.</t>
  </si>
  <si>
    <t>2.</t>
  </si>
  <si>
    <t>5.</t>
  </si>
  <si>
    <t>3.</t>
  </si>
  <si>
    <t>6.</t>
  </si>
  <si>
    <t>9.</t>
  </si>
  <si>
    <t>7.</t>
  </si>
  <si>
    <t>Капитальный ремонт СВА Коротное ГУЗ "Днестровская городская больница", расположенного по адресу: с. Коротное, ул. Фрунзе, 5б, в том числе проектные работы и благоустройство территории</t>
  </si>
  <si>
    <t>Капитальный ремонт Дома культуры с. Фрунзе</t>
  </si>
  <si>
    <t>Модернизация пищевых блоков в образовательных учреждениях Приднестровской Молдавской Республики</t>
  </si>
  <si>
    <t>Итого по модернизации пищевых блоков в образовательных учреждениях Приднестровской Молдавской Республики</t>
  </si>
  <si>
    <t>Приложение № 2.2</t>
  </si>
  <si>
    <t>Благоустройство сквера Авиаторов, г. Тирасполь, в том числе проектные работы</t>
  </si>
  <si>
    <t>Реконструкция летнего кинотеатра г. Слободзеи, в том числе проектные работы</t>
  </si>
  <si>
    <t>Строительство спортивного комплекса в г. Слободзее, в том числе проектные работы</t>
  </si>
  <si>
    <t>Благоустройство центрального парка культуры и отдыха г. Григориополя</t>
  </si>
  <si>
    <t>Установка мачты на территории административного здания, расположенного по адресу: г. Слободзея, ул. Фрунзе, 17</t>
  </si>
  <si>
    <t>Реконструкция гребной базы МОУ ДО "Григориопольская ДЮСШ", в том числе проектные работы</t>
  </si>
  <si>
    <t>Капитальный ремонт парка "Октябрьский" в г. Бендеры, в том числе проектные работы</t>
  </si>
  <si>
    <t>Капитальный ремонт МОУ "Григориопольская русско-молдавская общеобразовательная средняя школа с. Красная Горка", в том числе проектные работы</t>
  </si>
  <si>
    <t>Капитальный ремонт МДОУ "Детский сад "Мэрцишорий", с. Бутор</t>
  </si>
  <si>
    <t>Капитальный ремонт зданий в ГУП ОК"Днестровские зори"</t>
  </si>
  <si>
    <t>Капитальный ремонт Дома официальных приемов (литера Ц), расположенного по адресу: г. Тирасполь, ул. Мира, 50</t>
  </si>
  <si>
    <t>Капитальный ремонт зданий УЭПиК и УУР, расположенных по адресу: г. Тирасполь, ул. К. Либнехта, 167, в том числе проектные работы</t>
  </si>
  <si>
    <t>Капитальный ремонт административного здания УГАИ, г. Бендеры, ул. Тимирязева, 2а, в том числе проектные работы (переходящий)</t>
  </si>
  <si>
    <t>Приобретение бамперных машин и аккумуляторов для детского аттракциона "Электромобили" для городского парка им. Кирова в г. Рыбнице</t>
  </si>
  <si>
    <t>Приобретение непроизводственного оборудования и предметов длительного пользования для государственных учреждений (240120)</t>
  </si>
  <si>
    <t>Капитальные вложения в строительство объектов социально-культурного назначения (240230)</t>
  </si>
  <si>
    <t>Итого по подстатье 240120</t>
  </si>
  <si>
    <t>Итого по подстатье 240230</t>
  </si>
  <si>
    <t>Капитальные вложения в строительство административных зданий  (240240)</t>
  </si>
  <si>
    <t>Итого по подстатье 240250</t>
  </si>
  <si>
    <t>Итого по подстатье 111070</t>
  </si>
  <si>
    <t>Товары и услуги, не отнесенные к другим подстатьям (111070)</t>
  </si>
  <si>
    <t>Капитальный ремонт объектов социально-культурного назначения (240330)</t>
  </si>
  <si>
    <t>Итого по подстатье 240330</t>
  </si>
  <si>
    <t>Капитальный ремонт административных зданий (240340)</t>
  </si>
  <si>
    <t>Итого по подстатье 240340</t>
  </si>
  <si>
    <t>Капитальный ремонт прочих объектов (240360)</t>
  </si>
  <si>
    <t>Итого по подстатье 240360</t>
  </si>
  <si>
    <t>ОСТАТКИ по состоянию на 01.01.2022 г. ВСЕГО, в том числе:</t>
  </si>
  <si>
    <t>Отчисления от единого таможенного платежа</t>
  </si>
  <si>
    <t>Отчисления от единого социального налога</t>
  </si>
  <si>
    <t>Прочие поступления</t>
  </si>
  <si>
    <t>Реконструкция стадиона, расположенного на прилегающей территории к МОУ "ТСШГК № 18"</t>
  </si>
  <si>
    <t>Реконструкция центральной части г. Слободзеи (парк молодоженов), в том числе проектные работы (кредиторская задолженность за 2021 год)</t>
  </si>
  <si>
    <t>Министерство финансов Приднестровской Молдавской Республики</t>
  </si>
  <si>
    <t>Строительство баскетбольного поля на территории  МОУ "Григориопольская ОСШ им. Стоева с лицейскими классами № 2", корпус 3, в том числе проектные работы</t>
  </si>
  <si>
    <t>Создание Государственного историко-краеведческого музея (в составе Екатерининского парка в городе Тирасполе) (1 этап), в том числе проектные работы</t>
  </si>
  <si>
    <t>Строительство детского аттракциона "Электромобили" на территории городского парка им. Кирова в г. Рыбнице</t>
  </si>
  <si>
    <t>Строительство 4-этажного здания Военного института Министерства обороны (ВИМО), военный городок № 15, г. Тирасполь, в том числе проектные работы</t>
  </si>
  <si>
    <t>Строительство очистных сооружений для МДОУ "Детский сад "Березонька",                                                   с. Парканы, в том числе проектные работы</t>
  </si>
  <si>
    <t>Капитальный ремонт спорткомплекса МОУ ДО "Григориопольская ДЮСШ",                                                   г. Григориополь</t>
  </si>
  <si>
    <t>Капитальный ремонт здания № 6, казарма, военный городок № 17, г. Бендеры</t>
  </si>
  <si>
    <t>Капитальный ремонт административного  здания, расположенного по адресу:                                                   г. Тирасполь, ул. Манойлова, 42</t>
  </si>
  <si>
    <t>Резерв Фонда капитальных вложений Приднестровской Молдавской Республики</t>
  </si>
  <si>
    <t>Государственная служба управления документацией и архивами                                                            Приднестровской Молдавской Республики</t>
  </si>
  <si>
    <t>Погашение кредиторской задолженности по состоянию на 1 января 2022 года (подстатья 110360)</t>
  </si>
  <si>
    <t>Полное исполнение договорных обязательств 2021 года, образовавшихся в рамках реализации мероприятий Программы развития материально-технической базы Фонда капитальных вложений за 2021 год (подстатья 110360)</t>
  </si>
  <si>
    <t>Погашение кредиторской задолженности по состоянию на 1 января 2022 года (подстатья 111020)</t>
  </si>
  <si>
    <t>Полное исполнение договорных обязательств 2021 года, образовавшихся в рамках реализации мероприятий Программы развития материально-технической базы Фонда капитальных вложений за 2021 год (подстатья 111020)</t>
  </si>
  <si>
    <t>Полное исполнение договорных обязательств 2021 года, образовавшихся в рамках реализации мероприятий Программы развития материально-технической базы Фонда капитальных вложений за 2021 год (статья 240120)</t>
  </si>
  <si>
    <t>Разработка и экспертиза проектно-сметной документации по капитальному ремонту зданий и сооружений (в том числе кредиторская задолженность за 2021 год в сумме 23 784 руб.)</t>
  </si>
  <si>
    <t>Приобретение 2 (двух) единиц транспортных средств</t>
  </si>
  <si>
    <t>Строительство нового хирургического корпуса ГУ «Республиканская клиническая больница», расположенного по адресу: г. Тирасполь, ул. Мира, 33, в том числе проектные работы</t>
  </si>
  <si>
    <t>Благоустройство (мощение плиткой)  МОУ "Ержовская средняя общеобразовательная школа"</t>
  </si>
  <si>
    <t>Строительство централизованного водоснабжения 3-4 района с. Красненькое Рыбницкого района</t>
  </si>
  <si>
    <t>Приобретение мебели, оборудования, оргтехники, оборудования и аксессуаров для экспозиций, выставочных экспонатов для оснащения Мемориального музея Бендерской трагедии по ул. Советской</t>
  </si>
  <si>
    <t>Приобретение офисной мебели и кондиционеров для административного  здания, расположенного по адресу: г. Тирасполь, ул. Манойлова, 42</t>
  </si>
  <si>
    <t>ВСЕГО расходов по Фонду капитальных вложений Приднестровской Молдавской Республики</t>
  </si>
  <si>
    <t>На покрытие дефицита республиканского бюджета</t>
  </si>
  <si>
    <t>Благоустройство (мощение плиткой) территории МДОУ "Рыбницкий центр развития ребенка № 3"</t>
  </si>
  <si>
    <t>Капитальный ремонт здания № 3, казарма, военный городок № 17, г. Бендеры</t>
  </si>
  <si>
    <t>Министерство финансов Приднестровской Молдавской Республики *</t>
  </si>
  <si>
    <t>* средства расходуются в соответствии со статьей 5 (секретно)</t>
  </si>
  <si>
    <t>к Закону Приднестровской Молдавской Республики</t>
  </si>
  <si>
    <t>Реконструкция поликлиники ГУ "Григориопольская центральная районная больница", расположенного по адресу: г. Григориополь, ул. Дзержинского, 34, в том числе проектные работы и благоустройство</t>
  </si>
  <si>
    <t>Приобретение оборудования и мебели для ГОУ ДО "Республиканская спортивная детско-юношеская школа олимпийского резерва футбола", расположенного по адресу: с. Чобручи, ул. С.Лазо, 32</t>
  </si>
  <si>
    <t>Реконструкция операционного блока, отделения хирургии № 1, отделения гнойной хирургии  ГУ "Рыбницкая центральная районная больница", расположенного по адресу: г. Рыбница, ул. Грибоедова, 3, в том числе проектные работы</t>
  </si>
  <si>
    <t>Строительство крытой подъездной эстакады ГУ "Каменская центральная районная больница", расположенного по адресу: г. Каменка, ул. Кирова, 300б, в том числе проектные работы</t>
  </si>
  <si>
    <t>Строительство демонстрационного вольера для декоративных птиц на территории Екатерининского парка в городе Тирасполе</t>
  </si>
  <si>
    <t>Благоустройство (мощение плиткой) территории МДОУ № 3 "Теремок", расположенного по адресу: г. Днестровск, ул. Терпиловского, 2а</t>
  </si>
  <si>
    <t>Благоустройство (мощение плиткой) территории МОУ "Первомайская СОШ № 1", расположенного по адресу: п. Первомайск, ул. Садовая, 4</t>
  </si>
  <si>
    <t>Благоустройство (мощение плиткой) территории МОУ "Слободзейская СОШ № 1", расположенного по адресу: г. Слободзея, ул. Ленина, 80</t>
  </si>
  <si>
    <t>Благоустройство (мощение плиткой) территории МДОУ "Детский сад "Теремок", расположенного по адресу: с. Чобручи, ул. Школьная, 15</t>
  </si>
  <si>
    <t xml:space="preserve">Создание парка энергетиков, г. Дубоссары, в том числе проектные работы </t>
  </si>
  <si>
    <t>Благоустройство (мощение плиткой) МДОУ "Звездочка", Григориопольский район, с. Красная Горка</t>
  </si>
  <si>
    <t>Благоустройство (мощение плиткой) территории МОУ "Подоймская ОСШ – детский сад", расположенного по адресу: с. Подойма, ул. Ленина, 94</t>
  </si>
  <si>
    <t>Благоустройство (мощение плиткой) территории МОУ "Окницкая ООШ – детский сад", расположенного по адресу: с. Окница, ул. Шевченко, 70</t>
  </si>
  <si>
    <t>Реконструкция  Учреждения исполнения наказаний № 2, расположенного по адресу: г. Тирасполь, Гребеницкий проезд, 18</t>
  </si>
  <si>
    <t>Реконструкция Учреждения исполнения наказаний № 3, расположенного по адресу: г. Тирасполь, ул. Лазо, 7</t>
  </si>
  <si>
    <t>Капитальный ремонт помещений скорой медицинской помощи, приемного отделения ГУ "Каменская центральная районная больница", расположенного по адресу:  г. Каменка, ул. Кирова, 300б, в том числе проектные работы</t>
  </si>
  <si>
    <t>Капитальный ремонт  ГОУ "Бендерская специальная (коррекционная) общеобразовательная школа-интернат III, IV, VII видов", расположенного по адресу: г. Бендеры, ул. 12 Октября, 81в</t>
  </si>
  <si>
    <t>Капитальный ремонт комплекса строений учебного корпуса ГОУ СПО "Дубоссарский индустриальный техникум", расположенного по адресу: г. Дубоссары, ул. Энергетиков, 7, в том числе проектные работы</t>
  </si>
  <si>
    <t>Капитальный ремонт ГОУ СПО "Бендерский торгово-технологический техникум", расположенного по адресу: г.Бендеры, ул.Тимирязева, 5, в том числе проектные работы</t>
  </si>
  <si>
    <t>Капитальный ремонт ГОУ СПО "Промышленно-строительный техникум", расположенного по адресу:  г.Тирасполь, ул. Христо Ботева, 24, в том числе проектные работы</t>
  </si>
  <si>
    <t>Капитальный ремонт  ГОУ СПО " Тираспольский аграрно-технический колледж                                                   им. М. Фрунзе", расположенного по адресу: г. Тирасполь, пгт. Новотираспольский, ул. Советская, 14, в том числе проектные работы</t>
  </si>
  <si>
    <t>Капитальный ремонт городского стадиона, расположенного по адресу: г. Днестровск, ул. Строителей, в том числе проектные работы</t>
  </si>
  <si>
    <t xml:space="preserve"> Капитальный ремонт МДОУ "Бендерский детский сад № 47", расположенного по адресу:   ул. Школьная, 6</t>
  </si>
  <si>
    <t>Капитальный ремонт МОУ "Парканская ООШ № 3 им. А. Ф. Романенко", расположенного по адресу: с. Парканы, ул. Романенко, 27а</t>
  </si>
  <si>
    <t>Капитальный ремонт МОУ "Слободзейский ТЛК им. П. К. Спельник", расположенного по адресу:  г. Слободзея, ул. Ленина, 156</t>
  </si>
  <si>
    <t>Капитальный ремонт  МОУ "Детский сад общеразвивающего вида № 12 "Стелуца", расположенного по адресу:  г. Дубоссары, ул. Шевцовой, 5</t>
  </si>
  <si>
    <t>Капитальный ремонт спортивного центра для людей с ограниченными возможностями,  расположенного по адресу:  г. Дубоссары, ул. Ленина, 112</t>
  </si>
  <si>
    <t xml:space="preserve">Капитальный ремонт МОУ"Катериновская  ОСШ  им. А.С.Пушкина",                                                             расположенного по адресу:  с. Катериновка, ул. Приходского, 16 </t>
  </si>
  <si>
    <t xml:space="preserve">Капитальный ремонт административного здания Министерства юстиции, расположенного по адресу: г. Тирасполь,  ул. Ленина, 46 </t>
  </si>
  <si>
    <t>Капитальный ремонт здания, расположенного по адресу: г. Тирасполь, ул. Свердлова, 57</t>
  </si>
  <si>
    <t>Приобретение оборудования для тренажерного зала МУ "Спорткомплекс "Юбилейный", расположенного по адресу: г. Рыбница, ул. Юбилейная, 33а</t>
  </si>
  <si>
    <r>
      <t xml:space="preserve">Государственная администрация г. Бендеры
</t>
    </r>
    <r>
      <rPr>
        <sz val="12"/>
        <rFont val="Times New Roman"/>
        <family val="1"/>
        <charset val="204"/>
      </rPr>
      <t>(приобретение непроизводственного оборудования и предметов длительного пользования для государственных учреждений (240120))</t>
    </r>
  </si>
  <si>
    <t>Полное исполнение договорных обязательств 2020 года по содержанию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комиссии врачебной эксертизы жизнеспособности), образовавшихся в рамках реализации мероприятий Программы развития материально-технической базы Фонда капитальных вложений за 2021 год  (подстатья 110350)</t>
  </si>
  <si>
    <t>Реконструкция акушерско-гинекологического стационара ГУ "Бендерский центр матери и ребенка", расположенного по адресу: г. Бендеры, ул.  Протягайловская, 6, в том числе проектные работы</t>
  </si>
  <si>
    <t>Благоустройство территории, прилегающей к филиалу поликлиники № 3, расположенного по адресу: г. Тирасполь, ул. Зелинского, 3/1</t>
  </si>
  <si>
    <t xml:space="preserve">Благоустройство (мощение плиткой) территории МОУ "Бендерский                                                                                                 детский сад № 7", расположенного по адресу: г. Бендеры, ул. Коммунистическая, 54 </t>
  </si>
  <si>
    <t>Благоустройство (мощение плиткой) территории МОУ "Бендерский                                                                                                 детский сад № 35", расположенного по адресу: г. Бендеры, ул. Ленинградская, 40</t>
  </si>
  <si>
    <t>Строительство здания раздевалки сельского стадиона, расположенного по адресу:                                                                               с. Чобручи, ул. С. Лазо, д. 32 (кредиторская задолженность за 2021 год)</t>
  </si>
  <si>
    <t>Благоустройство (мощение плиткой) территории МОУ "Ближнехуторская СОШ", расположенного по адресу: с. Ближний Хутор, ул. Октябрьская, 125</t>
  </si>
  <si>
    <t xml:space="preserve">Благоустройство (мощение плиткой)  территории МОУ "Детский сад   комбинированного вида № 13 "Радуга", расположенного по адресу: г. Дубоссары,                                                             ул. Петровского, 7 </t>
  </si>
  <si>
    <t>Реконструкция картодрома, расположенного по адресу:  г. Григориополь,                                                                   ул. Васканова, в том числе проектные работы</t>
  </si>
  <si>
    <t>Строительство мини-футбольного поля в городе Рыбнице, ул. Юбилейная, 33а</t>
  </si>
  <si>
    <t>Благоустройство (мощение плиткой) территории МДОУ "Рыбницкий                                                                детский сад № 17 комбинированного вида"</t>
  </si>
  <si>
    <t>Благоустройство (мощение плиткой) территории МДОУ "Рыбницкий                                                                детский сад № 18 комбинированного вида"</t>
  </si>
  <si>
    <t>Благоустройство (мощение плиткой) территории МОУ "Рыбницкая                                                             прогимназия № 1"</t>
  </si>
  <si>
    <t>Благоустройство (мощение плиткой) территории МДОУ "Рыбницкий                                                                                                  детский сад № 15 комбинированного вида"</t>
  </si>
  <si>
    <t>Реконструкция здания Управления Следственного комитета г. Дубоссары и Дубоссарского района, расположенного по адресу: г. Дубоссары,                                                                               ул. Дзержинского, 4а</t>
  </si>
  <si>
    <t>Реконструкция Учреждения исполнения наказаний № 1, расположенного по адресу: Григориопольский район, с. Глиное, ул. Микояна, 60</t>
  </si>
  <si>
    <t>Реконструкция "Тюрьма-1", Григориопольский район, расположенного по адресу:                                                                              с. Глиное, ул. Микояна, 62</t>
  </si>
  <si>
    <t>Реконструкция здания Государственной службы управления документацией и архивами Приднестровской Молдавской Республики, расположенного по адресу:  город Тирасполь, ул. Текстильщиков, 36</t>
  </si>
  <si>
    <t>Реконструкция административного здания налоговой инспекции, расположенного по адресу:  г. Бендеры,  ул. Московская, 17</t>
  </si>
  <si>
    <t>Разработка и экспертиза проектно-сметной документации по строительству зданий и сооружений (в том числе кредиторская задолженность за 2021 год                                                                                в сумме 36 661 руб.)</t>
  </si>
  <si>
    <t>Капитальный ремонт главного корпуса ГОУ "Днестровский техникум энергетики и компьютерных технологий", расположенного по адресу: г. Днестровск,                                                                            ул. Строителей, 38</t>
  </si>
  <si>
    <t>Капитальный ремонт МДОУ № 5 "Золушка", расположенного по адресу:                                                                         г. Тирасполь, ул. Сакриера, 61</t>
  </si>
  <si>
    <t>Капитальный ремонт МДОУ №37 "Ивушка", расположенного по адресу:                                                                                           г. Тирасполь, ул. Комсомольская, 1/1, в том числе благоустройство территории</t>
  </si>
  <si>
    <t>Капитальный ремонт МСКОУ № 44, расположенного по адресу: г. Тирасполь,                                                                                     ул. Советская, 126а, в том числе благоустройство территории</t>
  </si>
  <si>
    <t>Капитальный ремонт МСКОУ № 2, расположенного по адресу: г. Тирасполь,                                                                                              пер. Труда, 2а, в том числе благоустройство территории</t>
  </si>
  <si>
    <t xml:space="preserve"> Капитальный ремонт МОУ "БСОШ № 5", расположенного по адресу:  г. Бендеры,                                                                           ул. Пушкина, 10</t>
  </si>
  <si>
    <t xml:space="preserve"> Капитальный ремонт Мемориального музея Бендерской трагедии, расположенного по адресу: ул. Советская, в том числе проектные работы</t>
  </si>
  <si>
    <t>Капитальный ремонт МОУ "Терновская РМСОШ", расположенного по адресу:                                                                              с. Терновка, ул. Ленина, 52а</t>
  </si>
  <si>
    <t>Капитальный ремонт МДОУ "Детский сад "Лучик", расположенного по адресу:                                                                                  г. Слободзея, ул. Солнечная, 31</t>
  </si>
  <si>
    <t>Капитальный ремонт летней эстрадной площадки в городском парке им. Кирова                                                                                              в г. Рыбнице</t>
  </si>
  <si>
    <t>Капитальный ремонт спортивной площадки на территории МОУ "Рыбницкая  средняя общеобразовательная школа-интернат", расположенного по адресу:                                                                                             г. Рыбница, ул. Маяковского, 41</t>
  </si>
  <si>
    <t xml:space="preserve">Капитальный ремонт МОУ  "Кузьминская ООШ – детский сад", расположенного по адресу: с. Кузьмин, ул. Солтыса, 64    </t>
  </si>
  <si>
    <t>Капитальный ремонт МОУ "Рашковская ОСШ – детский сад                                                                                 им. Ф. И. Жарчинского", расположенного по адресу: с. Рашков, ул. Ленина, 130</t>
  </si>
  <si>
    <t>Капитальный ремонт пищеблока МДОУ "Центр развития ребенка", расположенного по адресу:  г. Каменка,  ул. Садовая, 3</t>
  </si>
  <si>
    <t xml:space="preserve">Капитальный ремонт Дома культуры, Каменский район, расположенного по адресу: с. Подойма, ул. Ленина, 92 (в том числе кредиторская задолженность за 2021 год в сумме 69 665 руб.) </t>
  </si>
  <si>
    <t>Капитальный ремонт (монтаж театральных кресел, театральной гарнитуры, оборудования и др.) Дома культуры, расположенного по адресу:  с. Катериновка, Каменский район (кредиторская задолженность за 2020 год)</t>
  </si>
  <si>
    <t>Капитальный ремонт корпуса "А" ГОУ "Приднестровский государственный университет им. Т. Г. Шевченко", расположенного по адресу:  г. Тирасполь,                                                     ул. 25 Октября, 107, в том числе проектные работы</t>
  </si>
  <si>
    <t>Капитальный ремонт поликлиники МГБ ПМР, расположенной по адресу: г.Тирасполь, ул. Мира, 27</t>
  </si>
  <si>
    <t>Приобретение оборудования для МУДО ДЮСШ, расположенного по адресу:                                                                              г. Рыбница, ул. Горького, 1</t>
  </si>
  <si>
    <t>Погашение кредиторской задолженности по состоянию на 1 января 2022 года                                                                                            (статья 240120)</t>
  </si>
  <si>
    <t>Увеличение финансирования Государственной программы исполнения наказов избирателей на сумму не освоенных в 2021 году средств за счет остатков средств на счетах республиканского бюджета, сложившихся по состоянию на 1 января                                                                                    2022 года</t>
  </si>
  <si>
    <t>Реконструкция стадиона МОУ "ТСШ №  5" (1 этап), расположенного по адресу:                                                                                           г. Тирасполь,  ул. Краснодонская, 62, в том числе проектные работы</t>
  </si>
  <si>
    <t xml:space="preserve">Капитальный ремонт МУДО ДЮСШ, расположенного по адресу: г. Рыбница,                                                                                               ул. Горького, 1 </t>
  </si>
  <si>
    <t>Приобретение оборудования и мебели для оснащения  административного здания университета (корпус № 1А) ГОУ "Приднестровский государственный университет им. Т. Г. Шевченко", расположенного по адресу: г. Тирасполь, ул. 25 Октября, 107</t>
  </si>
  <si>
    <t>Капитальный ремонт МОУ "Детский сад общеразвивающего вида № 5 "Ласточка", расположенного по адресу:  ул. Маяковского, 10,  мкр. Коржево,                                                                               в г. Дубоссары</t>
  </si>
  <si>
    <t>Капитальный ремонт МОУ "БСОШ №17", расположенного по адресу:  мкр. "Северный",  г. Бендеры</t>
  </si>
  <si>
    <t>Капитальный ремонт МОУ "Бендерский детский сад № 26", расположенного по адресу: мкр. "Северный", г. Бендеры, в том числе проектные работы</t>
  </si>
  <si>
    <t>Отклонения, руб.</t>
  </si>
  <si>
    <t>Строительство пристройки к зданию корпуса ГУ "Тираспольский психоневрологический дом-интернат", расположенного по адресу:  г. Тирасполь,  ул. Гвардейская, 9, в том числе проектные работы</t>
  </si>
  <si>
    <t>Строительство здания в ГУ "Бендерский психоневрологический дом-интернат", расположенного по адресу: г. Бендеры, ул. Пионерская, 15, в том чиле проектные работы</t>
  </si>
  <si>
    <t>Капитальный ремонт ГУ "Республиканский специализированный дом ребенка", расположенного по адресу:  г. Тирасполь, ул. 1 Мая, 26</t>
  </si>
  <si>
    <t>Капитальный ремонт хозяйственного блока, неврологического, кардиологического и терапевтического отделений ГУ "Рыбницкая центральная районная больница", расположенного по адресу: г. Рыбница, ул. Грибоедова, 3, в том числе проектные работы</t>
  </si>
  <si>
    <t>Капитальный ремонт школьного стадиона МОУ "Краснянская СОШ",  расположенного по адресу: пос. Красное, ул. Школьная, 1</t>
  </si>
  <si>
    <t>Строительство нового здания для ГУ "Республиканский реабилитационный центр для детей-инвалидов" в городе Бендеры на территории с.Гиска, ул. Студенческая, в том числе проектные работы</t>
  </si>
  <si>
    <t>Асфальтирование (мощение плиткой) дворовой территории МОУ "ТСШ № 5" (перед главным входом в образовательное учреждение), расположенного по адресу: г. Тирасполь, ул. Краснодонская, 62</t>
  </si>
  <si>
    <t xml:space="preserve">Капитальный ремонт МОУ "Рыбницкая русская средняя общеобразовательная школа № 10 с гимназическими классами", расположенного по адресу: г. Рыбница,  ул. Вальченко, 15, в том числе благоустройство территории </t>
  </si>
  <si>
    <t xml:space="preserve">Капитальный ремонт МОУ "Рыбницкая русская средняя общеобразовательная школа № 10 с гимназическими классами", расположенного по адресу: г. Рыбница, ул. Вальченко, 15, в том числе благоустройство территории </t>
  </si>
  <si>
    <t>Капитальный ремонт кровли здания СВПЧ-9 МВД ПМР, расположенного по адресу:г. Григориополь, мкр Делакэу, ул. Б. Главана, 3</t>
  </si>
  <si>
    <t>Капитальный ремонт кровли здания СВПЧ-9 МВД ПМР, расположенного по адресу: г. Григориополь, мкр Делакэу, ул. Б. Главана, 3</t>
  </si>
  <si>
    <t>Реконструкция стадиона МОУ "ТСШ №  5" (1 этап), расположенного по адресу: г. Тирасполь,  ул. Краснодонская, 62, в том числе проектные работы</t>
  </si>
  <si>
    <t>Реконструкция котельной МУ «Центр дневного пребывания для детей с ограниченными возможностями жизнедеятельности», расположенного по адресу: с.Чобручи, ул. Гагарина, 1</t>
  </si>
  <si>
    <t>Капитальный ремонт здания прокуратуры г. Бендеры, расположенного по адресу: г. Бендеры, ул. Пушкина, 71</t>
  </si>
  <si>
    <t>Благоустройство (мощение плиткой) территории МОУ "Бендерский детский сад № 43", расположенного по адресу:  г. Бендеры, ул. 40 лет Победы, 41</t>
  </si>
  <si>
    <t>Завершение строительства здания МОУ "Рыбницкая русская средняя образовательная школа № 6 с лицейскими классами", расположенного по адресу: г. Рыбница, ул. Кирова, 134, в том числе проектные работы</t>
  </si>
  <si>
    <t>Строительство новой трассы водоснабжения к ГОУ СПО «Училище олимпийского резерва»</t>
  </si>
  <si>
    <t>Основные характеристики, источники формирования и направления расходования средств Фонда капитальных вложений Приднестровской Молдавской Республики на 2022 год</t>
  </si>
  <si>
    <t>действующая редакция</t>
  </si>
  <si>
    <t>предлагаемая редакция</t>
  </si>
  <si>
    <t>Увеличение финансирования Государственной программы исполнения наказов избирателей на сумму не освоенных в 2021 году средств за счет остатков средств на счетах республиканского бюджета, сложившихся по состоянию на 1 января 2022 года</t>
  </si>
  <si>
    <t>Капитальный ремонт зданий УБЭПиК и УУР, расположенных по адресу: г. Тирасполь, ул. К. Либкнехта, 167, в том числе проектные работы</t>
  </si>
  <si>
    <t>Реконструкция "Тюрьма-1", Григориопольский район, расположенного по адресу:  с. Глиное, ул. Микояна, 62</t>
  </si>
  <si>
    <t>Капитальный ремонт МОУ "Терновская РМСОШ", расположенного по адресу: с. Терновка, ул. Ленина, 52а</t>
  </si>
  <si>
    <t>Капитальный ремонт МДОУ "Детский сад "Лучик", расположенного по адресу:  г. Слободзея, ул. Солнечная, 31</t>
  </si>
  <si>
    <t>Капитальный ремонт летней эстрадной площадки в городском парке им. Кирова  в г. Рыбнице</t>
  </si>
  <si>
    <t>отсутствует</t>
  </si>
  <si>
    <t>Увеличение финансирования расходов на частичное погашение внутреннего государственного долга, по целевому беспроцентному займу, полученному в 2016 году</t>
  </si>
  <si>
    <t>Увеличение финансирования расходов по Фонду государственного резерва Приднестровской Молдавской Республики на формирование и пополнение государственного материального резерва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</si>
</sst>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3" fillId="0" borderId="0" xfId="1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294"/>
  <sheetViews>
    <sheetView tabSelected="1" zoomScale="70" zoomScaleNormal="70" zoomScaleSheetLayoutView="70" workbookViewId="0">
      <selection activeCell="J286" sqref="J286"/>
    </sheetView>
  </sheetViews>
  <sheetFormatPr defaultColWidth="8.7109375" defaultRowHeight="15.75" x14ac:dyDescent="0.25"/>
  <cols>
    <col min="1" max="1" width="4.140625" style="1" bestFit="1" customWidth="1"/>
    <col min="2" max="2" width="79" style="1" customWidth="1"/>
    <col min="3" max="3" width="15" style="2" customWidth="1"/>
    <col min="4" max="4" width="4.140625" style="1" bestFit="1" customWidth="1"/>
    <col min="5" max="5" width="79" style="1" customWidth="1"/>
    <col min="6" max="6" width="14.42578125" style="2" customWidth="1"/>
    <col min="7" max="7" width="13.28515625" style="1" customWidth="1"/>
    <col min="8" max="16384" width="8.7109375" style="1"/>
  </cols>
  <sheetData>
    <row r="1" spans="1:7" ht="15.75" customHeight="1" x14ac:dyDescent="0.25">
      <c r="A1" s="2"/>
      <c r="B1" s="42"/>
      <c r="C1" s="42"/>
      <c r="D1" s="2"/>
      <c r="E1" s="42" t="s">
        <v>66</v>
      </c>
      <c r="F1" s="42"/>
    </row>
    <row r="2" spans="1:7" ht="15.75" customHeight="1" x14ac:dyDescent="0.25">
      <c r="A2" s="2"/>
      <c r="B2" s="42"/>
      <c r="C2" s="42"/>
      <c r="D2" s="2"/>
      <c r="E2" s="42" t="s">
        <v>130</v>
      </c>
      <c r="F2" s="42"/>
    </row>
    <row r="3" spans="1:7" ht="15.75" customHeight="1" x14ac:dyDescent="0.25">
      <c r="A3" s="3"/>
      <c r="B3" s="43"/>
      <c r="C3" s="43"/>
      <c r="D3" s="3"/>
      <c r="E3" s="43" t="s">
        <v>52</v>
      </c>
      <c r="F3" s="43"/>
    </row>
    <row r="4" spans="1:7" x14ac:dyDescent="0.25">
      <c r="A4" s="3"/>
      <c r="B4" s="3"/>
      <c r="C4" s="3"/>
      <c r="D4" s="3"/>
      <c r="E4" s="3"/>
      <c r="F4" s="3"/>
    </row>
    <row r="5" spans="1:7" ht="21.75" customHeight="1" x14ac:dyDescent="0.25">
      <c r="A5" s="52" t="s">
        <v>228</v>
      </c>
      <c r="B5" s="52"/>
      <c r="C5" s="52"/>
      <c r="D5" s="52"/>
      <c r="E5" s="52"/>
      <c r="F5" s="52"/>
    </row>
    <row r="6" spans="1:7" ht="21.75" customHeight="1" thickBot="1" x14ac:dyDescent="0.3">
      <c r="A6" s="22"/>
      <c r="B6" s="22"/>
      <c r="C6" s="22"/>
      <c r="D6" s="22"/>
      <c r="E6" s="22"/>
      <c r="F6" s="22"/>
    </row>
    <row r="7" spans="1:7" x14ac:dyDescent="0.25">
      <c r="A7" s="46" t="s">
        <v>229</v>
      </c>
      <c r="B7" s="44"/>
      <c r="C7" s="44"/>
      <c r="D7" s="44" t="s">
        <v>230</v>
      </c>
      <c r="E7" s="44"/>
      <c r="F7" s="44"/>
      <c r="G7" s="50" t="s">
        <v>210</v>
      </c>
    </row>
    <row r="8" spans="1:7" ht="31.5" x14ac:dyDescent="0.25">
      <c r="A8" s="27" t="s">
        <v>12</v>
      </c>
      <c r="B8" s="25" t="s">
        <v>13</v>
      </c>
      <c r="C8" s="11" t="s">
        <v>21</v>
      </c>
      <c r="D8" s="25" t="s">
        <v>12</v>
      </c>
      <c r="E8" s="25" t="s">
        <v>13</v>
      </c>
      <c r="F8" s="11" t="s">
        <v>21</v>
      </c>
      <c r="G8" s="51"/>
    </row>
    <row r="9" spans="1:7" x14ac:dyDescent="0.25">
      <c r="A9" s="27"/>
      <c r="B9" s="25"/>
      <c r="C9" s="11"/>
      <c r="D9" s="25"/>
      <c r="E9" s="25"/>
      <c r="F9" s="11"/>
      <c r="G9" s="30"/>
    </row>
    <row r="10" spans="1:7" x14ac:dyDescent="0.25">
      <c r="A10" s="36" t="s">
        <v>95</v>
      </c>
      <c r="B10" s="37"/>
      <c r="C10" s="13">
        <f>SUM(C11:C13)</f>
        <v>84054539</v>
      </c>
      <c r="D10" s="37" t="s">
        <v>95</v>
      </c>
      <c r="E10" s="37"/>
      <c r="F10" s="13">
        <f>SUM(F11:F13)</f>
        <v>84054539</v>
      </c>
      <c r="G10" s="18">
        <f t="shared" ref="G10:G74" si="0">F10-C10</f>
        <v>0</v>
      </c>
    </row>
    <row r="11" spans="1:7" s="5" customFormat="1" x14ac:dyDescent="0.25">
      <c r="A11" s="29" t="s">
        <v>53</v>
      </c>
      <c r="B11" s="4" t="s">
        <v>96</v>
      </c>
      <c r="C11" s="12">
        <v>73326605</v>
      </c>
      <c r="D11" s="26" t="s">
        <v>53</v>
      </c>
      <c r="E11" s="4" t="s">
        <v>96</v>
      </c>
      <c r="F11" s="12">
        <v>73326605</v>
      </c>
      <c r="G11" s="18">
        <f t="shared" si="0"/>
        <v>0</v>
      </c>
    </row>
    <row r="12" spans="1:7" s="5" customFormat="1" x14ac:dyDescent="0.25">
      <c r="A12" s="29" t="s">
        <v>56</v>
      </c>
      <c r="B12" s="4" t="s">
        <v>97</v>
      </c>
      <c r="C12" s="12">
        <v>10347405</v>
      </c>
      <c r="D12" s="26" t="s">
        <v>56</v>
      </c>
      <c r="E12" s="4" t="s">
        <v>97</v>
      </c>
      <c r="F12" s="12">
        <v>10347405</v>
      </c>
      <c r="G12" s="18">
        <f t="shared" si="0"/>
        <v>0</v>
      </c>
    </row>
    <row r="13" spans="1:7" s="5" customFormat="1" x14ac:dyDescent="0.25">
      <c r="A13" s="29" t="s">
        <v>58</v>
      </c>
      <c r="B13" s="4" t="s">
        <v>98</v>
      </c>
      <c r="C13" s="12">
        <v>380529</v>
      </c>
      <c r="D13" s="26" t="s">
        <v>58</v>
      </c>
      <c r="E13" s="4" t="s">
        <v>98</v>
      </c>
      <c r="F13" s="12">
        <v>380529</v>
      </c>
      <c r="G13" s="18">
        <f t="shared" si="0"/>
        <v>0</v>
      </c>
    </row>
    <row r="14" spans="1:7" x14ac:dyDescent="0.25">
      <c r="A14" s="28"/>
      <c r="B14" s="23"/>
      <c r="C14" s="13"/>
      <c r="D14" s="24"/>
      <c r="E14" s="23"/>
      <c r="F14" s="13"/>
      <c r="G14" s="18">
        <f t="shared" si="0"/>
        <v>0</v>
      </c>
    </row>
    <row r="15" spans="1:7" x14ac:dyDescent="0.25">
      <c r="A15" s="36" t="s">
        <v>27</v>
      </c>
      <c r="B15" s="37"/>
      <c r="C15" s="13">
        <v>261416702</v>
      </c>
      <c r="D15" s="37" t="s">
        <v>27</v>
      </c>
      <c r="E15" s="37"/>
      <c r="F15" s="13">
        <v>261416702</v>
      </c>
      <c r="G15" s="18">
        <f t="shared" si="0"/>
        <v>0</v>
      </c>
    </row>
    <row r="16" spans="1:7" x14ac:dyDescent="0.25">
      <c r="A16" s="29" t="s">
        <v>53</v>
      </c>
      <c r="B16" s="4" t="s">
        <v>51</v>
      </c>
      <c r="C16" s="12">
        <f>$C$15</f>
        <v>261416702</v>
      </c>
      <c r="D16" s="26" t="s">
        <v>53</v>
      </c>
      <c r="E16" s="4" t="s">
        <v>51</v>
      </c>
      <c r="F16" s="12">
        <f>$C$15</f>
        <v>261416702</v>
      </c>
      <c r="G16" s="18">
        <f t="shared" si="0"/>
        <v>0</v>
      </c>
    </row>
    <row r="17" spans="1:7" x14ac:dyDescent="0.25">
      <c r="A17" s="38"/>
      <c r="B17" s="39"/>
      <c r="C17" s="39"/>
      <c r="D17" s="39"/>
      <c r="E17" s="39"/>
      <c r="F17" s="39"/>
      <c r="G17" s="18">
        <f t="shared" si="0"/>
        <v>0</v>
      </c>
    </row>
    <row r="18" spans="1:7" x14ac:dyDescent="0.25">
      <c r="A18" s="49" t="s">
        <v>28</v>
      </c>
      <c r="B18" s="45"/>
      <c r="C18" s="13">
        <f>SUM(C143+C274+C278+C279+C288+C290)</f>
        <v>345098180</v>
      </c>
      <c r="D18" s="45" t="s">
        <v>28</v>
      </c>
      <c r="E18" s="45"/>
      <c r="F18" s="13">
        <f>SUM(F143+F274+F278+F279+F288+F290)</f>
        <v>287621203</v>
      </c>
      <c r="G18" s="18">
        <f t="shared" si="0"/>
        <v>-57476977</v>
      </c>
    </row>
    <row r="19" spans="1:7" x14ac:dyDescent="0.25">
      <c r="A19" s="38" t="s">
        <v>14</v>
      </c>
      <c r="B19" s="39"/>
      <c r="C19" s="39"/>
      <c r="D19" s="39" t="s">
        <v>14</v>
      </c>
      <c r="E19" s="39"/>
      <c r="F19" s="39"/>
      <c r="G19" s="18"/>
    </row>
    <row r="20" spans="1:7" s="5" customFormat="1" ht="36.75" customHeight="1" x14ac:dyDescent="0.25">
      <c r="A20" s="40" t="s">
        <v>81</v>
      </c>
      <c r="B20" s="41"/>
      <c r="C20" s="41"/>
      <c r="D20" s="41" t="s">
        <v>81</v>
      </c>
      <c r="E20" s="41"/>
      <c r="F20" s="41"/>
      <c r="G20" s="18"/>
    </row>
    <row r="21" spans="1:7" s="5" customFormat="1" x14ac:dyDescent="0.25">
      <c r="A21" s="38" t="s">
        <v>43</v>
      </c>
      <c r="B21" s="39"/>
      <c r="C21" s="39"/>
      <c r="D21" s="39" t="s">
        <v>43</v>
      </c>
      <c r="E21" s="39"/>
      <c r="F21" s="39"/>
      <c r="G21" s="18"/>
    </row>
    <row r="22" spans="1:7" s="5" customFormat="1" x14ac:dyDescent="0.25">
      <c r="A22" s="29" t="s">
        <v>53</v>
      </c>
      <c r="B22" s="4" t="s">
        <v>47</v>
      </c>
      <c r="C22" s="12">
        <v>90505</v>
      </c>
      <c r="D22" s="26" t="s">
        <v>53</v>
      </c>
      <c r="E22" s="4" t="s">
        <v>47</v>
      </c>
      <c r="F22" s="12">
        <v>90505</v>
      </c>
      <c r="G22" s="18">
        <f t="shared" si="0"/>
        <v>0</v>
      </c>
    </row>
    <row r="23" spans="1:7" s="5" customFormat="1" x14ac:dyDescent="0.25">
      <c r="A23" s="29" t="s">
        <v>56</v>
      </c>
      <c r="B23" s="4" t="s">
        <v>118</v>
      </c>
      <c r="C23" s="12">
        <v>288000</v>
      </c>
      <c r="D23" s="26" t="s">
        <v>56</v>
      </c>
      <c r="E23" s="4" t="s">
        <v>118</v>
      </c>
      <c r="F23" s="12">
        <v>288000</v>
      </c>
      <c r="G23" s="18">
        <f t="shared" si="0"/>
        <v>0</v>
      </c>
    </row>
    <row r="24" spans="1:7" s="5" customFormat="1" x14ac:dyDescent="0.25">
      <c r="A24" s="28"/>
      <c r="B24" s="23" t="s">
        <v>15</v>
      </c>
      <c r="C24" s="13">
        <f>SUM(C22:C23)</f>
        <v>378505</v>
      </c>
      <c r="D24" s="24"/>
      <c r="E24" s="23" t="s">
        <v>15</v>
      </c>
      <c r="F24" s="13">
        <f>SUM(F22:F23)</f>
        <v>378505</v>
      </c>
      <c r="G24" s="18">
        <f t="shared" si="0"/>
        <v>0</v>
      </c>
    </row>
    <row r="25" spans="1:7" s="5" customFormat="1" x14ac:dyDescent="0.25">
      <c r="A25" s="38" t="s">
        <v>48</v>
      </c>
      <c r="B25" s="39"/>
      <c r="C25" s="39"/>
      <c r="D25" s="39" t="s">
        <v>48</v>
      </c>
      <c r="E25" s="39"/>
      <c r="F25" s="39"/>
      <c r="G25" s="18"/>
    </row>
    <row r="26" spans="1:7" s="5" customFormat="1" ht="47.25" x14ac:dyDescent="0.25">
      <c r="A26" s="29" t="s">
        <v>53</v>
      </c>
      <c r="B26" s="6" t="s">
        <v>132</v>
      </c>
      <c r="C26" s="12">
        <f>800000-300000</f>
        <v>500000</v>
      </c>
      <c r="D26" s="26" t="s">
        <v>53</v>
      </c>
      <c r="E26" s="6" t="s">
        <v>132</v>
      </c>
      <c r="F26" s="12">
        <f>800000-300000</f>
        <v>500000</v>
      </c>
      <c r="G26" s="18">
        <f t="shared" si="0"/>
        <v>0</v>
      </c>
    </row>
    <row r="27" spans="1:7" s="5" customFormat="1" x14ac:dyDescent="0.25">
      <c r="A27" s="28"/>
      <c r="B27" s="23" t="s">
        <v>15</v>
      </c>
      <c r="C27" s="13">
        <f>SUM(C26)</f>
        <v>500000</v>
      </c>
      <c r="D27" s="24"/>
      <c r="E27" s="23" t="s">
        <v>15</v>
      </c>
      <c r="F27" s="13">
        <f>SUM(F26)</f>
        <v>500000</v>
      </c>
      <c r="G27" s="18">
        <f t="shared" si="0"/>
        <v>0</v>
      </c>
    </row>
    <row r="28" spans="1:7" s="5" customFormat="1" x14ac:dyDescent="0.25">
      <c r="A28" s="38" t="s">
        <v>22</v>
      </c>
      <c r="B28" s="39"/>
      <c r="C28" s="39"/>
      <c r="D28" s="39" t="s">
        <v>22</v>
      </c>
      <c r="E28" s="39"/>
      <c r="F28" s="39"/>
      <c r="G28" s="18"/>
    </row>
    <row r="29" spans="1:7" s="5" customFormat="1" ht="31.5" x14ac:dyDescent="0.25">
      <c r="A29" s="29" t="s">
        <v>53</v>
      </c>
      <c r="B29" s="4" t="s">
        <v>80</v>
      </c>
      <c r="C29" s="12">
        <v>550000</v>
      </c>
      <c r="D29" s="26" t="s">
        <v>53</v>
      </c>
      <c r="E29" s="4" t="s">
        <v>80</v>
      </c>
      <c r="F29" s="12">
        <v>550000</v>
      </c>
      <c r="G29" s="18">
        <f t="shared" si="0"/>
        <v>0</v>
      </c>
    </row>
    <row r="30" spans="1:7" s="5" customFormat="1" x14ac:dyDescent="0.25">
      <c r="A30" s="29"/>
      <c r="B30" s="23" t="s">
        <v>15</v>
      </c>
      <c r="C30" s="13">
        <f>C29</f>
        <v>550000</v>
      </c>
      <c r="D30" s="26"/>
      <c r="E30" s="23" t="s">
        <v>15</v>
      </c>
      <c r="F30" s="13">
        <f>F29</f>
        <v>550000</v>
      </c>
      <c r="G30" s="18">
        <f t="shared" si="0"/>
        <v>0</v>
      </c>
    </row>
    <row r="31" spans="1:7" s="5" customFormat="1" x14ac:dyDescent="0.25">
      <c r="A31" s="29"/>
      <c r="B31" s="23" t="s">
        <v>83</v>
      </c>
      <c r="C31" s="13">
        <f>C30+C27+C24</f>
        <v>1428505</v>
      </c>
      <c r="D31" s="26"/>
      <c r="E31" s="23" t="s">
        <v>83</v>
      </c>
      <c r="F31" s="13">
        <f>F30+F27+F24</f>
        <v>1428505</v>
      </c>
      <c r="G31" s="18">
        <f t="shared" si="0"/>
        <v>0</v>
      </c>
    </row>
    <row r="32" spans="1:7" s="5" customFormat="1" ht="34.5" customHeight="1" x14ac:dyDescent="0.25">
      <c r="A32" s="40" t="s">
        <v>82</v>
      </c>
      <c r="B32" s="41"/>
      <c r="C32" s="41"/>
      <c r="D32" s="41" t="s">
        <v>82</v>
      </c>
      <c r="E32" s="41"/>
      <c r="F32" s="41"/>
      <c r="G32" s="18"/>
    </row>
    <row r="33" spans="1:7" s="5" customFormat="1" x14ac:dyDescent="0.25">
      <c r="A33" s="38" t="s">
        <v>20</v>
      </c>
      <c r="B33" s="39"/>
      <c r="C33" s="39"/>
      <c r="D33" s="39" t="s">
        <v>20</v>
      </c>
      <c r="E33" s="39"/>
      <c r="F33" s="39"/>
      <c r="G33" s="18"/>
    </row>
    <row r="34" spans="1:7" s="5" customFormat="1" ht="47.25" x14ac:dyDescent="0.25">
      <c r="A34" s="29" t="s">
        <v>53</v>
      </c>
      <c r="B34" s="4" t="s">
        <v>164</v>
      </c>
      <c r="C34" s="12">
        <f>5000000+327760</f>
        <v>5327760</v>
      </c>
      <c r="D34" s="26" t="s">
        <v>53</v>
      </c>
      <c r="E34" s="4" t="s">
        <v>164</v>
      </c>
      <c r="F34" s="12">
        <f>5000000+327760</f>
        <v>5327760</v>
      </c>
      <c r="G34" s="18">
        <f t="shared" si="0"/>
        <v>0</v>
      </c>
    </row>
    <row r="35" spans="1:7" s="5" customFormat="1" ht="47.25" x14ac:dyDescent="0.25">
      <c r="A35" s="29" t="s">
        <v>56</v>
      </c>
      <c r="B35" s="4" t="s">
        <v>131</v>
      </c>
      <c r="C35" s="12">
        <f>7194461-3994461</f>
        <v>3200000</v>
      </c>
      <c r="D35" s="26" t="s">
        <v>56</v>
      </c>
      <c r="E35" s="4" t="s">
        <v>131</v>
      </c>
      <c r="F35" s="12">
        <f>7194461-3994461</f>
        <v>3200000</v>
      </c>
      <c r="G35" s="18">
        <f t="shared" si="0"/>
        <v>0</v>
      </c>
    </row>
    <row r="36" spans="1:7" s="5" customFormat="1" ht="63" x14ac:dyDescent="0.25">
      <c r="A36" s="29" t="s">
        <v>58</v>
      </c>
      <c r="B36" s="4" t="s">
        <v>133</v>
      </c>
      <c r="C36" s="12">
        <f>3920000-3794429</f>
        <v>125571</v>
      </c>
      <c r="D36" s="26" t="s">
        <v>58</v>
      </c>
      <c r="E36" s="4" t="s">
        <v>133</v>
      </c>
      <c r="F36" s="12">
        <f>3920000-3794429</f>
        <v>125571</v>
      </c>
      <c r="G36" s="18">
        <f t="shared" si="0"/>
        <v>0</v>
      </c>
    </row>
    <row r="37" spans="1:7" s="5" customFormat="1" ht="47.25" x14ac:dyDescent="0.25">
      <c r="A37" s="29" t="s">
        <v>54</v>
      </c>
      <c r="B37" s="4" t="s">
        <v>134</v>
      </c>
      <c r="C37" s="12">
        <f>500000-475465</f>
        <v>24535</v>
      </c>
      <c r="D37" s="26" t="s">
        <v>54</v>
      </c>
      <c r="E37" s="4" t="s">
        <v>134</v>
      </c>
      <c r="F37" s="12">
        <f>500000-475465</f>
        <v>24535</v>
      </c>
      <c r="G37" s="18">
        <f t="shared" si="0"/>
        <v>0</v>
      </c>
    </row>
    <row r="38" spans="1:7" s="5" customFormat="1" ht="47.25" x14ac:dyDescent="0.25">
      <c r="A38" s="29" t="s">
        <v>57</v>
      </c>
      <c r="B38" s="4" t="s">
        <v>119</v>
      </c>
      <c r="C38" s="12">
        <f>0+1233653</f>
        <v>1233653</v>
      </c>
      <c r="D38" s="26" t="s">
        <v>57</v>
      </c>
      <c r="E38" s="4" t="s">
        <v>119</v>
      </c>
      <c r="F38" s="12">
        <f>0+1233653</f>
        <v>1233653</v>
      </c>
      <c r="G38" s="18">
        <f t="shared" si="0"/>
        <v>0</v>
      </c>
    </row>
    <row r="39" spans="1:7" s="5" customFormat="1" x14ac:dyDescent="0.25">
      <c r="A39" s="29"/>
      <c r="B39" s="23" t="s">
        <v>15</v>
      </c>
      <c r="C39" s="13">
        <f>SUM(C34:C38)</f>
        <v>9911519</v>
      </c>
      <c r="D39" s="26"/>
      <c r="E39" s="23" t="s">
        <v>15</v>
      </c>
      <c r="F39" s="13">
        <f>SUM(F34:F38)</f>
        <v>9911519</v>
      </c>
      <c r="G39" s="21">
        <f t="shared" si="0"/>
        <v>0</v>
      </c>
    </row>
    <row r="40" spans="1:7" s="5" customFormat="1" ht="21.75" customHeight="1" x14ac:dyDescent="0.25">
      <c r="A40" s="38" t="s">
        <v>29</v>
      </c>
      <c r="B40" s="39"/>
      <c r="C40" s="39"/>
      <c r="D40" s="39" t="s">
        <v>29</v>
      </c>
      <c r="E40" s="39"/>
      <c r="F40" s="39"/>
      <c r="G40" s="18"/>
    </row>
    <row r="41" spans="1:7" s="5" customFormat="1" ht="31.5" x14ac:dyDescent="0.25">
      <c r="A41" s="29" t="s">
        <v>53</v>
      </c>
      <c r="B41" s="4" t="s">
        <v>42</v>
      </c>
      <c r="C41" s="12">
        <f>296613+1165220-1165220</f>
        <v>296613</v>
      </c>
      <c r="D41" s="26" t="s">
        <v>53</v>
      </c>
      <c r="E41" s="4" t="s">
        <v>42</v>
      </c>
      <c r="F41" s="12">
        <f>296613+1165220-1165220</f>
        <v>296613</v>
      </c>
      <c r="G41" s="18">
        <f t="shared" si="0"/>
        <v>0</v>
      </c>
    </row>
    <row r="42" spans="1:7" s="5" customFormat="1" ht="52.5" customHeight="1" x14ac:dyDescent="0.25">
      <c r="A42" s="29" t="s">
        <v>56</v>
      </c>
      <c r="B42" s="4" t="s">
        <v>211</v>
      </c>
      <c r="C42" s="12">
        <f>194526+25908</f>
        <v>220434</v>
      </c>
      <c r="D42" s="26" t="s">
        <v>56</v>
      </c>
      <c r="E42" s="4" t="s">
        <v>211</v>
      </c>
      <c r="F42" s="12">
        <f>194526+25908</f>
        <v>220434</v>
      </c>
      <c r="G42" s="18">
        <f t="shared" si="0"/>
        <v>0</v>
      </c>
    </row>
    <row r="43" spans="1:7" s="5" customFormat="1" ht="47.25" x14ac:dyDescent="0.25">
      <c r="A43" s="29" t="s">
        <v>58</v>
      </c>
      <c r="B43" s="4" t="s">
        <v>212</v>
      </c>
      <c r="C43" s="12">
        <f>185562+25908</f>
        <v>211470</v>
      </c>
      <c r="D43" s="26" t="s">
        <v>58</v>
      </c>
      <c r="E43" s="4" t="s">
        <v>212</v>
      </c>
      <c r="F43" s="12">
        <f>185562+25908</f>
        <v>211470</v>
      </c>
      <c r="G43" s="18">
        <f t="shared" si="0"/>
        <v>0</v>
      </c>
    </row>
    <row r="44" spans="1:7" s="5" customFormat="1" ht="47.25" x14ac:dyDescent="0.25">
      <c r="A44" s="29"/>
      <c r="B44" s="4"/>
      <c r="C44" s="12"/>
      <c r="D44" s="26" t="s">
        <v>54</v>
      </c>
      <c r="E44" s="4" t="s">
        <v>216</v>
      </c>
      <c r="F44" s="12">
        <v>301443</v>
      </c>
      <c r="G44" s="18">
        <f t="shared" si="0"/>
        <v>301443</v>
      </c>
    </row>
    <row r="45" spans="1:7" s="5" customFormat="1" x14ac:dyDescent="0.25">
      <c r="A45" s="29"/>
      <c r="B45" s="23" t="s">
        <v>15</v>
      </c>
      <c r="C45" s="13">
        <f>SUM(C41:C43)</f>
        <v>728517</v>
      </c>
      <c r="D45" s="26"/>
      <c r="E45" s="23" t="s">
        <v>15</v>
      </c>
      <c r="F45" s="13">
        <f>SUM(F41:F44)</f>
        <v>1029960</v>
      </c>
      <c r="G45" s="21">
        <f t="shared" si="0"/>
        <v>301443</v>
      </c>
    </row>
    <row r="46" spans="1:7" s="5" customFormat="1" x14ac:dyDescent="0.25">
      <c r="A46" s="38" t="s">
        <v>7</v>
      </c>
      <c r="B46" s="39"/>
      <c r="C46" s="39"/>
      <c r="D46" s="39" t="s">
        <v>7</v>
      </c>
      <c r="E46" s="39"/>
      <c r="F46" s="39"/>
      <c r="G46" s="18"/>
    </row>
    <row r="47" spans="1:7" s="5" customFormat="1" ht="47.25" x14ac:dyDescent="0.25">
      <c r="A47" s="29" t="s">
        <v>53</v>
      </c>
      <c r="B47" s="4" t="s">
        <v>103</v>
      </c>
      <c r="C47" s="12">
        <f>5910500-216056</f>
        <v>5694444</v>
      </c>
      <c r="D47" s="26" t="s">
        <v>53</v>
      </c>
      <c r="E47" s="4" t="s">
        <v>103</v>
      </c>
      <c r="F47" s="12">
        <f>5910500-216056+11612462-45195</f>
        <v>17261711</v>
      </c>
      <c r="G47" s="18">
        <f t="shared" si="0"/>
        <v>11567267</v>
      </c>
    </row>
    <row r="48" spans="1:7" s="5" customFormat="1" ht="47.25" x14ac:dyDescent="0.25">
      <c r="A48" s="29" t="s">
        <v>56</v>
      </c>
      <c r="B48" s="4" t="s">
        <v>204</v>
      </c>
      <c r="C48" s="12">
        <v>3000000</v>
      </c>
      <c r="D48" s="26" t="s">
        <v>56</v>
      </c>
      <c r="E48" s="4" t="s">
        <v>222</v>
      </c>
      <c r="F48" s="12">
        <f>3000000-18506</f>
        <v>2981494</v>
      </c>
      <c r="G48" s="18">
        <f t="shared" si="0"/>
        <v>-18506</v>
      </c>
    </row>
    <row r="49" spans="1:7" s="5" customFormat="1" ht="31.5" x14ac:dyDescent="0.25">
      <c r="A49" s="29" t="s">
        <v>58</v>
      </c>
      <c r="B49" s="4" t="s">
        <v>67</v>
      </c>
      <c r="C49" s="12">
        <f>1400000+2200000</f>
        <v>3600000</v>
      </c>
      <c r="D49" s="26" t="s">
        <v>58</v>
      </c>
      <c r="E49" s="4" t="s">
        <v>67</v>
      </c>
      <c r="F49" s="12">
        <f>1400000+2200000+279370</f>
        <v>3879370</v>
      </c>
      <c r="G49" s="18">
        <f t="shared" si="0"/>
        <v>279370</v>
      </c>
    </row>
    <row r="50" spans="1:7" s="5" customFormat="1" ht="47.25" x14ac:dyDescent="0.25">
      <c r="A50" s="29" t="s">
        <v>54</v>
      </c>
      <c r="B50" s="4" t="s">
        <v>217</v>
      </c>
      <c r="C50" s="14">
        <v>1000000</v>
      </c>
      <c r="D50" s="26" t="s">
        <v>54</v>
      </c>
      <c r="E50" s="4" t="s">
        <v>217</v>
      </c>
      <c r="F50" s="14">
        <f>1000000-5854</f>
        <v>994146</v>
      </c>
      <c r="G50" s="18">
        <f t="shared" si="0"/>
        <v>-5854</v>
      </c>
    </row>
    <row r="51" spans="1:7" s="5" customFormat="1" ht="31.5" x14ac:dyDescent="0.25">
      <c r="A51" s="29" t="s">
        <v>57</v>
      </c>
      <c r="B51" s="4" t="s">
        <v>99</v>
      </c>
      <c r="C51" s="14">
        <v>490023</v>
      </c>
      <c r="D51" s="26" t="s">
        <v>57</v>
      </c>
      <c r="E51" s="4" t="s">
        <v>99</v>
      </c>
      <c r="F51" s="14">
        <v>490023</v>
      </c>
      <c r="G51" s="18">
        <f t="shared" si="0"/>
        <v>0</v>
      </c>
    </row>
    <row r="52" spans="1:7" s="5" customFormat="1" ht="31.5" x14ac:dyDescent="0.25">
      <c r="A52" s="29" t="s">
        <v>59</v>
      </c>
      <c r="B52" s="4" t="s">
        <v>165</v>
      </c>
      <c r="C52" s="14">
        <f>0+285395</f>
        <v>285395</v>
      </c>
      <c r="D52" s="26" t="s">
        <v>59</v>
      </c>
      <c r="E52" s="4" t="s">
        <v>165</v>
      </c>
      <c r="F52" s="14">
        <f>285395-6256</f>
        <v>279139</v>
      </c>
      <c r="G52" s="18">
        <f t="shared" si="0"/>
        <v>-6256</v>
      </c>
    </row>
    <row r="53" spans="1:7" s="5" customFormat="1" ht="31.5" x14ac:dyDescent="0.25">
      <c r="A53" s="29" t="s">
        <v>61</v>
      </c>
      <c r="B53" s="4" t="s">
        <v>135</v>
      </c>
      <c r="C53" s="14">
        <v>554618</v>
      </c>
      <c r="D53" s="26" t="s">
        <v>61</v>
      </c>
      <c r="E53" s="4" t="s">
        <v>135</v>
      </c>
      <c r="F53" s="14">
        <v>554618</v>
      </c>
      <c r="G53" s="18">
        <f t="shared" si="0"/>
        <v>0</v>
      </c>
    </row>
    <row r="54" spans="1:7" s="5" customFormat="1" x14ac:dyDescent="0.25">
      <c r="A54" s="29"/>
      <c r="B54" s="23" t="s">
        <v>15</v>
      </c>
      <c r="C54" s="13">
        <f>SUM(C47:C53)</f>
        <v>14624480</v>
      </c>
      <c r="D54" s="26"/>
      <c r="E54" s="23" t="s">
        <v>15</v>
      </c>
      <c r="F54" s="13">
        <f>SUM(F47:F53)</f>
        <v>26440501</v>
      </c>
      <c r="G54" s="18">
        <f t="shared" si="0"/>
        <v>11816021</v>
      </c>
    </row>
    <row r="55" spans="1:7" s="5" customFormat="1" x14ac:dyDescent="0.25">
      <c r="A55" s="38" t="s">
        <v>37</v>
      </c>
      <c r="B55" s="39"/>
      <c r="C55" s="39"/>
      <c r="D55" s="39" t="s">
        <v>37</v>
      </c>
      <c r="E55" s="39"/>
      <c r="F55" s="39"/>
      <c r="G55" s="18"/>
    </row>
    <row r="56" spans="1:7" s="5" customFormat="1" ht="31.5" x14ac:dyDescent="0.25">
      <c r="A56" s="29" t="s">
        <v>53</v>
      </c>
      <c r="B56" s="4" t="s">
        <v>136</v>
      </c>
      <c r="C56" s="14">
        <v>500000</v>
      </c>
      <c r="D56" s="26" t="s">
        <v>53</v>
      </c>
      <c r="E56" s="4" t="s">
        <v>136</v>
      </c>
      <c r="F56" s="14">
        <v>500000</v>
      </c>
      <c r="G56" s="18">
        <f t="shared" si="0"/>
        <v>0</v>
      </c>
    </row>
    <row r="57" spans="1:7" s="5" customFormat="1" x14ac:dyDescent="0.25">
      <c r="A57" s="29"/>
      <c r="B57" s="23" t="s">
        <v>15</v>
      </c>
      <c r="C57" s="13">
        <f>SUM(C56)</f>
        <v>500000</v>
      </c>
      <c r="D57" s="26"/>
      <c r="E57" s="23" t="s">
        <v>15</v>
      </c>
      <c r="F57" s="13">
        <f>SUM(F56)</f>
        <v>500000</v>
      </c>
      <c r="G57" s="18">
        <f t="shared" si="0"/>
        <v>0</v>
      </c>
    </row>
    <row r="58" spans="1:7" s="5" customFormat="1" x14ac:dyDescent="0.25">
      <c r="A58" s="38" t="s">
        <v>16</v>
      </c>
      <c r="B58" s="39"/>
      <c r="C58" s="39"/>
      <c r="D58" s="39" t="s">
        <v>16</v>
      </c>
      <c r="E58" s="39"/>
      <c r="F58" s="39"/>
      <c r="G58" s="18"/>
    </row>
    <row r="59" spans="1:7" s="5" customFormat="1" ht="63" x14ac:dyDescent="0.25">
      <c r="A59" s="29" t="s">
        <v>53</v>
      </c>
      <c r="B59" s="4" t="s">
        <v>38</v>
      </c>
      <c r="C59" s="12">
        <f>2500000+4000000</f>
        <v>6500000</v>
      </c>
      <c r="D59" s="26" t="s">
        <v>53</v>
      </c>
      <c r="E59" s="4" t="s">
        <v>38</v>
      </c>
      <c r="F59" s="12">
        <f>2500000+4000000</f>
        <v>6500000</v>
      </c>
      <c r="G59" s="18">
        <f t="shared" si="0"/>
        <v>0</v>
      </c>
    </row>
    <row r="60" spans="1:7" s="5" customFormat="1" ht="31.5" x14ac:dyDescent="0.25">
      <c r="A60" s="29" t="s">
        <v>56</v>
      </c>
      <c r="B60" s="4" t="s">
        <v>225</v>
      </c>
      <c r="C60" s="12">
        <v>805000</v>
      </c>
      <c r="D60" s="26" t="s">
        <v>56</v>
      </c>
      <c r="E60" s="4" t="s">
        <v>225</v>
      </c>
      <c r="F60" s="12">
        <v>805000</v>
      </c>
      <c r="G60" s="18">
        <f t="shared" si="0"/>
        <v>0</v>
      </c>
    </row>
    <row r="61" spans="1:7" s="5" customFormat="1" ht="47.25" x14ac:dyDescent="0.25">
      <c r="A61" s="29" t="s">
        <v>58</v>
      </c>
      <c r="B61" s="4" t="s">
        <v>166</v>
      </c>
      <c r="C61" s="12">
        <v>400000</v>
      </c>
      <c r="D61" s="26" t="s">
        <v>58</v>
      </c>
      <c r="E61" s="4" t="s">
        <v>166</v>
      </c>
      <c r="F61" s="12">
        <v>400000</v>
      </c>
      <c r="G61" s="18">
        <f t="shared" si="0"/>
        <v>0</v>
      </c>
    </row>
    <row r="62" spans="1:7" s="5" customFormat="1" ht="47.25" x14ac:dyDescent="0.25">
      <c r="A62" s="29" t="s">
        <v>54</v>
      </c>
      <c r="B62" s="4" t="s">
        <v>167</v>
      </c>
      <c r="C62" s="12">
        <v>595000</v>
      </c>
      <c r="D62" s="26" t="s">
        <v>54</v>
      </c>
      <c r="E62" s="4" t="s">
        <v>167</v>
      </c>
      <c r="F62" s="12">
        <v>595000</v>
      </c>
      <c r="G62" s="18">
        <f t="shared" si="0"/>
        <v>0</v>
      </c>
    </row>
    <row r="63" spans="1:7" s="5" customFormat="1" x14ac:dyDescent="0.25">
      <c r="A63" s="29"/>
      <c r="B63" s="23" t="s">
        <v>15</v>
      </c>
      <c r="C63" s="13">
        <f>SUM(C59:C62)</f>
        <v>8300000</v>
      </c>
      <c r="D63" s="26"/>
      <c r="E63" s="23" t="s">
        <v>15</v>
      </c>
      <c r="F63" s="13">
        <f>SUM(F59:F62)</f>
        <v>8300000</v>
      </c>
      <c r="G63" s="18">
        <f t="shared" si="0"/>
        <v>0</v>
      </c>
    </row>
    <row r="64" spans="1:7" s="5" customFormat="1" x14ac:dyDescent="0.25">
      <c r="A64" s="38" t="s">
        <v>17</v>
      </c>
      <c r="B64" s="39"/>
      <c r="C64" s="39"/>
      <c r="D64" s="39" t="s">
        <v>17</v>
      </c>
      <c r="E64" s="39"/>
      <c r="F64" s="39"/>
      <c r="G64" s="18"/>
    </row>
    <row r="65" spans="1:7" s="5" customFormat="1" ht="31.5" x14ac:dyDescent="0.25">
      <c r="A65" s="29" t="s">
        <v>53</v>
      </c>
      <c r="B65" s="7" t="s">
        <v>68</v>
      </c>
      <c r="C65" s="12">
        <v>2490551</v>
      </c>
      <c r="D65" s="26" t="s">
        <v>53</v>
      </c>
      <c r="E65" s="7" t="s">
        <v>68</v>
      </c>
      <c r="F65" s="12">
        <v>2490551</v>
      </c>
      <c r="G65" s="18">
        <f t="shared" si="0"/>
        <v>0</v>
      </c>
    </row>
    <row r="66" spans="1:7" s="5" customFormat="1" ht="31.5" x14ac:dyDescent="0.25">
      <c r="A66" s="29" t="s">
        <v>56</v>
      </c>
      <c r="B66" s="7" t="s">
        <v>69</v>
      </c>
      <c r="C66" s="12">
        <f>250000-37177</f>
        <v>212823</v>
      </c>
      <c r="D66" s="26" t="s">
        <v>56</v>
      </c>
      <c r="E66" s="7" t="s">
        <v>69</v>
      </c>
      <c r="F66" s="12">
        <f>250000-37177</f>
        <v>212823</v>
      </c>
      <c r="G66" s="18">
        <f t="shared" si="0"/>
        <v>0</v>
      </c>
    </row>
    <row r="67" spans="1:7" s="5" customFormat="1" ht="31.5" x14ac:dyDescent="0.25">
      <c r="A67" s="29" t="s">
        <v>58</v>
      </c>
      <c r="B67" s="6" t="s">
        <v>50</v>
      </c>
      <c r="C67" s="12">
        <v>2000000</v>
      </c>
      <c r="D67" s="26" t="s">
        <v>58</v>
      </c>
      <c r="E67" s="6" t="s">
        <v>50</v>
      </c>
      <c r="F67" s="12">
        <v>2000000</v>
      </c>
      <c r="G67" s="18">
        <f t="shared" si="0"/>
        <v>0</v>
      </c>
    </row>
    <row r="68" spans="1:7" s="5" customFormat="1" ht="47.25" x14ac:dyDescent="0.25">
      <c r="A68" s="29" t="s">
        <v>54</v>
      </c>
      <c r="B68" s="6" t="s">
        <v>168</v>
      </c>
      <c r="C68" s="12">
        <v>1501</v>
      </c>
      <c r="D68" s="26" t="s">
        <v>54</v>
      </c>
      <c r="E68" s="6" t="s">
        <v>168</v>
      </c>
      <c r="F68" s="12">
        <v>1501</v>
      </c>
      <c r="G68" s="18">
        <f t="shared" si="0"/>
        <v>0</v>
      </c>
    </row>
    <row r="69" spans="1:7" s="5" customFormat="1" ht="31.5" x14ac:dyDescent="0.25">
      <c r="A69" s="29" t="s">
        <v>57</v>
      </c>
      <c r="B69" s="6" t="s">
        <v>100</v>
      </c>
      <c r="C69" s="12">
        <v>3670</v>
      </c>
      <c r="D69" s="26" t="s">
        <v>57</v>
      </c>
      <c r="E69" s="6" t="s">
        <v>100</v>
      </c>
      <c r="F69" s="12">
        <v>3670</v>
      </c>
      <c r="G69" s="18">
        <f t="shared" si="0"/>
        <v>0</v>
      </c>
    </row>
    <row r="70" spans="1:7" s="5" customFormat="1" ht="31.5" x14ac:dyDescent="0.25">
      <c r="A70" s="29" t="s">
        <v>59</v>
      </c>
      <c r="B70" s="6" t="s">
        <v>169</v>
      </c>
      <c r="C70" s="12">
        <v>202000</v>
      </c>
      <c r="D70" s="26" t="s">
        <v>59</v>
      </c>
      <c r="E70" s="6" t="s">
        <v>169</v>
      </c>
      <c r="F70" s="12">
        <v>202000</v>
      </c>
      <c r="G70" s="18">
        <f t="shared" si="0"/>
        <v>0</v>
      </c>
    </row>
    <row r="71" spans="1:7" s="5" customFormat="1" ht="31.5" x14ac:dyDescent="0.25">
      <c r="A71" s="29" t="s">
        <v>61</v>
      </c>
      <c r="B71" s="6" t="s">
        <v>137</v>
      </c>
      <c r="C71" s="12">
        <v>270000</v>
      </c>
      <c r="D71" s="26" t="s">
        <v>61</v>
      </c>
      <c r="E71" s="6" t="s">
        <v>137</v>
      </c>
      <c r="F71" s="12">
        <v>270000</v>
      </c>
      <c r="G71" s="18">
        <f t="shared" si="0"/>
        <v>0</v>
      </c>
    </row>
    <row r="72" spans="1:7" s="5" customFormat="1" ht="31.5" x14ac:dyDescent="0.25">
      <c r="A72" s="29" t="s">
        <v>55</v>
      </c>
      <c r="B72" s="6" t="s">
        <v>138</v>
      </c>
      <c r="C72" s="12">
        <v>393000</v>
      </c>
      <c r="D72" s="26" t="s">
        <v>55</v>
      </c>
      <c r="E72" s="6" t="s">
        <v>138</v>
      </c>
      <c r="F72" s="12">
        <v>393000</v>
      </c>
      <c r="G72" s="18">
        <f t="shared" si="0"/>
        <v>0</v>
      </c>
    </row>
    <row r="73" spans="1:7" s="5" customFormat="1" ht="31.5" x14ac:dyDescent="0.25">
      <c r="A73" s="29" t="s">
        <v>60</v>
      </c>
      <c r="B73" s="6" t="s">
        <v>139</v>
      </c>
      <c r="C73" s="12">
        <v>135000</v>
      </c>
      <c r="D73" s="26" t="s">
        <v>60</v>
      </c>
      <c r="E73" s="6" t="s">
        <v>139</v>
      </c>
      <c r="F73" s="12">
        <v>135000</v>
      </c>
      <c r="G73" s="18">
        <f t="shared" si="0"/>
        <v>0</v>
      </c>
    </row>
    <row r="74" spans="1:7" s="5" customFormat="1" x14ac:dyDescent="0.25">
      <c r="A74" s="29"/>
      <c r="B74" s="23" t="s">
        <v>15</v>
      </c>
      <c r="C74" s="13">
        <f>SUM(C65:C73)</f>
        <v>5708545</v>
      </c>
      <c r="D74" s="26"/>
      <c r="E74" s="23" t="s">
        <v>15</v>
      </c>
      <c r="F74" s="13">
        <f>SUM(F65:F73)</f>
        <v>5708545</v>
      </c>
      <c r="G74" s="18">
        <f t="shared" si="0"/>
        <v>0</v>
      </c>
    </row>
    <row r="75" spans="1:7" s="5" customFormat="1" ht="21" customHeight="1" x14ac:dyDescent="0.25">
      <c r="A75" s="38" t="s">
        <v>19</v>
      </c>
      <c r="B75" s="39"/>
      <c r="C75" s="39"/>
      <c r="D75" s="39" t="s">
        <v>19</v>
      </c>
      <c r="E75" s="39"/>
      <c r="F75" s="39"/>
      <c r="G75" s="18"/>
    </row>
    <row r="76" spans="1:7" s="5" customFormat="1" ht="27" customHeight="1" x14ac:dyDescent="0.25">
      <c r="A76" s="29" t="s">
        <v>53</v>
      </c>
      <c r="B76" s="4" t="s">
        <v>140</v>
      </c>
      <c r="C76" s="14">
        <v>3822227</v>
      </c>
      <c r="D76" s="26" t="s">
        <v>53</v>
      </c>
      <c r="E76" s="4" t="s">
        <v>140</v>
      </c>
      <c r="F76" s="14">
        <v>3822227</v>
      </c>
      <c r="G76" s="18">
        <f t="shared" ref="G76:G142" si="1">F76-C76</f>
        <v>0</v>
      </c>
    </row>
    <row r="77" spans="1:7" s="5" customFormat="1" ht="47.25" x14ac:dyDescent="0.25">
      <c r="A77" s="29" t="s">
        <v>56</v>
      </c>
      <c r="B77" s="4" t="s">
        <v>170</v>
      </c>
      <c r="C77" s="14">
        <v>1200000</v>
      </c>
      <c r="D77" s="26" t="s">
        <v>56</v>
      </c>
      <c r="E77" s="4" t="s">
        <v>170</v>
      </c>
      <c r="F77" s="14">
        <v>1200000</v>
      </c>
      <c r="G77" s="18">
        <f t="shared" si="1"/>
        <v>0</v>
      </c>
    </row>
    <row r="78" spans="1:7" s="5" customFormat="1" x14ac:dyDescent="0.25">
      <c r="A78" s="29"/>
      <c r="B78" s="23" t="s">
        <v>15</v>
      </c>
      <c r="C78" s="13">
        <f>SUM(C76:C77)</f>
        <v>5022227</v>
      </c>
      <c r="D78" s="26"/>
      <c r="E78" s="23" t="s">
        <v>15</v>
      </c>
      <c r="F78" s="13">
        <f>SUM(F76:F77)</f>
        <v>5022227</v>
      </c>
      <c r="G78" s="18">
        <f t="shared" si="1"/>
        <v>0</v>
      </c>
    </row>
    <row r="79" spans="1:7" s="5" customFormat="1" x14ac:dyDescent="0.25">
      <c r="A79" s="38" t="s">
        <v>4</v>
      </c>
      <c r="B79" s="39"/>
      <c r="C79" s="39"/>
      <c r="D79" s="39" t="s">
        <v>4</v>
      </c>
      <c r="E79" s="39"/>
      <c r="F79" s="39"/>
      <c r="G79" s="18"/>
    </row>
    <row r="80" spans="1:7" s="5" customFormat="1" ht="31.5" x14ac:dyDescent="0.25">
      <c r="A80" s="29" t="s">
        <v>53</v>
      </c>
      <c r="B80" s="4" t="s">
        <v>72</v>
      </c>
      <c r="C80" s="12">
        <f>1159127-1026475</f>
        <v>132652</v>
      </c>
      <c r="D80" s="26" t="s">
        <v>53</v>
      </c>
      <c r="E80" s="4" t="s">
        <v>72</v>
      </c>
      <c r="F80" s="12">
        <f>1159127-1026475</f>
        <v>132652</v>
      </c>
      <c r="G80" s="18">
        <f t="shared" si="1"/>
        <v>0</v>
      </c>
    </row>
    <row r="81" spans="1:7" s="5" customFormat="1" x14ac:dyDescent="0.25">
      <c r="A81" s="29" t="s">
        <v>56</v>
      </c>
      <c r="B81" s="4" t="s">
        <v>70</v>
      </c>
      <c r="C81" s="12">
        <f>600000-63754</f>
        <v>536246</v>
      </c>
      <c r="D81" s="26" t="s">
        <v>56</v>
      </c>
      <c r="E81" s="4" t="s">
        <v>70</v>
      </c>
      <c r="F81" s="12">
        <f>600000-63754</f>
        <v>536246</v>
      </c>
      <c r="G81" s="18">
        <f t="shared" si="1"/>
        <v>0</v>
      </c>
    </row>
    <row r="82" spans="1:7" s="5" customFormat="1" ht="31.5" x14ac:dyDescent="0.25">
      <c r="A82" s="29" t="s">
        <v>58</v>
      </c>
      <c r="B82" s="4" t="s">
        <v>171</v>
      </c>
      <c r="C82" s="12">
        <v>1550000</v>
      </c>
      <c r="D82" s="26" t="s">
        <v>58</v>
      </c>
      <c r="E82" s="4" t="s">
        <v>171</v>
      </c>
      <c r="F82" s="12">
        <v>1550000</v>
      </c>
      <c r="G82" s="18">
        <f t="shared" si="1"/>
        <v>0</v>
      </c>
    </row>
    <row r="83" spans="1:7" s="5" customFormat="1" ht="47.25" x14ac:dyDescent="0.25">
      <c r="A83" s="29" t="s">
        <v>54</v>
      </c>
      <c r="B83" s="4" t="s">
        <v>102</v>
      </c>
      <c r="C83" s="12">
        <f>793700-1860</f>
        <v>791840</v>
      </c>
      <c r="D83" s="26" t="s">
        <v>54</v>
      </c>
      <c r="E83" s="4" t="s">
        <v>102</v>
      </c>
      <c r="F83" s="12">
        <f>793700-1860</f>
        <v>791840</v>
      </c>
      <c r="G83" s="18">
        <f t="shared" si="1"/>
        <v>0</v>
      </c>
    </row>
    <row r="84" spans="1:7" s="5" customFormat="1" ht="31.5" x14ac:dyDescent="0.25">
      <c r="A84" s="29" t="s">
        <v>57</v>
      </c>
      <c r="B84" s="4" t="s">
        <v>141</v>
      </c>
      <c r="C84" s="12">
        <v>1000000</v>
      </c>
      <c r="D84" s="26" t="s">
        <v>57</v>
      </c>
      <c r="E84" s="4" t="s">
        <v>141</v>
      </c>
      <c r="F84" s="12">
        <v>1000000</v>
      </c>
      <c r="G84" s="18">
        <f t="shared" si="1"/>
        <v>0</v>
      </c>
    </row>
    <row r="85" spans="1:7" s="5" customFormat="1" x14ac:dyDescent="0.25">
      <c r="A85" s="29"/>
      <c r="B85" s="23" t="s">
        <v>15</v>
      </c>
      <c r="C85" s="13">
        <f>SUM(C80:C84)</f>
        <v>4010738</v>
      </c>
      <c r="D85" s="26"/>
      <c r="E85" s="23" t="s">
        <v>15</v>
      </c>
      <c r="F85" s="13">
        <f>SUM(F80:F84)</f>
        <v>4010738</v>
      </c>
      <c r="G85" s="18">
        <f t="shared" si="1"/>
        <v>0</v>
      </c>
    </row>
    <row r="86" spans="1:7" s="5" customFormat="1" x14ac:dyDescent="0.25">
      <c r="A86" s="38" t="s">
        <v>0</v>
      </c>
      <c r="B86" s="39"/>
      <c r="C86" s="39"/>
      <c r="D86" s="39" t="s">
        <v>0</v>
      </c>
      <c r="E86" s="39"/>
      <c r="F86" s="39"/>
      <c r="G86" s="18"/>
    </row>
    <row r="87" spans="1:7" s="5" customFormat="1" ht="31.5" x14ac:dyDescent="0.25">
      <c r="A87" s="29" t="s">
        <v>53</v>
      </c>
      <c r="B87" s="4" t="s">
        <v>104</v>
      </c>
      <c r="C87" s="12">
        <f>700000+706386</f>
        <v>1406386</v>
      </c>
      <c r="D87" s="26" t="s">
        <v>53</v>
      </c>
      <c r="E87" s="4" t="s">
        <v>104</v>
      </c>
      <c r="F87" s="12">
        <f>700000+706386</f>
        <v>1406386</v>
      </c>
      <c r="G87" s="18">
        <f t="shared" si="1"/>
        <v>0</v>
      </c>
    </row>
    <row r="88" spans="1:7" s="5" customFormat="1" ht="47.25" x14ac:dyDescent="0.25">
      <c r="A88" s="29" t="s">
        <v>56</v>
      </c>
      <c r="B88" s="4" t="s">
        <v>226</v>
      </c>
      <c r="C88" s="12">
        <v>254612</v>
      </c>
      <c r="D88" s="26" t="s">
        <v>56</v>
      </c>
      <c r="E88" s="4" t="s">
        <v>226</v>
      </c>
      <c r="F88" s="12">
        <v>254612</v>
      </c>
      <c r="G88" s="18">
        <f t="shared" si="1"/>
        <v>0</v>
      </c>
    </row>
    <row r="89" spans="1:7" s="5" customFormat="1" ht="31.5" x14ac:dyDescent="0.25">
      <c r="A89" s="29" t="s">
        <v>58</v>
      </c>
      <c r="B89" s="4" t="s">
        <v>172</v>
      </c>
      <c r="C89" s="12">
        <f>711392+1061681</f>
        <v>1773073</v>
      </c>
      <c r="D89" s="26" t="s">
        <v>58</v>
      </c>
      <c r="E89" s="4" t="s">
        <v>172</v>
      </c>
      <c r="F89" s="12">
        <f>711392+1061681</f>
        <v>1773073</v>
      </c>
      <c r="G89" s="18">
        <f t="shared" si="1"/>
        <v>0</v>
      </c>
    </row>
    <row r="90" spans="1:7" s="5" customFormat="1" ht="31.5" x14ac:dyDescent="0.25">
      <c r="A90" s="29" t="s">
        <v>54</v>
      </c>
      <c r="B90" s="4" t="s">
        <v>173</v>
      </c>
      <c r="C90" s="12">
        <v>246700</v>
      </c>
      <c r="D90" s="26" t="s">
        <v>54</v>
      </c>
      <c r="E90" s="4" t="s">
        <v>173</v>
      </c>
      <c r="F90" s="12">
        <v>246700</v>
      </c>
      <c r="G90" s="18">
        <f t="shared" si="1"/>
        <v>0</v>
      </c>
    </row>
    <row r="91" spans="1:7" s="5" customFormat="1" ht="31.5" x14ac:dyDescent="0.25">
      <c r="A91" s="29" t="s">
        <v>57</v>
      </c>
      <c r="B91" s="4" t="s">
        <v>174</v>
      </c>
      <c r="C91" s="12">
        <v>170100</v>
      </c>
      <c r="D91" s="26" t="s">
        <v>57</v>
      </c>
      <c r="E91" s="4" t="s">
        <v>174</v>
      </c>
      <c r="F91" s="12">
        <v>170100</v>
      </c>
      <c r="G91" s="18">
        <f t="shared" si="1"/>
        <v>0</v>
      </c>
    </row>
    <row r="92" spans="1:7" s="5" customFormat="1" ht="31.5" x14ac:dyDescent="0.25">
      <c r="A92" s="29" t="s">
        <v>59</v>
      </c>
      <c r="B92" s="4" t="s">
        <v>126</v>
      </c>
      <c r="C92" s="12">
        <v>247320</v>
      </c>
      <c r="D92" s="26" t="s">
        <v>59</v>
      </c>
      <c r="E92" s="4" t="s">
        <v>126</v>
      </c>
      <c r="F92" s="12">
        <v>247320</v>
      </c>
      <c r="G92" s="18">
        <f t="shared" si="1"/>
        <v>0</v>
      </c>
    </row>
    <row r="93" spans="1:7" s="5" customFormat="1" ht="31.5" x14ac:dyDescent="0.25">
      <c r="A93" s="29" t="s">
        <v>61</v>
      </c>
      <c r="B93" s="4" t="s">
        <v>120</v>
      </c>
      <c r="C93" s="12">
        <v>140400</v>
      </c>
      <c r="D93" s="26" t="s">
        <v>61</v>
      </c>
      <c r="E93" s="4" t="s">
        <v>120</v>
      </c>
      <c r="F93" s="12">
        <v>140400</v>
      </c>
      <c r="G93" s="18">
        <f t="shared" si="1"/>
        <v>0</v>
      </c>
    </row>
    <row r="94" spans="1:7" s="5" customFormat="1" ht="31.5" x14ac:dyDescent="0.25">
      <c r="A94" s="29" t="s">
        <v>55</v>
      </c>
      <c r="B94" s="4" t="s">
        <v>175</v>
      </c>
      <c r="C94" s="12">
        <v>243000</v>
      </c>
      <c r="D94" s="26" t="s">
        <v>55</v>
      </c>
      <c r="E94" s="4" t="s">
        <v>175</v>
      </c>
      <c r="F94" s="12">
        <v>243000</v>
      </c>
      <c r="G94" s="18">
        <f t="shared" si="1"/>
        <v>0</v>
      </c>
    </row>
    <row r="95" spans="1:7" s="5" customFormat="1" ht="31.5" x14ac:dyDescent="0.25">
      <c r="A95" s="29" t="s">
        <v>60</v>
      </c>
      <c r="B95" s="4" t="s">
        <v>176</v>
      </c>
      <c r="C95" s="12">
        <v>209480</v>
      </c>
      <c r="D95" s="26" t="s">
        <v>60</v>
      </c>
      <c r="E95" s="4" t="s">
        <v>176</v>
      </c>
      <c r="F95" s="12">
        <v>209480</v>
      </c>
      <c r="G95" s="18">
        <f t="shared" si="1"/>
        <v>0</v>
      </c>
    </row>
    <row r="96" spans="1:7" s="5" customFormat="1" x14ac:dyDescent="0.25">
      <c r="A96" s="29"/>
      <c r="B96" s="23" t="s">
        <v>15</v>
      </c>
      <c r="C96" s="13">
        <f>SUM(C87:C95)</f>
        <v>4691071</v>
      </c>
      <c r="D96" s="26"/>
      <c r="E96" s="23" t="s">
        <v>15</v>
      </c>
      <c r="F96" s="13">
        <f>SUM(F87:F95)</f>
        <v>4691071</v>
      </c>
      <c r="G96" s="18">
        <f t="shared" si="1"/>
        <v>0</v>
      </c>
    </row>
    <row r="97" spans="1:207" s="5" customFormat="1" x14ac:dyDescent="0.25">
      <c r="A97" s="38" t="s">
        <v>18</v>
      </c>
      <c r="B97" s="39"/>
      <c r="C97" s="39"/>
      <c r="D97" s="39" t="s">
        <v>18</v>
      </c>
      <c r="E97" s="39"/>
      <c r="F97" s="39"/>
      <c r="G97" s="18"/>
    </row>
    <row r="98" spans="1:207" s="5" customFormat="1" ht="31.5" x14ac:dyDescent="0.25">
      <c r="A98" s="29" t="s">
        <v>53</v>
      </c>
      <c r="B98" s="4" t="s">
        <v>40</v>
      </c>
      <c r="C98" s="12">
        <f>6584850-5868840</f>
        <v>716010</v>
      </c>
      <c r="D98" s="26" t="s">
        <v>53</v>
      </c>
      <c r="E98" s="4" t="s">
        <v>40</v>
      </c>
      <c r="F98" s="12">
        <f>6584850-5868840</f>
        <v>716010</v>
      </c>
      <c r="G98" s="18">
        <f t="shared" si="1"/>
        <v>0</v>
      </c>
    </row>
    <row r="99" spans="1:207" s="5" customFormat="1" ht="31.5" x14ac:dyDescent="0.25">
      <c r="A99" s="29" t="s">
        <v>56</v>
      </c>
      <c r="B99" s="4" t="s">
        <v>142</v>
      </c>
      <c r="C99" s="12">
        <v>600000</v>
      </c>
      <c r="D99" s="26" t="s">
        <v>56</v>
      </c>
      <c r="E99" s="4" t="s">
        <v>142</v>
      </c>
      <c r="F99" s="12">
        <v>600000</v>
      </c>
      <c r="G99" s="18">
        <f t="shared" si="1"/>
        <v>0</v>
      </c>
    </row>
    <row r="100" spans="1:207" s="5" customFormat="1" ht="31.5" x14ac:dyDescent="0.25">
      <c r="A100" s="29" t="s">
        <v>58</v>
      </c>
      <c r="B100" s="4" t="s">
        <v>143</v>
      </c>
      <c r="C100" s="12">
        <v>400000</v>
      </c>
      <c r="D100" s="26" t="s">
        <v>58</v>
      </c>
      <c r="E100" s="4" t="s">
        <v>143</v>
      </c>
      <c r="F100" s="12">
        <v>400000</v>
      </c>
      <c r="G100" s="18">
        <f t="shared" si="1"/>
        <v>0</v>
      </c>
    </row>
    <row r="101" spans="1:207" s="5" customFormat="1" x14ac:dyDescent="0.25">
      <c r="A101" s="29"/>
      <c r="B101" s="23" t="s">
        <v>15</v>
      </c>
      <c r="C101" s="13">
        <f>SUM(C98:C100)</f>
        <v>1716010</v>
      </c>
      <c r="D101" s="26"/>
      <c r="E101" s="23" t="s">
        <v>15</v>
      </c>
      <c r="F101" s="13">
        <f>SUM(F98:F100)</f>
        <v>1716010</v>
      </c>
      <c r="G101" s="18">
        <f t="shared" si="1"/>
        <v>0</v>
      </c>
    </row>
    <row r="102" spans="1:207" s="5" customFormat="1" x14ac:dyDescent="0.25">
      <c r="A102" s="29"/>
      <c r="B102" s="23" t="s">
        <v>84</v>
      </c>
      <c r="C102" s="13">
        <f>C101+C96+C85+C78+C74+C63+C54+C45+C39+C57</f>
        <v>55213107</v>
      </c>
      <c r="D102" s="26"/>
      <c r="E102" s="23" t="s">
        <v>84</v>
      </c>
      <c r="F102" s="13">
        <f>F101+F96+F85+F78+F74+F63+F54+F45+F39+F57</f>
        <v>67330571</v>
      </c>
      <c r="G102" s="21">
        <f t="shared" si="1"/>
        <v>12117464</v>
      </c>
    </row>
    <row r="103" spans="1:207" s="5" customFormat="1" ht="23.25" customHeight="1" x14ac:dyDescent="0.25">
      <c r="A103" s="40" t="s">
        <v>85</v>
      </c>
      <c r="B103" s="41"/>
      <c r="C103" s="41"/>
      <c r="D103" s="41" t="s">
        <v>85</v>
      </c>
      <c r="E103" s="41"/>
      <c r="F103" s="41"/>
      <c r="G103" s="18"/>
    </row>
    <row r="104" spans="1:207" s="5" customFormat="1" x14ac:dyDescent="0.25">
      <c r="A104" s="38" t="s">
        <v>1</v>
      </c>
      <c r="B104" s="39"/>
      <c r="C104" s="39"/>
      <c r="D104" s="39" t="s">
        <v>1</v>
      </c>
      <c r="E104" s="39"/>
      <c r="F104" s="39"/>
      <c r="G104" s="18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</row>
    <row r="105" spans="1:207" s="5" customFormat="1" ht="47.25" x14ac:dyDescent="0.25">
      <c r="A105" s="29" t="s">
        <v>53</v>
      </c>
      <c r="B105" s="4" t="s">
        <v>105</v>
      </c>
      <c r="C105" s="12">
        <v>6000000</v>
      </c>
      <c r="D105" s="26" t="s">
        <v>53</v>
      </c>
      <c r="E105" s="4" t="s">
        <v>105</v>
      </c>
      <c r="F105" s="12">
        <f>6000000+6484541</f>
        <v>12484541</v>
      </c>
      <c r="G105" s="18">
        <f t="shared" si="1"/>
        <v>6484541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</row>
    <row r="106" spans="1:207" s="5" customFormat="1" x14ac:dyDescent="0.25">
      <c r="A106" s="29"/>
      <c r="B106" s="23" t="s">
        <v>15</v>
      </c>
      <c r="C106" s="13">
        <f>SUM(C105:C105)</f>
        <v>6000000</v>
      </c>
      <c r="D106" s="26"/>
      <c r="E106" s="23" t="s">
        <v>15</v>
      </c>
      <c r="F106" s="13">
        <f>SUM(F105:F105)</f>
        <v>12484541</v>
      </c>
      <c r="G106" s="18">
        <f t="shared" si="1"/>
        <v>6484541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</row>
    <row r="107" spans="1:207" s="5" customFormat="1" x14ac:dyDescent="0.25">
      <c r="A107" s="38" t="s">
        <v>44</v>
      </c>
      <c r="B107" s="39"/>
      <c r="C107" s="39"/>
      <c r="D107" s="39" t="s">
        <v>44</v>
      </c>
      <c r="E107" s="39"/>
      <c r="F107" s="39"/>
      <c r="G107" s="18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</row>
    <row r="108" spans="1:207" s="5" customFormat="1" ht="31.5" x14ac:dyDescent="0.25">
      <c r="A108" s="29" t="s">
        <v>53</v>
      </c>
      <c r="B108" s="4" t="s">
        <v>71</v>
      </c>
      <c r="C108" s="12">
        <v>112091</v>
      </c>
      <c r="D108" s="26" t="s">
        <v>53</v>
      </c>
      <c r="E108" s="4" t="s">
        <v>71</v>
      </c>
      <c r="F108" s="12">
        <v>112091</v>
      </c>
      <c r="G108" s="18">
        <f t="shared" si="1"/>
        <v>0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</row>
    <row r="109" spans="1:207" s="5" customFormat="1" x14ac:dyDescent="0.25">
      <c r="A109" s="8"/>
      <c r="B109" s="23" t="s">
        <v>15</v>
      </c>
      <c r="C109" s="13">
        <f>SUM(C108)</f>
        <v>112091</v>
      </c>
      <c r="D109" s="15"/>
      <c r="E109" s="23" t="s">
        <v>15</v>
      </c>
      <c r="F109" s="13">
        <f>SUM(F108)</f>
        <v>112091</v>
      </c>
      <c r="G109" s="18">
        <f t="shared" si="1"/>
        <v>0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</row>
    <row r="110" spans="1:207" s="5" customFormat="1" x14ac:dyDescent="0.25">
      <c r="A110" s="38" t="s">
        <v>46</v>
      </c>
      <c r="B110" s="39"/>
      <c r="C110" s="39"/>
      <c r="D110" s="39" t="s">
        <v>46</v>
      </c>
      <c r="E110" s="39"/>
      <c r="F110" s="39"/>
      <c r="G110" s="18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</row>
    <row r="111" spans="1:207" s="5" customFormat="1" ht="47.25" x14ac:dyDescent="0.25">
      <c r="A111" s="29" t="s">
        <v>53</v>
      </c>
      <c r="B111" s="4" t="s">
        <v>177</v>
      </c>
      <c r="C111" s="12">
        <v>915000</v>
      </c>
      <c r="D111" s="26" t="s">
        <v>53</v>
      </c>
      <c r="E111" s="4" t="s">
        <v>177</v>
      </c>
      <c r="F111" s="12">
        <v>915000</v>
      </c>
      <c r="G111" s="18">
        <f t="shared" si="1"/>
        <v>0</v>
      </c>
    </row>
    <row r="112" spans="1:207" s="5" customFormat="1" x14ac:dyDescent="0.25">
      <c r="A112" s="8"/>
      <c r="B112" s="23" t="s">
        <v>15</v>
      </c>
      <c r="C112" s="13">
        <f>SUM(C111)</f>
        <v>915000</v>
      </c>
      <c r="D112" s="15"/>
      <c r="E112" s="23" t="s">
        <v>15</v>
      </c>
      <c r="F112" s="13">
        <f>SUM(F111)</f>
        <v>915000</v>
      </c>
      <c r="G112" s="18">
        <f t="shared" si="1"/>
        <v>0</v>
      </c>
    </row>
    <row r="113" spans="1:7" s="5" customFormat="1" ht="42.75" customHeight="1" x14ac:dyDescent="0.25">
      <c r="A113" s="38" t="s">
        <v>45</v>
      </c>
      <c r="B113" s="39"/>
      <c r="C113" s="39"/>
      <c r="D113" s="39" t="s">
        <v>45</v>
      </c>
      <c r="E113" s="39"/>
      <c r="F113" s="39"/>
      <c r="G113" s="18"/>
    </row>
    <row r="114" spans="1:7" s="5" customFormat="1" ht="31.5" x14ac:dyDescent="0.25">
      <c r="A114" s="29" t="s">
        <v>53</v>
      </c>
      <c r="B114" s="4" t="s">
        <v>178</v>
      </c>
      <c r="C114" s="14">
        <v>2600000</v>
      </c>
      <c r="D114" s="26" t="s">
        <v>53</v>
      </c>
      <c r="E114" s="4" t="s">
        <v>178</v>
      </c>
      <c r="F114" s="14">
        <v>2600000</v>
      </c>
      <c r="G114" s="18">
        <f t="shared" si="1"/>
        <v>0</v>
      </c>
    </row>
    <row r="115" spans="1:7" s="5" customFormat="1" ht="31.5" x14ac:dyDescent="0.25">
      <c r="A115" s="29" t="s">
        <v>56</v>
      </c>
      <c r="B115" s="4" t="s">
        <v>144</v>
      </c>
      <c r="C115" s="14">
        <v>3010000</v>
      </c>
      <c r="D115" s="26" t="s">
        <v>56</v>
      </c>
      <c r="E115" s="4" t="s">
        <v>144</v>
      </c>
      <c r="F115" s="14">
        <v>3010000</v>
      </c>
      <c r="G115" s="18">
        <f t="shared" si="1"/>
        <v>0</v>
      </c>
    </row>
    <row r="116" spans="1:7" s="5" customFormat="1" ht="31.5" x14ac:dyDescent="0.25">
      <c r="A116" s="29" t="s">
        <v>58</v>
      </c>
      <c r="B116" s="4" t="s">
        <v>145</v>
      </c>
      <c r="C116" s="14">
        <v>1405000</v>
      </c>
      <c r="D116" s="26" t="s">
        <v>58</v>
      </c>
      <c r="E116" s="4" t="s">
        <v>145</v>
      </c>
      <c r="F116" s="14">
        <v>1405000</v>
      </c>
      <c r="G116" s="18">
        <f t="shared" si="1"/>
        <v>0</v>
      </c>
    </row>
    <row r="117" spans="1:7" s="5" customFormat="1" ht="47.25" x14ac:dyDescent="0.25">
      <c r="A117" s="29" t="s">
        <v>54</v>
      </c>
      <c r="B117" s="4" t="s">
        <v>179</v>
      </c>
      <c r="C117" s="14">
        <v>693113</v>
      </c>
      <c r="D117" s="26" t="s">
        <v>54</v>
      </c>
      <c r="E117" s="4" t="s">
        <v>233</v>
      </c>
      <c r="F117" s="14">
        <v>693113</v>
      </c>
      <c r="G117" s="18">
        <f t="shared" si="1"/>
        <v>0</v>
      </c>
    </row>
    <row r="118" spans="1:7" s="5" customFormat="1" x14ac:dyDescent="0.25">
      <c r="A118" s="8"/>
      <c r="B118" s="23" t="s">
        <v>15</v>
      </c>
      <c r="C118" s="13">
        <f>SUM(C114:C117)</f>
        <v>7708113</v>
      </c>
      <c r="D118" s="15"/>
      <c r="E118" s="23" t="s">
        <v>15</v>
      </c>
      <c r="F118" s="13">
        <f>SUM(F114:F117)</f>
        <v>7708113</v>
      </c>
      <c r="G118" s="18">
        <f t="shared" si="1"/>
        <v>0</v>
      </c>
    </row>
    <row r="119" spans="1:7" s="5" customFormat="1" ht="38.25" customHeight="1" x14ac:dyDescent="0.25">
      <c r="A119" s="38" t="s">
        <v>111</v>
      </c>
      <c r="B119" s="39"/>
      <c r="C119" s="39"/>
      <c r="D119" s="39" t="s">
        <v>111</v>
      </c>
      <c r="E119" s="39"/>
      <c r="F119" s="39"/>
      <c r="G119" s="18"/>
    </row>
    <row r="120" spans="1:7" s="5" customFormat="1" ht="47.25" x14ac:dyDescent="0.25">
      <c r="A120" s="29" t="s">
        <v>53</v>
      </c>
      <c r="B120" s="4" t="s">
        <v>180</v>
      </c>
      <c r="C120" s="12">
        <v>3000000</v>
      </c>
      <c r="D120" s="26" t="s">
        <v>53</v>
      </c>
      <c r="E120" s="4" t="s">
        <v>180</v>
      </c>
      <c r="F120" s="12">
        <v>3000000</v>
      </c>
      <c r="G120" s="18">
        <f t="shared" si="1"/>
        <v>0</v>
      </c>
    </row>
    <row r="121" spans="1:7" s="5" customFormat="1" x14ac:dyDescent="0.25">
      <c r="A121" s="8"/>
      <c r="B121" s="23" t="s">
        <v>15</v>
      </c>
      <c r="C121" s="13">
        <f>SUM(C120)</f>
        <v>3000000</v>
      </c>
      <c r="D121" s="15"/>
      <c r="E121" s="23" t="s">
        <v>15</v>
      </c>
      <c r="F121" s="13">
        <f>SUM(F120)</f>
        <v>3000000</v>
      </c>
      <c r="G121" s="18">
        <f t="shared" si="1"/>
        <v>0</v>
      </c>
    </row>
    <row r="122" spans="1:7" s="5" customFormat="1" x14ac:dyDescent="0.25">
      <c r="A122" s="38" t="s">
        <v>101</v>
      </c>
      <c r="B122" s="39"/>
      <c r="C122" s="39"/>
      <c r="D122" s="39" t="s">
        <v>101</v>
      </c>
      <c r="E122" s="39"/>
      <c r="F122" s="39"/>
      <c r="G122" s="18"/>
    </row>
    <row r="123" spans="1:7" s="5" customFormat="1" ht="31.5" x14ac:dyDescent="0.25">
      <c r="A123" s="29" t="s">
        <v>53</v>
      </c>
      <c r="B123" s="4" t="s">
        <v>181</v>
      </c>
      <c r="C123" s="12">
        <v>1788500</v>
      </c>
      <c r="D123" s="26" t="s">
        <v>53</v>
      </c>
      <c r="E123" s="4" t="s">
        <v>181</v>
      </c>
      <c r="F123" s="12">
        <v>1788500</v>
      </c>
      <c r="G123" s="18">
        <f t="shared" si="1"/>
        <v>0</v>
      </c>
    </row>
    <row r="124" spans="1:7" s="5" customFormat="1" x14ac:dyDescent="0.25">
      <c r="A124" s="8"/>
      <c r="B124" s="23" t="s">
        <v>15</v>
      </c>
      <c r="C124" s="13">
        <f>SUM(C123)</f>
        <v>1788500</v>
      </c>
      <c r="D124" s="15"/>
      <c r="E124" s="23" t="s">
        <v>15</v>
      </c>
      <c r="F124" s="13">
        <f>SUM(F123)</f>
        <v>1788500</v>
      </c>
      <c r="G124" s="18">
        <f t="shared" si="1"/>
        <v>0</v>
      </c>
    </row>
    <row r="125" spans="1:7" s="5" customFormat="1" x14ac:dyDescent="0.25">
      <c r="A125" s="29"/>
      <c r="B125" s="23" t="s">
        <v>2</v>
      </c>
      <c r="C125" s="13">
        <f>C121+C118+C112+C109+C106+C124</f>
        <v>19523704</v>
      </c>
      <c r="D125" s="26"/>
      <c r="E125" s="23" t="s">
        <v>2</v>
      </c>
      <c r="F125" s="13">
        <f>F121+F118+F112+F109+F106+F124</f>
        <v>26008245</v>
      </c>
      <c r="G125" s="18">
        <f t="shared" si="1"/>
        <v>6484541</v>
      </c>
    </row>
    <row r="126" spans="1:7" s="5" customFormat="1" ht="21" customHeight="1" x14ac:dyDescent="0.25">
      <c r="A126" s="40" t="s">
        <v>30</v>
      </c>
      <c r="B126" s="41"/>
      <c r="C126" s="41"/>
      <c r="D126" s="41" t="s">
        <v>30</v>
      </c>
      <c r="E126" s="41"/>
      <c r="F126" s="41"/>
      <c r="G126" s="18"/>
    </row>
    <row r="127" spans="1:7" s="5" customFormat="1" ht="21.75" customHeight="1" x14ac:dyDescent="0.25">
      <c r="A127" s="38" t="s">
        <v>17</v>
      </c>
      <c r="B127" s="39"/>
      <c r="C127" s="39"/>
      <c r="D127" s="39" t="s">
        <v>17</v>
      </c>
      <c r="E127" s="39"/>
      <c r="F127" s="39"/>
      <c r="G127" s="18"/>
    </row>
    <row r="128" spans="1:7" s="5" customFormat="1" ht="31.5" x14ac:dyDescent="0.25">
      <c r="A128" s="29" t="s">
        <v>53</v>
      </c>
      <c r="B128" s="6" t="s">
        <v>106</v>
      </c>
      <c r="C128" s="14">
        <f>300000+125497</f>
        <v>425497</v>
      </c>
      <c r="D128" s="26" t="s">
        <v>53</v>
      </c>
      <c r="E128" s="6" t="s">
        <v>106</v>
      </c>
      <c r="F128" s="14">
        <f>300000+125497</f>
        <v>425497</v>
      </c>
      <c r="G128" s="18">
        <f t="shared" si="1"/>
        <v>0</v>
      </c>
    </row>
    <row r="129" spans="1:7" s="5" customFormat="1" ht="47.25" x14ac:dyDescent="0.25">
      <c r="A129" s="29"/>
      <c r="B129" s="6"/>
      <c r="C129" s="12"/>
      <c r="D129" s="26" t="s">
        <v>56</v>
      </c>
      <c r="E129" s="6" t="s">
        <v>223</v>
      </c>
      <c r="F129" s="12">
        <v>1000000</v>
      </c>
      <c r="G129" s="18">
        <f>F129-C129</f>
        <v>1000000</v>
      </c>
    </row>
    <row r="130" spans="1:7" s="5" customFormat="1" x14ac:dyDescent="0.25">
      <c r="A130" s="29"/>
      <c r="B130" s="23" t="s">
        <v>15</v>
      </c>
      <c r="C130" s="16">
        <f>SUM(C128)</f>
        <v>425497</v>
      </c>
      <c r="D130" s="26"/>
      <c r="E130" s="23" t="s">
        <v>15</v>
      </c>
      <c r="F130" s="16">
        <f>SUM(F128:F129)</f>
        <v>1425497</v>
      </c>
      <c r="G130" s="18">
        <f t="shared" si="1"/>
        <v>1000000</v>
      </c>
    </row>
    <row r="131" spans="1:7" s="5" customFormat="1" x14ac:dyDescent="0.25">
      <c r="A131" s="38" t="s">
        <v>22</v>
      </c>
      <c r="B131" s="39"/>
      <c r="C131" s="39"/>
      <c r="D131" s="39" t="s">
        <v>22</v>
      </c>
      <c r="E131" s="39"/>
      <c r="F131" s="39"/>
      <c r="G131" s="18"/>
    </row>
    <row r="132" spans="1:7" s="5" customFormat="1" ht="31.5" x14ac:dyDescent="0.25">
      <c r="A132" s="29" t="s">
        <v>53</v>
      </c>
      <c r="B132" s="6" t="s">
        <v>121</v>
      </c>
      <c r="C132" s="14">
        <v>1500000</v>
      </c>
      <c r="D132" s="26" t="s">
        <v>53</v>
      </c>
      <c r="E132" s="6" t="s">
        <v>121</v>
      </c>
      <c r="F132" s="14">
        <v>1500000</v>
      </c>
      <c r="G132" s="18">
        <f t="shared" si="1"/>
        <v>0</v>
      </c>
    </row>
    <row r="133" spans="1:7" s="5" customFormat="1" x14ac:dyDescent="0.25">
      <c r="A133" s="29"/>
      <c r="B133" s="23" t="s">
        <v>15</v>
      </c>
      <c r="C133" s="16">
        <f>SUM(C132)</f>
        <v>1500000</v>
      </c>
      <c r="D133" s="26"/>
      <c r="E133" s="23" t="s">
        <v>15</v>
      </c>
      <c r="F133" s="16">
        <f>SUM(F132)</f>
        <v>1500000</v>
      </c>
      <c r="G133" s="18">
        <f t="shared" si="1"/>
        <v>0</v>
      </c>
    </row>
    <row r="134" spans="1:7" s="5" customFormat="1" x14ac:dyDescent="0.25">
      <c r="A134" s="29"/>
      <c r="B134" s="23"/>
      <c r="C134" s="16"/>
      <c r="D134" s="39" t="s">
        <v>48</v>
      </c>
      <c r="E134" s="39"/>
      <c r="F134" s="39"/>
      <c r="G134" s="18"/>
    </row>
    <row r="135" spans="1:7" s="5" customFormat="1" ht="31.5" x14ac:dyDescent="0.25">
      <c r="A135" s="29"/>
      <c r="B135" s="23"/>
      <c r="C135" s="16"/>
      <c r="D135" s="26" t="s">
        <v>53</v>
      </c>
      <c r="E135" s="6" t="s">
        <v>227</v>
      </c>
      <c r="F135" s="14">
        <v>215500</v>
      </c>
      <c r="G135" s="18">
        <f t="shared" ref="G135:G136" si="2">F135-C135</f>
        <v>215500</v>
      </c>
    </row>
    <row r="136" spans="1:7" s="5" customFormat="1" x14ac:dyDescent="0.25">
      <c r="A136" s="29"/>
      <c r="B136" s="23"/>
      <c r="C136" s="16"/>
      <c r="D136" s="26"/>
      <c r="E136" s="23" t="s">
        <v>15</v>
      </c>
      <c r="F136" s="16">
        <f>SUM(F135)</f>
        <v>215500</v>
      </c>
      <c r="G136" s="18">
        <f t="shared" si="2"/>
        <v>215500</v>
      </c>
    </row>
    <row r="137" spans="1:7" s="5" customFormat="1" x14ac:dyDescent="0.25">
      <c r="A137" s="29"/>
      <c r="B137" s="23" t="s">
        <v>86</v>
      </c>
      <c r="C137" s="13">
        <f>C130+C133</f>
        <v>1925497</v>
      </c>
      <c r="D137" s="26"/>
      <c r="E137" s="23" t="s">
        <v>86</v>
      </c>
      <c r="F137" s="13">
        <f>F130+F133+F136</f>
        <v>3140997</v>
      </c>
      <c r="G137" s="18">
        <f t="shared" si="1"/>
        <v>1215500</v>
      </c>
    </row>
    <row r="138" spans="1:7" s="5" customFormat="1" ht="21.75" customHeight="1" x14ac:dyDescent="0.25">
      <c r="A138" s="40" t="s">
        <v>88</v>
      </c>
      <c r="B138" s="41"/>
      <c r="C138" s="41"/>
      <c r="D138" s="41" t="s">
        <v>88</v>
      </c>
      <c r="E138" s="41"/>
      <c r="F138" s="41"/>
      <c r="G138" s="18"/>
    </row>
    <row r="139" spans="1:7" s="5" customFormat="1" ht="30" customHeight="1" x14ac:dyDescent="0.25">
      <c r="A139" s="38" t="s">
        <v>24</v>
      </c>
      <c r="B139" s="39"/>
      <c r="C139" s="39"/>
      <c r="D139" s="39" t="s">
        <v>24</v>
      </c>
      <c r="E139" s="39"/>
      <c r="F139" s="39"/>
      <c r="G139" s="18"/>
    </row>
    <row r="140" spans="1:7" s="5" customFormat="1" ht="47.25" x14ac:dyDescent="0.25">
      <c r="A140" s="29" t="s">
        <v>53</v>
      </c>
      <c r="B140" s="4" t="s">
        <v>182</v>
      </c>
      <c r="C140" s="12">
        <v>136661</v>
      </c>
      <c r="D140" s="26" t="s">
        <v>53</v>
      </c>
      <c r="E140" s="4" t="s">
        <v>182</v>
      </c>
      <c r="F140" s="12">
        <v>136661</v>
      </c>
      <c r="G140" s="18">
        <f t="shared" si="1"/>
        <v>0</v>
      </c>
    </row>
    <row r="141" spans="1:7" s="5" customFormat="1" x14ac:dyDescent="0.25">
      <c r="A141" s="29"/>
      <c r="B141" s="23" t="s">
        <v>15</v>
      </c>
      <c r="C141" s="13">
        <f>SUM(C140)</f>
        <v>136661</v>
      </c>
      <c r="D141" s="26"/>
      <c r="E141" s="23" t="s">
        <v>15</v>
      </c>
      <c r="F141" s="13">
        <f>SUM(F140)</f>
        <v>136661</v>
      </c>
      <c r="G141" s="18">
        <f t="shared" si="1"/>
        <v>0</v>
      </c>
    </row>
    <row r="142" spans="1:7" s="5" customFormat="1" x14ac:dyDescent="0.25">
      <c r="A142" s="29"/>
      <c r="B142" s="23" t="s">
        <v>87</v>
      </c>
      <c r="C142" s="13">
        <f>SUM(C141)</f>
        <v>136661</v>
      </c>
      <c r="D142" s="26"/>
      <c r="E142" s="23" t="s">
        <v>87</v>
      </c>
      <c r="F142" s="13">
        <f>SUM(F141)</f>
        <v>136661</v>
      </c>
      <c r="G142" s="18">
        <f t="shared" si="1"/>
        <v>0</v>
      </c>
    </row>
    <row r="143" spans="1:7" s="5" customFormat="1" x14ac:dyDescent="0.25">
      <c r="A143" s="29"/>
      <c r="B143" s="23" t="s">
        <v>5</v>
      </c>
      <c r="C143" s="13">
        <f>C142+C137+C125+C102+C31</f>
        <v>78227474</v>
      </c>
      <c r="D143" s="26"/>
      <c r="E143" s="23" t="s">
        <v>5</v>
      </c>
      <c r="F143" s="13">
        <f>F142+F137+F125+F102+F31</f>
        <v>98044979</v>
      </c>
      <c r="G143" s="21">
        <f t="shared" ref="G143:G206" si="3">F143-C143</f>
        <v>19817505</v>
      </c>
    </row>
    <row r="144" spans="1:7" s="5" customFormat="1" x14ac:dyDescent="0.25">
      <c r="A144" s="47"/>
      <c r="B144" s="48"/>
      <c r="C144" s="48"/>
      <c r="D144" s="48"/>
      <c r="E144" s="48"/>
      <c r="F144" s="48"/>
      <c r="G144" s="18"/>
    </row>
    <row r="145" spans="1:7" s="5" customFormat="1" x14ac:dyDescent="0.25">
      <c r="A145" s="38" t="s">
        <v>31</v>
      </c>
      <c r="B145" s="39"/>
      <c r="C145" s="39"/>
      <c r="D145" s="39" t="s">
        <v>31</v>
      </c>
      <c r="E145" s="39"/>
      <c r="F145" s="39"/>
      <c r="G145" s="18"/>
    </row>
    <row r="146" spans="1:7" s="5" customFormat="1" x14ac:dyDescent="0.25">
      <c r="A146" s="40" t="s">
        <v>89</v>
      </c>
      <c r="B146" s="41"/>
      <c r="C146" s="41"/>
      <c r="D146" s="41" t="s">
        <v>89</v>
      </c>
      <c r="E146" s="41"/>
      <c r="F146" s="41"/>
      <c r="G146" s="18"/>
    </row>
    <row r="147" spans="1:7" s="5" customFormat="1" x14ac:dyDescent="0.25">
      <c r="A147" s="38" t="s">
        <v>20</v>
      </c>
      <c r="B147" s="39"/>
      <c r="C147" s="39"/>
      <c r="D147" s="39" t="s">
        <v>20</v>
      </c>
      <c r="E147" s="39"/>
      <c r="F147" s="39"/>
      <c r="G147" s="18"/>
    </row>
    <row r="148" spans="1:7" s="5" customFormat="1" ht="47.25" x14ac:dyDescent="0.25">
      <c r="A148" s="29" t="s">
        <v>53</v>
      </c>
      <c r="B148" s="6" t="s">
        <v>41</v>
      </c>
      <c r="C148" s="12">
        <v>1951663</v>
      </c>
      <c r="D148" s="26" t="s">
        <v>53</v>
      </c>
      <c r="E148" s="6" t="s">
        <v>41</v>
      </c>
      <c r="F148" s="12">
        <v>1951663</v>
      </c>
      <c r="G148" s="18">
        <f t="shared" si="3"/>
        <v>0</v>
      </c>
    </row>
    <row r="149" spans="1:7" s="5" customFormat="1" ht="47.25" x14ac:dyDescent="0.25">
      <c r="A149" s="29" t="s">
        <v>56</v>
      </c>
      <c r="B149" s="4" t="s">
        <v>62</v>
      </c>
      <c r="C149" s="12">
        <f>2040000-1937262</f>
        <v>102738</v>
      </c>
      <c r="D149" s="26" t="s">
        <v>56</v>
      </c>
      <c r="E149" s="4" t="s">
        <v>62</v>
      </c>
      <c r="F149" s="12">
        <f>2040000-1937262</f>
        <v>102738</v>
      </c>
      <c r="G149" s="18">
        <f t="shared" si="3"/>
        <v>0</v>
      </c>
    </row>
    <row r="150" spans="1:7" s="5" customFormat="1" ht="47.25" x14ac:dyDescent="0.25">
      <c r="A150" s="29" t="s">
        <v>58</v>
      </c>
      <c r="B150" s="4" t="s">
        <v>49</v>
      </c>
      <c r="C150" s="12">
        <f>4000000-3857930</f>
        <v>142070</v>
      </c>
      <c r="D150" s="26" t="s">
        <v>58</v>
      </c>
      <c r="E150" s="4" t="s">
        <v>49</v>
      </c>
      <c r="F150" s="12">
        <f>4000000-3857930</f>
        <v>142070</v>
      </c>
      <c r="G150" s="18">
        <f t="shared" si="3"/>
        <v>0</v>
      </c>
    </row>
    <row r="151" spans="1:7" s="5" customFormat="1" ht="63" x14ac:dyDescent="0.25">
      <c r="A151" s="29" t="s">
        <v>54</v>
      </c>
      <c r="B151" s="4" t="s">
        <v>214</v>
      </c>
      <c r="C151" s="12">
        <f>1650000-1633651</f>
        <v>16349</v>
      </c>
      <c r="D151" s="26" t="s">
        <v>54</v>
      </c>
      <c r="E151" s="4" t="s">
        <v>214</v>
      </c>
      <c r="F151" s="12">
        <f>1650000-1633651</f>
        <v>16349</v>
      </c>
      <c r="G151" s="18">
        <f t="shared" si="3"/>
        <v>0</v>
      </c>
    </row>
    <row r="152" spans="1:7" s="5" customFormat="1" ht="47.25" x14ac:dyDescent="0.25">
      <c r="A152" s="29" t="s">
        <v>57</v>
      </c>
      <c r="B152" s="4" t="s">
        <v>146</v>
      </c>
      <c r="C152" s="12">
        <f>2000999-1879127</f>
        <v>121872</v>
      </c>
      <c r="D152" s="26"/>
      <c r="E152" s="4" t="s">
        <v>146</v>
      </c>
      <c r="F152" s="12">
        <f>2000999-1879127</f>
        <v>121872</v>
      </c>
      <c r="G152" s="18">
        <f t="shared" si="3"/>
        <v>0</v>
      </c>
    </row>
    <row r="153" spans="1:7" s="5" customFormat="1" x14ac:dyDescent="0.25">
      <c r="A153" s="29"/>
      <c r="B153" s="23" t="s">
        <v>15</v>
      </c>
      <c r="C153" s="13">
        <f>SUM(C148:C152)</f>
        <v>2334692</v>
      </c>
      <c r="D153" s="26"/>
      <c r="E153" s="23" t="s">
        <v>15</v>
      </c>
      <c r="F153" s="13">
        <f>SUM(F148:F152)</f>
        <v>2334692</v>
      </c>
      <c r="G153" s="21">
        <f t="shared" si="3"/>
        <v>0</v>
      </c>
    </row>
    <row r="154" spans="1:7" s="5" customFormat="1" ht="27.75" customHeight="1" x14ac:dyDescent="0.25">
      <c r="A154" s="38" t="s">
        <v>6</v>
      </c>
      <c r="B154" s="39"/>
      <c r="C154" s="39"/>
      <c r="D154" s="39" t="s">
        <v>6</v>
      </c>
      <c r="E154" s="39"/>
      <c r="F154" s="39"/>
      <c r="G154" s="18"/>
    </row>
    <row r="155" spans="1:7" s="5" customFormat="1" ht="47.25" x14ac:dyDescent="0.25">
      <c r="A155" s="29" t="s">
        <v>53</v>
      </c>
      <c r="B155" s="4" t="s">
        <v>147</v>
      </c>
      <c r="C155" s="12">
        <f>308473-35173</f>
        <v>273300</v>
      </c>
      <c r="D155" s="26" t="s">
        <v>53</v>
      </c>
      <c r="E155" s="4" t="s">
        <v>147</v>
      </c>
      <c r="F155" s="12">
        <f>308473-35173</f>
        <v>273300</v>
      </c>
      <c r="G155" s="18">
        <f t="shared" si="3"/>
        <v>0</v>
      </c>
    </row>
    <row r="156" spans="1:7" s="5" customFormat="1" ht="31.5" x14ac:dyDescent="0.25">
      <c r="A156" s="29" t="s">
        <v>56</v>
      </c>
      <c r="B156" s="4" t="s">
        <v>213</v>
      </c>
      <c r="C156" s="12">
        <f>2956422-51816</f>
        <v>2904606</v>
      </c>
      <c r="D156" s="26" t="s">
        <v>56</v>
      </c>
      <c r="E156" s="4" t="s">
        <v>213</v>
      </c>
      <c r="F156" s="12">
        <f>2956422-51816-301443</f>
        <v>2603163</v>
      </c>
      <c r="G156" s="18">
        <f t="shared" si="3"/>
        <v>-301443</v>
      </c>
    </row>
    <row r="157" spans="1:7" s="5" customFormat="1" x14ac:dyDescent="0.25">
      <c r="A157" s="29"/>
      <c r="B157" s="23" t="s">
        <v>15</v>
      </c>
      <c r="C157" s="13">
        <f>SUM(C155:C156)</f>
        <v>3177906</v>
      </c>
      <c r="D157" s="26"/>
      <c r="E157" s="23" t="s">
        <v>15</v>
      </c>
      <c r="F157" s="13">
        <f>SUM(F155:F156)</f>
        <v>2876463</v>
      </c>
      <c r="G157" s="21">
        <f t="shared" si="3"/>
        <v>-301443</v>
      </c>
    </row>
    <row r="158" spans="1:7" s="5" customFormat="1" x14ac:dyDescent="0.25">
      <c r="A158" s="38" t="s">
        <v>33</v>
      </c>
      <c r="B158" s="39"/>
      <c r="C158" s="39"/>
      <c r="D158" s="39" t="s">
        <v>33</v>
      </c>
      <c r="E158" s="39"/>
      <c r="F158" s="39"/>
      <c r="G158" s="18"/>
    </row>
    <row r="159" spans="1:7" s="5" customFormat="1" ht="47.25" x14ac:dyDescent="0.25">
      <c r="A159" s="29" t="s">
        <v>53</v>
      </c>
      <c r="B159" s="4" t="s">
        <v>148</v>
      </c>
      <c r="C159" s="12">
        <f>2116018+598803</f>
        <v>2714821</v>
      </c>
      <c r="D159" s="26" t="s">
        <v>53</v>
      </c>
      <c r="E159" s="4" t="s">
        <v>148</v>
      </c>
      <c r="F159" s="12">
        <f>2116018+598803</f>
        <v>2714821</v>
      </c>
      <c r="G159" s="18">
        <f t="shared" si="3"/>
        <v>0</v>
      </c>
    </row>
    <row r="160" spans="1:7" s="5" customFormat="1" ht="47.25" x14ac:dyDescent="0.25">
      <c r="A160" s="29" t="s">
        <v>56</v>
      </c>
      <c r="B160" s="4" t="s">
        <v>149</v>
      </c>
      <c r="C160" s="12">
        <v>471015</v>
      </c>
      <c r="D160" s="26" t="s">
        <v>56</v>
      </c>
      <c r="E160" s="4" t="s">
        <v>149</v>
      </c>
      <c r="F160" s="12">
        <v>471015</v>
      </c>
      <c r="G160" s="18">
        <f t="shared" si="3"/>
        <v>0</v>
      </c>
    </row>
    <row r="161" spans="1:7" s="5" customFormat="1" ht="47.25" x14ac:dyDescent="0.25">
      <c r="A161" s="29" t="s">
        <v>58</v>
      </c>
      <c r="B161" s="4" t="s">
        <v>150</v>
      </c>
      <c r="C161" s="12">
        <v>707576</v>
      </c>
      <c r="D161" s="26" t="s">
        <v>58</v>
      </c>
      <c r="E161" s="4" t="s">
        <v>150</v>
      </c>
      <c r="F161" s="12">
        <v>707576</v>
      </c>
      <c r="G161" s="18">
        <f t="shared" si="3"/>
        <v>0</v>
      </c>
    </row>
    <row r="162" spans="1:7" s="5" customFormat="1" ht="63" x14ac:dyDescent="0.25">
      <c r="A162" s="29" t="s">
        <v>54</v>
      </c>
      <c r="B162" s="4" t="s">
        <v>151</v>
      </c>
      <c r="C162" s="12">
        <v>450000</v>
      </c>
      <c r="D162" s="26" t="s">
        <v>54</v>
      </c>
      <c r="E162" s="4" t="s">
        <v>151</v>
      </c>
      <c r="F162" s="12">
        <v>450000</v>
      </c>
      <c r="G162" s="18">
        <f t="shared" si="3"/>
        <v>0</v>
      </c>
    </row>
    <row r="163" spans="1:7" s="5" customFormat="1" ht="47.25" x14ac:dyDescent="0.25">
      <c r="A163" s="29" t="s">
        <v>57</v>
      </c>
      <c r="B163" s="4" t="s">
        <v>183</v>
      </c>
      <c r="C163" s="12">
        <v>779755</v>
      </c>
      <c r="D163" s="26" t="s">
        <v>57</v>
      </c>
      <c r="E163" s="4" t="s">
        <v>183</v>
      </c>
      <c r="F163" s="12">
        <v>779755</v>
      </c>
      <c r="G163" s="18">
        <f t="shared" si="3"/>
        <v>0</v>
      </c>
    </row>
    <row r="164" spans="1:7" s="5" customFormat="1" x14ac:dyDescent="0.25">
      <c r="A164" s="29"/>
      <c r="B164" s="23" t="s">
        <v>15</v>
      </c>
      <c r="C164" s="13">
        <f>SUM(C159:C163)</f>
        <v>5123167</v>
      </c>
      <c r="D164" s="26"/>
      <c r="E164" s="23" t="s">
        <v>15</v>
      </c>
      <c r="F164" s="13">
        <f>SUM(F159:F163)</f>
        <v>5123167</v>
      </c>
      <c r="G164" s="18">
        <f t="shared" si="3"/>
        <v>0</v>
      </c>
    </row>
    <row r="165" spans="1:7" s="5" customFormat="1" x14ac:dyDescent="0.25">
      <c r="A165" s="38" t="s">
        <v>7</v>
      </c>
      <c r="B165" s="39"/>
      <c r="C165" s="39"/>
      <c r="D165" s="39" t="s">
        <v>7</v>
      </c>
      <c r="E165" s="39"/>
      <c r="F165" s="39"/>
      <c r="G165" s="18"/>
    </row>
    <row r="166" spans="1:7" s="5" customFormat="1" ht="31.5" x14ac:dyDescent="0.25">
      <c r="A166" s="29" t="s">
        <v>53</v>
      </c>
      <c r="B166" s="4" t="s">
        <v>184</v>
      </c>
      <c r="C166" s="12">
        <f>2000000-4336</f>
        <v>1995664</v>
      </c>
      <c r="D166" s="26" t="s">
        <v>53</v>
      </c>
      <c r="E166" s="4" t="s">
        <v>184</v>
      </c>
      <c r="F166" s="12">
        <f>2000000-4336+662118</f>
        <v>2657782</v>
      </c>
      <c r="G166" s="18">
        <f t="shared" si="3"/>
        <v>662118</v>
      </c>
    </row>
    <row r="167" spans="1:7" s="5" customFormat="1" ht="47.25" x14ac:dyDescent="0.25">
      <c r="A167" s="29" t="s">
        <v>56</v>
      </c>
      <c r="B167" s="4" t="s">
        <v>185</v>
      </c>
      <c r="C167" s="12">
        <f>3000000+3807159</f>
        <v>6807159</v>
      </c>
      <c r="D167" s="26" t="s">
        <v>56</v>
      </c>
      <c r="E167" s="4" t="s">
        <v>185</v>
      </c>
      <c r="F167" s="12">
        <f>3000000+3807159-53626</f>
        <v>6753533</v>
      </c>
      <c r="G167" s="18">
        <f t="shared" si="3"/>
        <v>-53626</v>
      </c>
    </row>
    <row r="168" spans="1:7" s="5" customFormat="1" ht="47.25" x14ac:dyDescent="0.25">
      <c r="A168" s="29" t="s">
        <v>58</v>
      </c>
      <c r="B168" s="4" t="s">
        <v>186</v>
      </c>
      <c r="C168" s="12">
        <f>3500000+1004255</f>
        <v>4504255</v>
      </c>
      <c r="D168" s="26" t="s">
        <v>58</v>
      </c>
      <c r="E168" s="4" t="s">
        <v>186</v>
      </c>
      <c r="F168" s="12">
        <f>3500000+1004255-74651</f>
        <v>4429604</v>
      </c>
      <c r="G168" s="18">
        <f t="shared" si="3"/>
        <v>-74651</v>
      </c>
    </row>
    <row r="169" spans="1:7" s="5" customFormat="1" ht="31.5" x14ac:dyDescent="0.25">
      <c r="A169" s="29" t="s">
        <v>54</v>
      </c>
      <c r="B169" s="4" t="s">
        <v>187</v>
      </c>
      <c r="C169" s="12">
        <f>3000000+639004</f>
        <v>3639004</v>
      </c>
      <c r="D169" s="26" t="s">
        <v>54</v>
      </c>
      <c r="E169" s="4" t="s">
        <v>187</v>
      </c>
      <c r="F169" s="12">
        <f>3000000+639004-75282</f>
        <v>3563722</v>
      </c>
      <c r="G169" s="18">
        <f t="shared" si="3"/>
        <v>-75282</v>
      </c>
    </row>
    <row r="170" spans="1:7" s="5" customFormat="1" x14ac:dyDescent="0.25">
      <c r="A170" s="29"/>
      <c r="B170" s="23" t="s">
        <v>15</v>
      </c>
      <c r="C170" s="13">
        <f>SUM(C166:C169)</f>
        <v>16946082</v>
      </c>
      <c r="D170" s="26"/>
      <c r="E170" s="23" t="s">
        <v>15</v>
      </c>
      <c r="F170" s="13">
        <f>SUM(F166:F169)</f>
        <v>17404641</v>
      </c>
      <c r="G170" s="18">
        <f t="shared" si="3"/>
        <v>458559</v>
      </c>
    </row>
    <row r="171" spans="1:7" s="5" customFormat="1" x14ac:dyDescent="0.25">
      <c r="A171" s="38" t="s">
        <v>37</v>
      </c>
      <c r="B171" s="39"/>
      <c r="C171" s="39"/>
      <c r="D171" s="39" t="s">
        <v>37</v>
      </c>
      <c r="E171" s="39"/>
      <c r="F171" s="39"/>
      <c r="G171" s="18"/>
    </row>
    <row r="172" spans="1:7" s="5" customFormat="1" ht="31.5" x14ac:dyDescent="0.25">
      <c r="A172" s="29">
        <v>1</v>
      </c>
      <c r="B172" s="4" t="s">
        <v>152</v>
      </c>
      <c r="C172" s="14">
        <v>3000000</v>
      </c>
      <c r="D172" s="26">
        <v>1</v>
      </c>
      <c r="E172" s="4" t="s">
        <v>152</v>
      </c>
      <c r="F172" s="14">
        <v>3000000</v>
      </c>
      <c r="G172" s="18">
        <f t="shared" si="3"/>
        <v>0</v>
      </c>
    </row>
    <row r="173" spans="1:7" s="5" customFormat="1" x14ac:dyDescent="0.25">
      <c r="A173" s="29"/>
      <c r="B173" s="23" t="s">
        <v>15</v>
      </c>
      <c r="C173" s="13">
        <f>SUM(C172)</f>
        <v>3000000</v>
      </c>
      <c r="D173" s="26"/>
      <c r="E173" s="23" t="s">
        <v>15</v>
      </c>
      <c r="F173" s="13">
        <f>SUM(F172)</f>
        <v>3000000</v>
      </c>
      <c r="G173" s="18">
        <f t="shared" si="3"/>
        <v>0</v>
      </c>
    </row>
    <row r="174" spans="1:7" s="5" customFormat="1" x14ac:dyDescent="0.25">
      <c r="A174" s="38" t="s">
        <v>16</v>
      </c>
      <c r="B174" s="39"/>
      <c r="C174" s="39"/>
      <c r="D174" s="39" t="s">
        <v>16</v>
      </c>
      <c r="E174" s="39"/>
      <c r="F174" s="39"/>
      <c r="G174" s="18"/>
    </row>
    <row r="175" spans="1:7" s="5" customFormat="1" ht="31.5" x14ac:dyDescent="0.25">
      <c r="A175" s="29" t="s">
        <v>53</v>
      </c>
      <c r="B175" s="4" t="s">
        <v>73</v>
      </c>
      <c r="C175" s="12">
        <f>10000000-5900000</f>
        <v>4100000</v>
      </c>
      <c r="D175" s="26" t="s">
        <v>53</v>
      </c>
      <c r="E175" s="4" t="s">
        <v>73</v>
      </c>
      <c r="F175" s="12">
        <f>10000000-5900000+2000000</f>
        <v>6100000</v>
      </c>
      <c r="G175" s="18">
        <f t="shared" si="3"/>
        <v>2000000</v>
      </c>
    </row>
    <row r="176" spans="1:7" s="5" customFormat="1" ht="31.5" x14ac:dyDescent="0.25">
      <c r="A176" s="29" t="s">
        <v>56</v>
      </c>
      <c r="B176" s="4" t="s">
        <v>188</v>
      </c>
      <c r="C176" s="12">
        <f>1230833-31256</f>
        <v>1199577</v>
      </c>
      <c r="D176" s="26" t="s">
        <v>56</v>
      </c>
      <c r="E176" s="4" t="s">
        <v>188</v>
      </c>
      <c r="F176" s="12">
        <f>1230833-31256</f>
        <v>1199577</v>
      </c>
      <c r="G176" s="18">
        <f t="shared" si="3"/>
        <v>0</v>
      </c>
    </row>
    <row r="177" spans="1:7" s="5" customFormat="1" ht="39" customHeight="1" x14ac:dyDescent="0.25">
      <c r="A177" s="29" t="s">
        <v>58</v>
      </c>
      <c r="B177" s="4" t="s">
        <v>189</v>
      </c>
      <c r="C177" s="12">
        <f>1490000+1642000</f>
        <v>3132000</v>
      </c>
      <c r="D177" s="26" t="s">
        <v>58</v>
      </c>
      <c r="E177" s="4" t="s">
        <v>189</v>
      </c>
      <c r="F177" s="12">
        <f>1490000+1642000</f>
        <v>3132000</v>
      </c>
      <c r="G177" s="18">
        <f t="shared" si="3"/>
        <v>0</v>
      </c>
    </row>
    <row r="178" spans="1:7" s="5" customFormat="1" ht="31.5" x14ac:dyDescent="0.25">
      <c r="A178" s="29" t="s">
        <v>54</v>
      </c>
      <c r="B178" s="4" t="s">
        <v>153</v>
      </c>
      <c r="C178" s="12">
        <f>462662+1700000</f>
        <v>2162662</v>
      </c>
      <c r="D178" s="26" t="s">
        <v>54</v>
      </c>
      <c r="E178" s="4" t="s">
        <v>153</v>
      </c>
      <c r="F178" s="12">
        <f>462662+1700000</f>
        <v>2162662</v>
      </c>
      <c r="G178" s="18">
        <f t="shared" si="3"/>
        <v>0</v>
      </c>
    </row>
    <row r="179" spans="1:7" s="5" customFormat="1" ht="31.5" x14ac:dyDescent="0.25">
      <c r="A179" s="29" t="s">
        <v>57</v>
      </c>
      <c r="B179" s="4" t="s">
        <v>208</v>
      </c>
      <c r="C179" s="12">
        <v>3534883</v>
      </c>
      <c r="D179" s="26" t="s">
        <v>57</v>
      </c>
      <c r="E179" s="4" t="s">
        <v>208</v>
      </c>
      <c r="F179" s="12">
        <v>3534883</v>
      </c>
      <c r="G179" s="18">
        <f t="shared" si="3"/>
        <v>0</v>
      </c>
    </row>
    <row r="180" spans="1:7" s="5" customFormat="1" ht="31.5" x14ac:dyDescent="0.25">
      <c r="A180" s="29" t="s">
        <v>59</v>
      </c>
      <c r="B180" s="4" t="s">
        <v>209</v>
      </c>
      <c r="C180" s="12">
        <f>3442139+300000</f>
        <v>3742139</v>
      </c>
      <c r="D180" s="26" t="s">
        <v>59</v>
      </c>
      <c r="E180" s="4" t="s">
        <v>209</v>
      </c>
      <c r="F180" s="12">
        <f>3442139+300000</f>
        <v>3742139</v>
      </c>
      <c r="G180" s="18">
        <f t="shared" si="3"/>
        <v>0</v>
      </c>
    </row>
    <row r="181" spans="1:7" s="5" customFormat="1" x14ac:dyDescent="0.25">
      <c r="A181" s="29"/>
      <c r="B181" s="23" t="s">
        <v>15</v>
      </c>
      <c r="C181" s="13">
        <f>SUM(C175:C180)</f>
        <v>17871261</v>
      </c>
      <c r="D181" s="26"/>
      <c r="E181" s="23" t="s">
        <v>15</v>
      </c>
      <c r="F181" s="13">
        <f>SUM(F175:F180)</f>
        <v>19871261</v>
      </c>
      <c r="G181" s="21">
        <f t="shared" si="3"/>
        <v>2000000</v>
      </c>
    </row>
    <row r="182" spans="1:7" s="5" customFormat="1" ht="22.5" customHeight="1" x14ac:dyDescent="0.25">
      <c r="A182" s="38" t="s">
        <v>8</v>
      </c>
      <c r="B182" s="39"/>
      <c r="C182" s="39"/>
      <c r="D182" s="39" t="s">
        <v>8</v>
      </c>
      <c r="E182" s="39"/>
      <c r="F182" s="39"/>
      <c r="G182" s="18"/>
    </row>
    <row r="183" spans="1:7" s="5" customFormat="1" x14ac:dyDescent="0.25">
      <c r="A183" s="29" t="s">
        <v>53</v>
      </c>
      <c r="B183" s="6" t="s">
        <v>39</v>
      </c>
      <c r="C183" s="12">
        <f>847181-1181</f>
        <v>846000</v>
      </c>
      <c r="D183" s="26" t="s">
        <v>53</v>
      </c>
      <c r="E183" s="6" t="s">
        <v>39</v>
      </c>
      <c r="F183" s="12">
        <f>847181-1181</f>
        <v>846000</v>
      </c>
      <c r="G183" s="18">
        <f t="shared" si="3"/>
        <v>0</v>
      </c>
    </row>
    <row r="184" spans="1:7" s="5" customFormat="1" ht="31.5" x14ac:dyDescent="0.25">
      <c r="A184" s="29" t="s">
        <v>56</v>
      </c>
      <c r="B184" s="6" t="s">
        <v>154</v>
      </c>
      <c r="C184" s="12">
        <f>1100000+200000</f>
        <v>1300000</v>
      </c>
      <c r="D184" s="26" t="s">
        <v>56</v>
      </c>
      <c r="E184" s="6" t="s">
        <v>154</v>
      </c>
      <c r="F184" s="12">
        <f>1100000+200000</f>
        <v>1300000</v>
      </c>
      <c r="G184" s="18">
        <f t="shared" si="3"/>
        <v>0</v>
      </c>
    </row>
    <row r="185" spans="1:7" s="5" customFormat="1" x14ac:dyDescent="0.25">
      <c r="A185" s="29" t="s">
        <v>58</v>
      </c>
      <c r="B185" s="6" t="s">
        <v>63</v>
      </c>
      <c r="C185" s="12">
        <f>1312268-20012</f>
        <v>1292256</v>
      </c>
      <c r="D185" s="26" t="s">
        <v>58</v>
      </c>
      <c r="E185" s="6" t="s">
        <v>63</v>
      </c>
      <c r="F185" s="12">
        <f>1312268-20012</f>
        <v>1292256</v>
      </c>
      <c r="G185" s="18">
        <f t="shared" si="3"/>
        <v>0</v>
      </c>
    </row>
    <row r="186" spans="1:7" s="5" customFormat="1" ht="31.5" x14ac:dyDescent="0.25">
      <c r="A186" s="29" t="s">
        <v>54</v>
      </c>
      <c r="B186" s="6" t="s">
        <v>155</v>
      </c>
      <c r="C186" s="12">
        <v>1978070</v>
      </c>
      <c r="D186" s="26" t="s">
        <v>54</v>
      </c>
      <c r="E186" s="6" t="s">
        <v>155</v>
      </c>
      <c r="F186" s="12">
        <v>1978070</v>
      </c>
      <c r="G186" s="18">
        <f t="shared" si="3"/>
        <v>0</v>
      </c>
    </row>
    <row r="187" spans="1:7" s="5" customFormat="1" ht="47.25" x14ac:dyDescent="0.25">
      <c r="A187" s="29" t="s">
        <v>57</v>
      </c>
      <c r="B187" s="6" t="s">
        <v>190</v>
      </c>
      <c r="C187" s="12">
        <f>741472+300000+275758</f>
        <v>1317230</v>
      </c>
      <c r="D187" s="26" t="s">
        <v>57</v>
      </c>
      <c r="E187" s="6" t="s">
        <v>234</v>
      </c>
      <c r="F187" s="12">
        <f>741472+300000+275758</f>
        <v>1317230</v>
      </c>
      <c r="G187" s="18">
        <f t="shared" si="3"/>
        <v>0</v>
      </c>
    </row>
    <row r="188" spans="1:7" s="5" customFormat="1" ht="47.25" x14ac:dyDescent="0.25">
      <c r="A188" s="29" t="s">
        <v>59</v>
      </c>
      <c r="B188" s="6" t="s">
        <v>191</v>
      </c>
      <c r="C188" s="12">
        <v>865220</v>
      </c>
      <c r="D188" s="26" t="s">
        <v>59</v>
      </c>
      <c r="E188" s="6" t="s">
        <v>235</v>
      </c>
      <c r="F188" s="12">
        <v>865220</v>
      </c>
      <c r="G188" s="18">
        <f t="shared" si="3"/>
        <v>0</v>
      </c>
    </row>
    <row r="189" spans="1:7" s="5" customFormat="1" ht="31.5" x14ac:dyDescent="0.25">
      <c r="A189" s="29"/>
      <c r="B189" s="6"/>
      <c r="C189" s="17"/>
      <c r="D189" s="26" t="s">
        <v>61</v>
      </c>
      <c r="E189" s="6" t="s">
        <v>215</v>
      </c>
      <c r="F189" s="17">
        <v>630458</v>
      </c>
      <c r="G189" s="18">
        <f t="shared" si="3"/>
        <v>630458</v>
      </c>
    </row>
    <row r="190" spans="1:7" s="5" customFormat="1" x14ac:dyDescent="0.25">
      <c r="A190" s="29"/>
      <c r="B190" s="23" t="s">
        <v>15</v>
      </c>
      <c r="C190" s="13">
        <f>SUM(C183:C188)</f>
        <v>7598776</v>
      </c>
      <c r="D190" s="26"/>
      <c r="E190" s="23" t="s">
        <v>15</v>
      </c>
      <c r="F190" s="13">
        <f>SUM(F183:F189)</f>
        <v>8229234</v>
      </c>
      <c r="G190" s="21">
        <f t="shared" si="3"/>
        <v>630458</v>
      </c>
    </row>
    <row r="191" spans="1:7" s="5" customFormat="1" ht="21.75" customHeight="1" x14ac:dyDescent="0.25">
      <c r="A191" s="38" t="s">
        <v>19</v>
      </c>
      <c r="B191" s="39"/>
      <c r="C191" s="39"/>
      <c r="D191" s="39" t="s">
        <v>19</v>
      </c>
      <c r="E191" s="39"/>
      <c r="F191" s="39"/>
      <c r="G191" s="18"/>
    </row>
    <row r="192" spans="1:7" s="5" customFormat="1" ht="31.5" x14ac:dyDescent="0.25">
      <c r="A192" s="29" t="s">
        <v>53</v>
      </c>
      <c r="B192" s="4" t="s">
        <v>156</v>
      </c>
      <c r="C192" s="12">
        <f>6312373</f>
        <v>6312373</v>
      </c>
      <c r="D192" s="26" t="s">
        <v>53</v>
      </c>
      <c r="E192" s="4" t="s">
        <v>156</v>
      </c>
      <c r="F192" s="12">
        <f>6312373</f>
        <v>6312373</v>
      </c>
      <c r="G192" s="18">
        <f t="shared" si="3"/>
        <v>0</v>
      </c>
    </row>
    <row r="193" spans="1:7" s="5" customFormat="1" ht="47.25" x14ac:dyDescent="0.25">
      <c r="A193" s="29" t="s">
        <v>56</v>
      </c>
      <c r="B193" s="4" t="s">
        <v>207</v>
      </c>
      <c r="C193" s="14">
        <v>1300000</v>
      </c>
      <c r="D193" s="26" t="s">
        <v>56</v>
      </c>
      <c r="E193" s="4" t="s">
        <v>207</v>
      </c>
      <c r="F193" s="14">
        <v>1300000</v>
      </c>
      <c r="G193" s="18">
        <f t="shared" si="3"/>
        <v>0</v>
      </c>
    </row>
    <row r="194" spans="1:7" s="5" customFormat="1" ht="31.5" x14ac:dyDescent="0.25">
      <c r="A194" s="29" t="s">
        <v>58</v>
      </c>
      <c r="B194" s="4" t="s">
        <v>157</v>
      </c>
      <c r="C194" s="14">
        <v>400000</v>
      </c>
      <c r="D194" s="26" t="s">
        <v>58</v>
      </c>
      <c r="E194" s="4" t="s">
        <v>157</v>
      </c>
      <c r="F194" s="14">
        <v>400000</v>
      </c>
      <c r="G194" s="18">
        <f t="shared" si="3"/>
        <v>0</v>
      </c>
    </row>
    <row r="195" spans="1:7" s="5" customFormat="1" x14ac:dyDescent="0.25">
      <c r="A195" s="29"/>
      <c r="B195" s="23" t="s">
        <v>15</v>
      </c>
      <c r="C195" s="13">
        <f>SUM(C192:C194)</f>
        <v>8012373</v>
      </c>
      <c r="D195" s="26"/>
      <c r="E195" s="23" t="s">
        <v>15</v>
      </c>
      <c r="F195" s="13">
        <f>SUM(F192:F194)</f>
        <v>8012373</v>
      </c>
      <c r="G195" s="18">
        <f t="shared" si="3"/>
        <v>0</v>
      </c>
    </row>
    <row r="196" spans="1:7" s="5" customFormat="1" x14ac:dyDescent="0.25">
      <c r="A196" s="38" t="s">
        <v>4</v>
      </c>
      <c r="B196" s="39"/>
      <c r="C196" s="39"/>
      <c r="D196" s="39" t="s">
        <v>4</v>
      </c>
      <c r="E196" s="39"/>
      <c r="F196" s="39"/>
      <c r="G196" s="18"/>
    </row>
    <row r="197" spans="1:7" s="5" customFormat="1" ht="31.5" x14ac:dyDescent="0.25">
      <c r="A197" s="29" t="s">
        <v>53</v>
      </c>
      <c r="B197" s="4" t="s">
        <v>107</v>
      </c>
      <c r="C197" s="12">
        <v>1000000</v>
      </c>
      <c r="D197" s="26" t="s">
        <v>53</v>
      </c>
      <c r="E197" s="4" t="s">
        <v>107</v>
      </c>
      <c r="F197" s="12">
        <v>1000000</v>
      </c>
      <c r="G197" s="18">
        <f t="shared" si="3"/>
        <v>0</v>
      </c>
    </row>
    <row r="198" spans="1:7" s="5" customFormat="1" ht="47.25" x14ac:dyDescent="0.25">
      <c r="A198" s="29" t="s">
        <v>56</v>
      </c>
      <c r="B198" s="4" t="s">
        <v>74</v>
      </c>
      <c r="C198" s="12">
        <f>1000000+355335</f>
        <v>1355335</v>
      </c>
      <c r="D198" s="26" t="s">
        <v>56</v>
      </c>
      <c r="E198" s="4" t="s">
        <v>74</v>
      </c>
      <c r="F198" s="12">
        <f>1000000+355335</f>
        <v>1355335</v>
      </c>
      <c r="G198" s="18">
        <f t="shared" si="3"/>
        <v>0</v>
      </c>
    </row>
    <row r="199" spans="1:7" s="5" customFormat="1" x14ac:dyDescent="0.25">
      <c r="A199" s="29" t="s">
        <v>58</v>
      </c>
      <c r="B199" s="4" t="s">
        <v>75</v>
      </c>
      <c r="C199" s="12">
        <f>1900000-17442</f>
        <v>1882558</v>
      </c>
      <c r="D199" s="26" t="s">
        <v>58</v>
      </c>
      <c r="E199" s="4" t="s">
        <v>75</v>
      </c>
      <c r="F199" s="12">
        <f>1900000-17442</f>
        <v>1882558</v>
      </c>
      <c r="G199" s="18">
        <f t="shared" si="3"/>
        <v>0</v>
      </c>
    </row>
    <row r="200" spans="1:7" s="5" customFormat="1" x14ac:dyDescent="0.25">
      <c r="A200" s="29"/>
      <c r="B200" s="23" t="s">
        <v>15</v>
      </c>
      <c r="C200" s="13">
        <f>SUM(C197:C199)</f>
        <v>4237893</v>
      </c>
      <c r="D200" s="26"/>
      <c r="E200" s="23" t="s">
        <v>15</v>
      </c>
      <c r="F200" s="13">
        <f>SUM(F197:F199)</f>
        <v>4237893</v>
      </c>
      <c r="G200" s="18">
        <f t="shared" si="3"/>
        <v>0</v>
      </c>
    </row>
    <row r="201" spans="1:7" s="5" customFormat="1" x14ac:dyDescent="0.25">
      <c r="A201" s="38" t="s">
        <v>9</v>
      </c>
      <c r="B201" s="39"/>
      <c r="C201" s="39"/>
      <c r="D201" s="39" t="s">
        <v>9</v>
      </c>
      <c r="E201" s="39"/>
      <c r="F201" s="39"/>
      <c r="G201" s="18"/>
    </row>
    <row r="202" spans="1:7" s="5" customFormat="1" ht="31.5" x14ac:dyDescent="0.25">
      <c r="A202" s="29" t="s">
        <v>53</v>
      </c>
      <c r="B202" s="4" t="s">
        <v>192</v>
      </c>
      <c r="C202" s="12">
        <f>475102+486734</f>
        <v>961836</v>
      </c>
      <c r="D202" s="26" t="s">
        <v>53</v>
      </c>
      <c r="E202" s="4" t="s">
        <v>236</v>
      </c>
      <c r="F202" s="12">
        <f>475102+486734</f>
        <v>961836</v>
      </c>
      <c r="G202" s="18">
        <f t="shared" si="3"/>
        <v>0</v>
      </c>
    </row>
    <row r="203" spans="1:7" s="5" customFormat="1" ht="63" x14ac:dyDescent="0.25">
      <c r="A203" s="29" t="s">
        <v>56</v>
      </c>
      <c r="B203" s="4" t="s">
        <v>193</v>
      </c>
      <c r="C203" s="12">
        <v>312225</v>
      </c>
      <c r="D203" s="26" t="s">
        <v>56</v>
      </c>
      <c r="E203" s="4" t="s">
        <v>193</v>
      </c>
      <c r="F203" s="12">
        <v>312225</v>
      </c>
      <c r="G203" s="18">
        <f t="shared" si="3"/>
        <v>0</v>
      </c>
    </row>
    <row r="204" spans="1:7" s="5" customFormat="1" ht="47.25" x14ac:dyDescent="0.25">
      <c r="A204" s="29" t="s">
        <v>58</v>
      </c>
      <c r="B204" s="4" t="s">
        <v>205</v>
      </c>
      <c r="C204" s="12">
        <v>713582</v>
      </c>
      <c r="D204" s="26" t="s">
        <v>58</v>
      </c>
      <c r="E204" s="4" t="s">
        <v>205</v>
      </c>
      <c r="F204" s="12">
        <v>713582</v>
      </c>
      <c r="G204" s="18">
        <f t="shared" si="3"/>
        <v>0</v>
      </c>
    </row>
    <row r="205" spans="1:7" s="5" customFormat="1" ht="63" x14ac:dyDescent="0.25">
      <c r="A205" s="29" t="s">
        <v>54</v>
      </c>
      <c r="B205" s="4" t="s">
        <v>219</v>
      </c>
      <c r="C205" s="12">
        <v>243000</v>
      </c>
      <c r="D205" s="26" t="s">
        <v>54</v>
      </c>
      <c r="E205" s="4" t="s">
        <v>218</v>
      </c>
      <c r="F205" s="12">
        <v>243000</v>
      </c>
      <c r="G205" s="18">
        <f t="shared" si="3"/>
        <v>0</v>
      </c>
    </row>
    <row r="206" spans="1:7" s="5" customFormat="1" x14ac:dyDescent="0.25">
      <c r="A206" s="29"/>
      <c r="B206" s="23" t="s">
        <v>15</v>
      </c>
      <c r="C206" s="13">
        <f>SUM(C202:C205)</f>
        <v>2230643</v>
      </c>
      <c r="D206" s="26"/>
      <c r="E206" s="23" t="s">
        <v>15</v>
      </c>
      <c r="F206" s="13">
        <f>SUM(F202:F205)</f>
        <v>2230643</v>
      </c>
      <c r="G206" s="18">
        <f t="shared" si="3"/>
        <v>0</v>
      </c>
    </row>
    <row r="207" spans="1:7" s="5" customFormat="1" x14ac:dyDescent="0.25">
      <c r="A207" s="38" t="s">
        <v>10</v>
      </c>
      <c r="B207" s="39"/>
      <c r="C207" s="39"/>
      <c r="D207" s="39" t="s">
        <v>10</v>
      </c>
      <c r="E207" s="39"/>
      <c r="F207" s="39"/>
      <c r="G207" s="18"/>
    </row>
    <row r="208" spans="1:7" s="5" customFormat="1" ht="31.5" x14ac:dyDescent="0.25">
      <c r="A208" s="29" t="s">
        <v>53</v>
      </c>
      <c r="B208" s="4" t="s">
        <v>194</v>
      </c>
      <c r="C208" s="12">
        <v>931535</v>
      </c>
      <c r="D208" s="26" t="s">
        <v>53</v>
      </c>
      <c r="E208" s="4" t="s">
        <v>194</v>
      </c>
      <c r="F208" s="12">
        <v>931535</v>
      </c>
      <c r="G208" s="18">
        <f t="shared" ref="G208:G272" si="4">F208-C208</f>
        <v>0</v>
      </c>
    </row>
    <row r="209" spans="1:7" s="5" customFormat="1" ht="31.5" x14ac:dyDescent="0.25">
      <c r="A209" s="29" t="s">
        <v>56</v>
      </c>
      <c r="B209" s="4" t="s">
        <v>158</v>
      </c>
      <c r="C209" s="12">
        <v>2344096</v>
      </c>
      <c r="D209" s="26" t="s">
        <v>56</v>
      </c>
      <c r="E209" s="4" t="s">
        <v>158</v>
      </c>
      <c r="F209" s="12">
        <v>2344096</v>
      </c>
      <c r="G209" s="18">
        <f t="shared" si="4"/>
        <v>0</v>
      </c>
    </row>
    <row r="210" spans="1:7" s="5" customFormat="1" ht="47.25" x14ac:dyDescent="0.25">
      <c r="A210" s="29" t="s">
        <v>58</v>
      </c>
      <c r="B210" s="6" t="s">
        <v>195</v>
      </c>
      <c r="C210" s="12">
        <f>314584+26531</f>
        <v>341115</v>
      </c>
      <c r="D210" s="26" t="s">
        <v>58</v>
      </c>
      <c r="E210" s="6" t="s">
        <v>195</v>
      </c>
      <c r="F210" s="12">
        <f>314584+26531+154875</f>
        <v>495990</v>
      </c>
      <c r="G210" s="18">
        <f t="shared" si="4"/>
        <v>154875</v>
      </c>
    </row>
    <row r="211" spans="1:7" s="5" customFormat="1" ht="31.5" x14ac:dyDescent="0.25">
      <c r="A211" s="29" t="s">
        <v>54</v>
      </c>
      <c r="B211" s="4" t="s">
        <v>196</v>
      </c>
      <c r="C211" s="12">
        <f>161546+8455</f>
        <v>170001</v>
      </c>
      <c r="D211" s="26" t="s">
        <v>54</v>
      </c>
      <c r="E211" s="4" t="s">
        <v>196</v>
      </c>
      <c r="F211" s="12">
        <f>161546+8455+90000</f>
        <v>260001</v>
      </c>
      <c r="G211" s="18">
        <f t="shared" si="4"/>
        <v>90000</v>
      </c>
    </row>
    <row r="212" spans="1:7" s="5" customFormat="1" ht="47.25" x14ac:dyDescent="0.25">
      <c r="A212" s="29" t="s">
        <v>57</v>
      </c>
      <c r="B212" s="6" t="s">
        <v>197</v>
      </c>
      <c r="C212" s="12">
        <v>200606</v>
      </c>
      <c r="D212" s="26" t="s">
        <v>57</v>
      </c>
      <c r="E212" s="6" t="s">
        <v>197</v>
      </c>
      <c r="F212" s="12">
        <v>200606</v>
      </c>
      <c r="G212" s="18">
        <f t="shared" si="4"/>
        <v>0</v>
      </c>
    </row>
    <row r="213" spans="1:7" s="5" customFormat="1" ht="47.25" x14ac:dyDescent="0.25">
      <c r="A213" s="29" t="s">
        <v>59</v>
      </c>
      <c r="B213" s="4" t="s">
        <v>198</v>
      </c>
      <c r="C213" s="12">
        <v>60061</v>
      </c>
      <c r="D213" s="26" t="s">
        <v>59</v>
      </c>
      <c r="E213" s="4" t="s">
        <v>198</v>
      </c>
      <c r="F213" s="12">
        <v>60061</v>
      </c>
      <c r="G213" s="18">
        <f t="shared" si="4"/>
        <v>0</v>
      </c>
    </row>
    <row r="214" spans="1:7" s="5" customFormat="1" x14ac:dyDescent="0.25">
      <c r="A214" s="29"/>
      <c r="B214" s="23" t="s">
        <v>15</v>
      </c>
      <c r="C214" s="13">
        <f>SUM(C208:C213)</f>
        <v>4047414</v>
      </c>
      <c r="D214" s="26"/>
      <c r="E214" s="23" t="s">
        <v>15</v>
      </c>
      <c r="F214" s="13">
        <f>SUM(F208:F213)</f>
        <v>4292289</v>
      </c>
      <c r="G214" s="21">
        <f t="shared" si="4"/>
        <v>244875</v>
      </c>
    </row>
    <row r="215" spans="1:7" s="5" customFormat="1" x14ac:dyDescent="0.25">
      <c r="A215" s="38" t="s">
        <v>32</v>
      </c>
      <c r="B215" s="39"/>
      <c r="C215" s="39"/>
      <c r="D215" s="39" t="s">
        <v>32</v>
      </c>
      <c r="E215" s="39"/>
      <c r="F215" s="39"/>
      <c r="G215" s="18"/>
    </row>
    <row r="216" spans="1:7" s="5" customFormat="1" ht="47.25" x14ac:dyDescent="0.25">
      <c r="A216" s="29" t="s">
        <v>53</v>
      </c>
      <c r="B216" s="4" t="s">
        <v>199</v>
      </c>
      <c r="C216" s="12">
        <f>8000000-1791053-200000+3243981-296613+2078495</f>
        <v>11034810</v>
      </c>
      <c r="D216" s="26" t="s">
        <v>53</v>
      </c>
      <c r="E216" s="4" t="s">
        <v>199</v>
      </c>
      <c r="F216" s="12">
        <f>8000000-1791053-200000+3243981-296613+2078495+2000000</f>
        <v>13034810</v>
      </c>
      <c r="G216" s="18">
        <f t="shared" si="4"/>
        <v>2000000</v>
      </c>
    </row>
    <row r="217" spans="1:7" s="5" customFormat="1" x14ac:dyDescent="0.25">
      <c r="A217" s="29"/>
      <c r="B217" s="23" t="s">
        <v>15</v>
      </c>
      <c r="C217" s="13">
        <f>SUM(C216)</f>
        <v>11034810</v>
      </c>
      <c r="D217" s="26"/>
      <c r="E217" s="23" t="s">
        <v>15</v>
      </c>
      <c r="F217" s="13">
        <f>SUM(F216)</f>
        <v>13034810</v>
      </c>
      <c r="G217" s="18">
        <f t="shared" si="4"/>
        <v>2000000</v>
      </c>
    </row>
    <row r="218" spans="1:7" s="5" customFormat="1" x14ac:dyDescent="0.25">
      <c r="A218" s="38" t="s">
        <v>3</v>
      </c>
      <c r="B218" s="39"/>
      <c r="C218" s="39"/>
      <c r="D218" s="39" t="s">
        <v>3</v>
      </c>
      <c r="E218" s="39"/>
      <c r="F218" s="39"/>
      <c r="G218" s="18"/>
    </row>
    <row r="219" spans="1:7" s="5" customFormat="1" x14ac:dyDescent="0.25">
      <c r="A219" s="29" t="s">
        <v>53</v>
      </c>
      <c r="B219" s="4" t="s">
        <v>76</v>
      </c>
      <c r="C219" s="12">
        <f>2802743+1907148</f>
        <v>4709891</v>
      </c>
      <c r="D219" s="26" t="s">
        <v>53</v>
      </c>
      <c r="E219" s="4" t="s">
        <v>76</v>
      </c>
      <c r="F219" s="12">
        <f>2802743+1907148</f>
        <v>4709891</v>
      </c>
      <c r="G219" s="18">
        <f t="shared" si="4"/>
        <v>0</v>
      </c>
    </row>
    <row r="220" spans="1:7" s="5" customFormat="1" x14ac:dyDescent="0.25">
      <c r="A220" s="29"/>
      <c r="B220" s="23" t="s">
        <v>15</v>
      </c>
      <c r="C220" s="13">
        <f>SUM(C219)</f>
        <v>4709891</v>
      </c>
      <c r="D220" s="26"/>
      <c r="E220" s="23" t="s">
        <v>15</v>
      </c>
      <c r="F220" s="13">
        <f>SUM(F219)</f>
        <v>4709891</v>
      </c>
      <c r="G220" s="18">
        <f t="shared" si="4"/>
        <v>0</v>
      </c>
    </row>
    <row r="221" spans="1:7" s="5" customFormat="1" x14ac:dyDescent="0.25">
      <c r="A221" s="29"/>
      <c r="B221" s="23" t="s">
        <v>90</v>
      </c>
      <c r="C221" s="13">
        <f>C220+C217+C214+C206+C200+C195+C190+C181+C173+C170+C164+C157+C153</f>
        <v>90324908</v>
      </c>
      <c r="D221" s="26"/>
      <c r="E221" s="23" t="s">
        <v>90</v>
      </c>
      <c r="F221" s="13">
        <f>F220+F217+F214+F206+F200+F195+F190+F181+F173+F170+F164+F157+F153</f>
        <v>95357357</v>
      </c>
      <c r="G221" s="21">
        <f t="shared" si="4"/>
        <v>5032449</v>
      </c>
    </row>
    <row r="222" spans="1:7" s="5" customFormat="1" x14ac:dyDescent="0.25">
      <c r="A222" s="40" t="s">
        <v>91</v>
      </c>
      <c r="B222" s="41"/>
      <c r="C222" s="41"/>
      <c r="D222" s="41" t="s">
        <v>91</v>
      </c>
      <c r="E222" s="41"/>
      <c r="F222" s="41"/>
      <c r="G222" s="18"/>
    </row>
    <row r="223" spans="1:7" s="5" customFormat="1" x14ac:dyDescent="0.25">
      <c r="A223" s="38" t="s">
        <v>36</v>
      </c>
      <c r="B223" s="39"/>
      <c r="C223" s="39"/>
      <c r="D223" s="39" t="s">
        <v>36</v>
      </c>
      <c r="E223" s="39"/>
      <c r="F223" s="39"/>
      <c r="G223" s="18"/>
    </row>
    <row r="224" spans="1:7" s="5" customFormat="1" ht="31.5" x14ac:dyDescent="0.25">
      <c r="A224" s="29" t="s">
        <v>53</v>
      </c>
      <c r="B224" s="4" t="s">
        <v>77</v>
      </c>
      <c r="C224" s="12">
        <f>125500+141620</f>
        <v>267120</v>
      </c>
      <c r="D224" s="26" t="s">
        <v>53</v>
      </c>
      <c r="E224" s="4" t="s">
        <v>77</v>
      </c>
      <c r="F224" s="12">
        <f>125500+141620</f>
        <v>267120</v>
      </c>
      <c r="G224" s="18">
        <f t="shared" si="4"/>
        <v>0</v>
      </c>
    </row>
    <row r="225" spans="1:7" s="5" customFormat="1" x14ac:dyDescent="0.25">
      <c r="A225" s="28"/>
      <c r="B225" s="23" t="s">
        <v>15</v>
      </c>
      <c r="C225" s="13">
        <f>SUM(C224:C224)</f>
        <v>267120</v>
      </c>
      <c r="D225" s="24"/>
      <c r="E225" s="23" t="s">
        <v>15</v>
      </c>
      <c r="F225" s="13">
        <f>SUM(F224:F224)</f>
        <v>267120</v>
      </c>
      <c r="G225" s="18">
        <f t="shared" si="4"/>
        <v>0</v>
      </c>
    </row>
    <row r="226" spans="1:7" s="5" customFormat="1" x14ac:dyDescent="0.25">
      <c r="A226" s="38" t="s">
        <v>3</v>
      </c>
      <c r="B226" s="39"/>
      <c r="C226" s="39"/>
      <c r="D226" s="39" t="s">
        <v>3</v>
      </c>
      <c r="E226" s="39"/>
      <c r="F226" s="39"/>
      <c r="G226" s="18"/>
    </row>
    <row r="227" spans="1:7" s="5" customFormat="1" ht="31.5" x14ac:dyDescent="0.25">
      <c r="A227" s="29" t="s">
        <v>53</v>
      </c>
      <c r="B227" s="4" t="s">
        <v>127</v>
      </c>
      <c r="C227" s="12">
        <v>2269604</v>
      </c>
      <c r="D227" s="26" t="s">
        <v>53</v>
      </c>
      <c r="E227" s="4" t="s">
        <v>127</v>
      </c>
      <c r="F227" s="12">
        <v>2269604</v>
      </c>
      <c r="G227" s="18">
        <f t="shared" si="4"/>
        <v>0</v>
      </c>
    </row>
    <row r="228" spans="1:7" s="5" customFormat="1" ht="31.5" x14ac:dyDescent="0.25">
      <c r="A228" s="29" t="s">
        <v>56</v>
      </c>
      <c r="B228" s="4" t="s">
        <v>108</v>
      </c>
      <c r="C228" s="12">
        <v>2230000</v>
      </c>
      <c r="D228" s="26" t="s">
        <v>56</v>
      </c>
      <c r="E228" s="4" t="s">
        <v>108</v>
      </c>
      <c r="F228" s="12">
        <v>2230000</v>
      </c>
      <c r="G228" s="18">
        <f t="shared" si="4"/>
        <v>0</v>
      </c>
    </row>
    <row r="229" spans="1:7" s="5" customFormat="1" x14ac:dyDescent="0.25">
      <c r="A229" s="8"/>
      <c r="B229" s="23" t="s">
        <v>15</v>
      </c>
      <c r="C229" s="13">
        <f>SUM(C227:C228)</f>
        <v>4499604</v>
      </c>
      <c r="D229" s="15"/>
      <c r="E229" s="23" t="s">
        <v>15</v>
      </c>
      <c r="F229" s="13">
        <f>SUM(F227:F228)</f>
        <v>4499604</v>
      </c>
      <c r="G229" s="18">
        <f t="shared" si="4"/>
        <v>0</v>
      </c>
    </row>
    <row r="230" spans="1:7" s="5" customFormat="1" x14ac:dyDescent="0.25">
      <c r="A230" s="38" t="s">
        <v>25</v>
      </c>
      <c r="B230" s="39"/>
      <c r="C230" s="39"/>
      <c r="D230" s="39" t="s">
        <v>25</v>
      </c>
      <c r="E230" s="39"/>
      <c r="F230" s="39"/>
      <c r="G230" s="18"/>
    </row>
    <row r="231" spans="1:7" s="5" customFormat="1" ht="31.5" x14ac:dyDescent="0.25">
      <c r="A231" s="29" t="s">
        <v>53</v>
      </c>
      <c r="B231" s="7" t="s">
        <v>78</v>
      </c>
      <c r="C231" s="12">
        <f>410026-4495</f>
        <v>405531</v>
      </c>
      <c r="D231" s="26" t="s">
        <v>53</v>
      </c>
      <c r="E231" s="7" t="s">
        <v>232</v>
      </c>
      <c r="F231" s="12">
        <f>410026-4495</f>
        <v>405531</v>
      </c>
      <c r="G231" s="18">
        <f t="shared" si="4"/>
        <v>0</v>
      </c>
    </row>
    <row r="232" spans="1:7" s="5" customFormat="1" ht="31.5" x14ac:dyDescent="0.25">
      <c r="A232" s="29" t="s">
        <v>56</v>
      </c>
      <c r="B232" s="4" t="s">
        <v>79</v>
      </c>
      <c r="C232" s="12">
        <f>1270085-6160</f>
        <v>1263925</v>
      </c>
      <c r="D232" s="26" t="s">
        <v>56</v>
      </c>
      <c r="E232" s="4" t="s">
        <v>79</v>
      </c>
      <c r="F232" s="12">
        <f>1270085-6160</f>
        <v>1263925</v>
      </c>
      <c r="G232" s="18">
        <f t="shared" si="4"/>
        <v>0</v>
      </c>
    </row>
    <row r="233" spans="1:7" s="5" customFormat="1" ht="31.5" x14ac:dyDescent="0.25">
      <c r="A233" s="29" t="s">
        <v>58</v>
      </c>
      <c r="B233" s="7" t="s">
        <v>220</v>
      </c>
      <c r="C233" s="12">
        <v>368852</v>
      </c>
      <c r="D233" s="26" t="s">
        <v>58</v>
      </c>
      <c r="E233" s="7" t="s">
        <v>221</v>
      </c>
      <c r="F233" s="12">
        <v>368852</v>
      </c>
      <c r="G233" s="18">
        <f t="shared" si="4"/>
        <v>0</v>
      </c>
    </row>
    <row r="234" spans="1:7" s="5" customFormat="1" x14ac:dyDescent="0.25">
      <c r="A234" s="29"/>
      <c r="B234" s="23" t="s">
        <v>15</v>
      </c>
      <c r="C234" s="13">
        <f>SUM(C231:C233)</f>
        <v>2038308</v>
      </c>
      <c r="D234" s="26"/>
      <c r="E234" s="23" t="s">
        <v>15</v>
      </c>
      <c r="F234" s="13">
        <f>SUM(F231:F233)</f>
        <v>2038308</v>
      </c>
      <c r="G234" s="18">
        <f t="shared" si="4"/>
        <v>0</v>
      </c>
    </row>
    <row r="235" spans="1:7" s="5" customFormat="1" ht="25.5" customHeight="1" x14ac:dyDescent="0.25">
      <c r="A235" s="38" t="s">
        <v>44</v>
      </c>
      <c r="B235" s="39"/>
      <c r="C235" s="39"/>
      <c r="D235" s="39" t="s">
        <v>44</v>
      </c>
      <c r="E235" s="39"/>
      <c r="F235" s="39"/>
      <c r="G235" s="18"/>
    </row>
    <row r="236" spans="1:7" s="5" customFormat="1" ht="31.5" x14ac:dyDescent="0.25">
      <c r="A236" s="29" t="s">
        <v>53</v>
      </c>
      <c r="B236" s="4" t="s">
        <v>200</v>
      </c>
      <c r="C236" s="12">
        <v>929012</v>
      </c>
      <c r="D236" s="26" t="s">
        <v>53</v>
      </c>
      <c r="E236" s="4" t="s">
        <v>200</v>
      </c>
      <c r="F236" s="12">
        <v>929012</v>
      </c>
      <c r="G236" s="18">
        <f t="shared" si="4"/>
        <v>0</v>
      </c>
    </row>
    <row r="237" spans="1:7" s="5" customFormat="1" ht="31.5" x14ac:dyDescent="0.25">
      <c r="A237" s="29" t="s">
        <v>56</v>
      </c>
      <c r="B237" s="4" t="s">
        <v>109</v>
      </c>
      <c r="C237" s="12">
        <f>746000+966287</f>
        <v>1712287</v>
      </c>
      <c r="D237" s="26" t="s">
        <v>56</v>
      </c>
      <c r="E237" s="4" t="s">
        <v>109</v>
      </c>
      <c r="F237" s="12">
        <f>746000+966287</f>
        <v>1712287</v>
      </c>
      <c r="G237" s="18">
        <f t="shared" si="4"/>
        <v>0</v>
      </c>
    </row>
    <row r="238" spans="1:7" s="5" customFormat="1" x14ac:dyDescent="0.25">
      <c r="A238" s="29"/>
      <c r="B238" s="23" t="s">
        <v>15</v>
      </c>
      <c r="C238" s="13">
        <f>SUM(C236:C237)</f>
        <v>2641299</v>
      </c>
      <c r="D238" s="26"/>
      <c r="E238" s="23" t="s">
        <v>15</v>
      </c>
      <c r="F238" s="13">
        <f>SUM(F236:F237)</f>
        <v>2641299</v>
      </c>
      <c r="G238" s="18">
        <f t="shared" si="4"/>
        <v>0</v>
      </c>
    </row>
    <row r="239" spans="1:7" s="5" customFormat="1" x14ac:dyDescent="0.25">
      <c r="A239" s="38" t="s">
        <v>23</v>
      </c>
      <c r="B239" s="39"/>
      <c r="C239" s="39"/>
      <c r="D239" s="39" t="s">
        <v>23</v>
      </c>
      <c r="E239" s="39"/>
      <c r="F239" s="39"/>
      <c r="G239" s="18"/>
    </row>
    <row r="240" spans="1:7" s="5" customFormat="1" ht="31.5" x14ac:dyDescent="0.25">
      <c r="A240" s="29" t="s">
        <v>53</v>
      </c>
      <c r="B240" s="4" t="s">
        <v>224</v>
      </c>
      <c r="C240" s="12">
        <f>1480506+147584</f>
        <v>1628090</v>
      </c>
      <c r="D240" s="26" t="s">
        <v>53</v>
      </c>
      <c r="E240" s="4" t="s">
        <v>224</v>
      </c>
      <c r="F240" s="12">
        <f>1480506+147584</f>
        <v>1628090</v>
      </c>
      <c r="G240" s="18">
        <f t="shared" si="4"/>
        <v>0</v>
      </c>
    </row>
    <row r="241" spans="1:7" s="5" customFormat="1" x14ac:dyDescent="0.25">
      <c r="A241" s="8"/>
      <c r="B241" s="23" t="s">
        <v>15</v>
      </c>
      <c r="C241" s="13">
        <f>SUM(C240)</f>
        <v>1628090</v>
      </c>
      <c r="D241" s="15"/>
      <c r="E241" s="23" t="s">
        <v>15</v>
      </c>
      <c r="F241" s="13">
        <f>SUM(F240)</f>
        <v>1628090</v>
      </c>
      <c r="G241" s="18">
        <f t="shared" si="4"/>
        <v>0</v>
      </c>
    </row>
    <row r="242" spans="1:7" s="5" customFormat="1" x14ac:dyDescent="0.25">
      <c r="A242" s="38" t="s">
        <v>26</v>
      </c>
      <c r="B242" s="39"/>
      <c r="C242" s="39"/>
      <c r="D242" s="39" t="s">
        <v>26</v>
      </c>
      <c r="E242" s="39"/>
      <c r="F242" s="39"/>
      <c r="G242" s="18"/>
    </row>
    <row r="243" spans="1:7" s="5" customFormat="1" ht="31.5" x14ac:dyDescent="0.25">
      <c r="A243" s="29" t="s">
        <v>53</v>
      </c>
      <c r="B243" s="4" t="s">
        <v>159</v>
      </c>
      <c r="C243" s="12">
        <f>682482-385308</f>
        <v>297174</v>
      </c>
      <c r="D243" s="26" t="s">
        <v>53</v>
      </c>
      <c r="E243" s="4" t="s">
        <v>159</v>
      </c>
      <c r="F243" s="12">
        <f>682482-385308</f>
        <v>297174</v>
      </c>
      <c r="G243" s="18">
        <f t="shared" si="4"/>
        <v>0</v>
      </c>
    </row>
    <row r="244" spans="1:7" s="5" customFormat="1" x14ac:dyDescent="0.25">
      <c r="A244" s="8"/>
      <c r="B244" s="23" t="s">
        <v>15</v>
      </c>
      <c r="C244" s="13">
        <f>SUM(C243:C243)</f>
        <v>297174</v>
      </c>
      <c r="D244" s="15"/>
      <c r="E244" s="23" t="s">
        <v>15</v>
      </c>
      <c r="F244" s="13">
        <f>SUM(F243:F243)</f>
        <v>297174</v>
      </c>
      <c r="G244" s="18">
        <f t="shared" si="4"/>
        <v>0</v>
      </c>
    </row>
    <row r="245" spans="1:7" s="5" customFormat="1" ht="21" customHeight="1" x14ac:dyDescent="0.25">
      <c r="A245" s="38" t="s">
        <v>24</v>
      </c>
      <c r="B245" s="39"/>
      <c r="C245" s="39"/>
      <c r="D245" s="39" t="s">
        <v>24</v>
      </c>
      <c r="E245" s="39"/>
      <c r="F245" s="39"/>
      <c r="G245" s="18"/>
    </row>
    <row r="246" spans="1:7" s="5" customFormat="1" ht="31.5" x14ac:dyDescent="0.25">
      <c r="A246" s="29" t="s">
        <v>53</v>
      </c>
      <c r="B246" s="4" t="s">
        <v>160</v>
      </c>
      <c r="C246" s="12">
        <v>500000</v>
      </c>
      <c r="D246" s="26" t="s">
        <v>53</v>
      </c>
      <c r="E246" s="4" t="s">
        <v>160</v>
      </c>
      <c r="F246" s="12">
        <v>500000</v>
      </c>
      <c r="G246" s="18">
        <f t="shared" si="4"/>
        <v>0</v>
      </c>
    </row>
    <row r="247" spans="1:7" s="5" customFormat="1" x14ac:dyDescent="0.25">
      <c r="A247" s="8"/>
      <c r="B247" s="23" t="s">
        <v>15</v>
      </c>
      <c r="C247" s="13">
        <f>SUM(C246)</f>
        <v>500000</v>
      </c>
      <c r="D247" s="15"/>
      <c r="E247" s="23" t="s">
        <v>15</v>
      </c>
      <c r="F247" s="13">
        <f>SUM(F246)</f>
        <v>500000</v>
      </c>
      <c r="G247" s="18">
        <f t="shared" si="4"/>
        <v>0</v>
      </c>
    </row>
    <row r="248" spans="1:7" s="5" customFormat="1" x14ac:dyDescent="0.25">
      <c r="A248" s="29"/>
      <c r="B248" s="23" t="s">
        <v>92</v>
      </c>
      <c r="C248" s="13">
        <f>C247+C244+C241+C238+C234+C229+C225</f>
        <v>11871595</v>
      </c>
      <c r="D248" s="26"/>
      <c r="E248" s="23" t="s">
        <v>92</v>
      </c>
      <c r="F248" s="13">
        <f>F247+F244+F241+F238+F234+F229+F225</f>
        <v>11871595</v>
      </c>
      <c r="G248" s="18">
        <f t="shared" si="4"/>
        <v>0</v>
      </c>
    </row>
    <row r="249" spans="1:7" s="5" customFormat="1" x14ac:dyDescent="0.25">
      <c r="A249" s="40" t="s">
        <v>93</v>
      </c>
      <c r="B249" s="41"/>
      <c r="C249" s="41"/>
      <c r="D249" s="41" t="s">
        <v>93</v>
      </c>
      <c r="E249" s="41"/>
      <c r="F249" s="41"/>
      <c r="G249" s="18"/>
    </row>
    <row r="250" spans="1:7" s="5" customFormat="1" ht="30" customHeight="1" x14ac:dyDescent="0.25">
      <c r="A250" s="29"/>
      <c r="B250" s="39" t="s">
        <v>34</v>
      </c>
      <c r="C250" s="39"/>
      <c r="D250" s="26"/>
      <c r="E250" s="39" t="s">
        <v>34</v>
      </c>
      <c r="F250" s="39"/>
      <c r="G250" s="18"/>
    </row>
    <row r="251" spans="1:7" s="5" customFormat="1" ht="31.5" x14ac:dyDescent="0.25">
      <c r="A251" s="29" t="s">
        <v>53</v>
      </c>
      <c r="B251" s="4" t="s">
        <v>35</v>
      </c>
      <c r="C251" s="12">
        <v>2000000</v>
      </c>
      <c r="D251" s="26" t="s">
        <v>53</v>
      </c>
      <c r="E251" s="4" t="s">
        <v>35</v>
      </c>
      <c r="F251" s="12">
        <v>2000000</v>
      </c>
      <c r="G251" s="18">
        <f t="shared" si="4"/>
        <v>0</v>
      </c>
    </row>
    <row r="252" spans="1:7" s="5" customFormat="1" x14ac:dyDescent="0.25">
      <c r="A252" s="29"/>
      <c r="B252" s="23" t="s">
        <v>15</v>
      </c>
      <c r="C252" s="13">
        <f>SUM(C251)</f>
        <v>2000000</v>
      </c>
      <c r="D252" s="26"/>
      <c r="E252" s="23" t="s">
        <v>15</v>
      </c>
      <c r="F252" s="13">
        <f>SUM(F251)</f>
        <v>2000000</v>
      </c>
      <c r="G252" s="18">
        <f t="shared" si="4"/>
        <v>0</v>
      </c>
    </row>
    <row r="253" spans="1:7" s="5" customFormat="1" x14ac:dyDescent="0.25">
      <c r="A253" s="29"/>
      <c r="B253" s="23" t="s">
        <v>94</v>
      </c>
      <c r="C253" s="13">
        <f>SUM(C252)</f>
        <v>2000000</v>
      </c>
      <c r="D253" s="26"/>
      <c r="E253" s="23" t="s">
        <v>94</v>
      </c>
      <c r="F253" s="13">
        <f>SUM(F252)</f>
        <v>2000000</v>
      </c>
      <c r="G253" s="18">
        <f t="shared" si="4"/>
        <v>0</v>
      </c>
    </row>
    <row r="254" spans="1:7" s="5" customFormat="1" x14ac:dyDescent="0.25">
      <c r="A254" s="40" t="s">
        <v>88</v>
      </c>
      <c r="B254" s="41"/>
      <c r="C254" s="41"/>
      <c r="D254" s="41" t="s">
        <v>88</v>
      </c>
      <c r="E254" s="41"/>
      <c r="F254" s="41"/>
      <c r="G254" s="18"/>
    </row>
    <row r="255" spans="1:7" s="5" customFormat="1" x14ac:dyDescent="0.25">
      <c r="A255" s="38" t="s">
        <v>24</v>
      </c>
      <c r="B255" s="39"/>
      <c r="C255" s="39"/>
      <c r="D255" s="39" t="s">
        <v>24</v>
      </c>
      <c r="E255" s="39"/>
      <c r="F255" s="39"/>
      <c r="G255" s="18"/>
    </row>
    <row r="256" spans="1:7" s="5" customFormat="1" ht="47.25" x14ac:dyDescent="0.25">
      <c r="A256" s="29" t="s">
        <v>53</v>
      </c>
      <c r="B256" s="4" t="s">
        <v>117</v>
      </c>
      <c r="C256" s="12">
        <f>173784-150000</f>
        <v>23784</v>
      </c>
      <c r="D256" s="26" t="s">
        <v>53</v>
      </c>
      <c r="E256" s="4" t="s">
        <v>117</v>
      </c>
      <c r="F256" s="12">
        <f>173784-150000</f>
        <v>23784</v>
      </c>
      <c r="G256" s="18">
        <f t="shared" si="4"/>
        <v>0</v>
      </c>
    </row>
    <row r="257" spans="1:207" s="5" customFormat="1" x14ac:dyDescent="0.25">
      <c r="A257" s="29"/>
      <c r="B257" s="23" t="s">
        <v>15</v>
      </c>
      <c r="C257" s="13">
        <f>SUM(C256)</f>
        <v>23784</v>
      </c>
      <c r="D257" s="26"/>
      <c r="E257" s="23" t="s">
        <v>15</v>
      </c>
      <c r="F257" s="13">
        <f>SUM(F256)</f>
        <v>23784</v>
      </c>
      <c r="G257" s="18">
        <f t="shared" si="4"/>
        <v>0</v>
      </c>
    </row>
    <row r="258" spans="1:207" s="5" customFormat="1" x14ac:dyDescent="0.25">
      <c r="A258" s="29"/>
      <c r="B258" s="23" t="s">
        <v>87</v>
      </c>
      <c r="C258" s="13">
        <f>SUM(C257)</f>
        <v>23784</v>
      </c>
      <c r="D258" s="26"/>
      <c r="E258" s="23" t="s">
        <v>87</v>
      </c>
      <c r="F258" s="13">
        <f>SUM(F257)</f>
        <v>23784</v>
      </c>
      <c r="G258" s="18">
        <f t="shared" si="4"/>
        <v>0</v>
      </c>
    </row>
    <row r="259" spans="1:207" s="5" customFormat="1" ht="30.75" customHeight="1" x14ac:dyDescent="0.25">
      <c r="A259" s="40" t="s">
        <v>81</v>
      </c>
      <c r="B259" s="41"/>
      <c r="C259" s="41"/>
      <c r="D259" s="41" t="s">
        <v>81</v>
      </c>
      <c r="E259" s="41"/>
      <c r="F259" s="41"/>
      <c r="G259" s="18"/>
    </row>
    <row r="260" spans="1:207" s="5" customFormat="1" x14ac:dyDescent="0.25">
      <c r="A260" s="38" t="s">
        <v>32</v>
      </c>
      <c r="B260" s="39"/>
      <c r="C260" s="39"/>
      <c r="D260" s="39" t="s">
        <v>32</v>
      </c>
      <c r="E260" s="39"/>
      <c r="F260" s="39"/>
      <c r="G260" s="18"/>
    </row>
    <row r="261" spans="1:207" s="5" customFormat="1" ht="63" x14ac:dyDescent="0.25">
      <c r="A261" s="29" t="s">
        <v>53</v>
      </c>
      <c r="B261" s="4" t="s">
        <v>206</v>
      </c>
      <c r="C261" s="12">
        <v>6134355</v>
      </c>
      <c r="D261" s="26" t="s">
        <v>53</v>
      </c>
      <c r="E261" s="4" t="s">
        <v>206</v>
      </c>
      <c r="F261" s="12">
        <v>6134355</v>
      </c>
      <c r="G261" s="18">
        <f t="shared" si="4"/>
        <v>0</v>
      </c>
    </row>
    <row r="262" spans="1:207" s="5" customFormat="1" x14ac:dyDescent="0.25">
      <c r="A262" s="29"/>
      <c r="B262" s="23" t="s">
        <v>15</v>
      </c>
      <c r="C262" s="13">
        <f>SUM(C261)</f>
        <v>6134355</v>
      </c>
      <c r="D262" s="26"/>
      <c r="E262" s="23" t="s">
        <v>15</v>
      </c>
      <c r="F262" s="13">
        <f>SUM(F261)</f>
        <v>6134355</v>
      </c>
      <c r="G262" s="18">
        <f t="shared" si="4"/>
        <v>0</v>
      </c>
    </row>
    <row r="263" spans="1:207" s="5" customFormat="1" x14ac:dyDescent="0.25">
      <c r="A263" s="38" t="s">
        <v>22</v>
      </c>
      <c r="B263" s="39"/>
      <c r="C263" s="39"/>
      <c r="D263" s="39" t="s">
        <v>22</v>
      </c>
      <c r="E263" s="39"/>
      <c r="F263" s="39"/>
      <c r="G263" s="18"/>
    </row>
    <row r="264" spans="1:207" s="5" customFormat="1" ht="31.5" x14ac:dyDescent="0.25">
      <c r="A264" s="29" t="s">
        <v>53</v>
      </c>
      <c r="B264" s="4" t="s">
        <v>161</v>
      </c>
      <c r="C264" s="12">
        <f>536054-400000</f>
        <v>136054</v>
      </c>
      <c r="D264" s="26" t="s">
        <v>53</v>
      </c>
      <c r="E264" s="4" t="s">
        <v>161</v>
      </c>
      <c r="F264" s="12">
        <f>536054-400000</f>
        <v>136054</v>
      </c>
      <c r="G264" s="18">
        <f t="shared" si="4"/>
        <v>0</v>
      </c>
    </row>
    <row r="265" spans="1:207" s="5" customFormat="1" ht="31.5" x14ac:dyDescent="0.25">
      <c r="A265" s="29" t="s">
        <v>56</v>
      </c>
      <c r="B265" s="4" t="s">
        <v>201</v>
      </c>
      <c r="C265" s="12">
        <v>15478</v>
      </c>
      <c r="D265" s="26" t="s">
        <v>56</v>
      </c>
      <c r="E265" s="4" t="s">
        <v>201</v>
      </c>
      <c r="F265" s="12">
        <v>15478</v>
      </c>
      <c r="G265" s="18">
        <f t="shared" si="4"/>
        <v>0</v>
      </c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</row>
    <row r="266" spans="1:207" s="5" customFormat="1" x14ac:dyDescent="0.25">
      <c r="A266" s="29"/>
      <c r="B266" s="23" t="s">
        <v>15</v>
      </c>
      <c r="C266" s="13">
        <f>SUM(C264:C265)</f>
        <v>151532</v>
      </c>
      <c r="D266" s="26"/>
      <c r="E266" s="23" t="s">
        <v>15</v>
      </c>
      <c r="F266" s="13">
        <f>SUM(F264:F265)</f>
        <v>151532</v>
      </c>
      <c r="G266" s="18">
        <f t="shared" si="4"/>
        <v>0</v>
      </c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</row>
    <row r="267" spans="1:207" s="5" customFormat="1" ht="21.75" customHeight="1" x14ac:dyDescent="0.25">
      <c r="A267" s="38" t="s">
        <v>16</v>
      </c>
      <c r="B267" s="39"/>
      <c r="C267" s="39"/>
      <c r="D267" s="39" t="s">
        <v>16</v>
      </c>
      <c r="E267" s="39"/>
      <c r="F267" s="39"/>
      <c r="G267" s="18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</row>
    <row r="268" spans="1:207" s="5" customFormat="1" ht="47.25" x14ac:dyDescent="0.25">
      <c r="A268" s="29" t="s">
        <v>53</v>
      </c>
      <c r="B268" s="4" t="s">
        <v>122</v>
      </c>
      <c r="C268" s="12">
        <v>258000</v>
      </c>
      <c r="D268" s="26" t="s">
        <v>53</v>
      </c>
      <c r="E268" s="4" t="s">
        <v>122</v>
      </c>
      <c r="F268" s="12">
        <v>258000</v>
      </c>
      <c r="G268" s="18">
        <f t="shared" si="4"/>
        <v>0</v>
      </c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</row>
    <row r="269" spans="1:207" s="5" customFormat="1" x14ac:dyDescent="0.25">
      <c r="A269" s="29"/>
      <c r="B269" s="23" t="s">
        <v>15</v>
      </c>
      <c r="C269" s="13">
        <f>SUM(C268)</f>
        <v>258000</v>
      </c>
      <c r="D269" s="26"/>
      <c r="E269" s="23" t="s">
        <v>15</v>
      </c>
      <c r="F269" s="13">
        <f>SUM(F268)</f>
        <v>258000</v>
      </c>
      <c r="G269" s="18">
        <f t="shared" si="4"/>
        <v>0</v>
      </c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</row>
    <row r="270" spans="1:207" s="5" customFormat="1" ht="24.75" customHeight="1" x14ac:dyDescent="0.25">
      <c r="A270" s="38" t="s">
        <v>44</v>
      </c>
      <c r="B270" s="39"/>
      <c r="C270" s="39"/>
      <c r="D270" s="39" t="s">
        <v>44</v>
      </c>
      <c r="E270" s="39"/>
      <c r="F270" s="39"/>
      <c r="G270" s="18"/>
    </row>
    <row r="271" spans="1:207" s="5" customFormat="1" ht="31.5" x14ac:dyDescent="0.25">
      <c r="A271" s="29" t="s">
        <v>53</v>
      </c>
      <c r="B271" s="4" t="s">
        <v>123</v>
      </c>
      <c r="C271" s="12">
        <v>86700</v>
      </c>
      <c r="D271" s="26" t="s">
        <v>53</v>
      </c>
      <c r="E271" s="4" t="s">
        <v>123</v>
      </c>
      <c r="F271" s="12">
        <v>86700</v>
      </c>
      <c r="G271" s="18">
        <f t="shared" si="4"/>
        <v>0</v>
      </c>
    </row>
    <row r="272" spans="1:207" s="5" customFormat="1" x14ac:dyDescent="0.25">
      <c r="A272" s="29"/>
      <c r="B272" s="23" t="s">
        <v>15</v>
      </c>
      <c r="C272" s="13">
        <f>SUM(C271)</f>
        <v>86700</v>
      </c>
      <c r="D272" s="26"/>
      <c r="E272" s="23" t="s">
        <v>15</v>
      </c>
      <c r="F272" s="13">
        <f>SUM(F271)</f>
        <v>86700</v>
      </c>
      <c r="G272" s="18">
        <f t="shared" si="4"/>
        <v>0</v>
      </c>
    </row>
    <row r="273" spans="1:7" s="5" customFormat="1" x14ac:dyDescent="0.25">
      <c r="A273" s="29"/>
      <c r="B273" s="23" t="s">
        <v>83</v>
      </c>
      <c r="C273" s="13">
        <f>C262+C266+C269+C272</f>
        <v>6630587</v>
      </c>
      <c r="D273" s="26"/>
      <c r="E273" s="23" t="s">
        <v>83</v>
      </c>
      <c r="F273" s="13">
        <f>F262+F266+F269+F272</f>
        <v>6630587</v>
      </c>
      <c r="G273" s="18">
        <f t="shared" ref="G273" si="5">F273-C273</f>
        <v>0</v>
      </c>
    </row>
    <row r="274" spans="1:7" s="5" customFormat="1" x14ac:dyDescent="0.25">
      <c r="A274" s="29"/>
      <c r="B274" s="23" t="s">
        <v>11</v>
      </c>
      <c r="C274" s="13">
        <f>SUM(C221+C248+C253+C258+C273)</f>
        <v>110850874</v>
      </c>
      <c r="D274" s="26"/>
      <c r="E274" s="23" t="s">
        <v>11</v>
      </c>
      <c r="F274" s="13">
        <f>SUM(F221+F248+F253+F258+F273)</f>
        <v>115883323</v>
      </c>
      <c r="G274" s="21">
        <f t="shared" ref="G274:G290" si="6">F274-C274</f>
        <v>5032449</v>
      </c>
    </row>
    <row r="275" spans="1:7" s="5" customFormat="1" x14ac:dyDescent="0.25">
      <c r="A275" s="29"/>
      <c r="B275" s="23"/>
      <c r="C275" s="13"/>
      <c r="D275" s="26"/>
      <c r="E275" s="23"/>
      <c r="F275" s="13"/>
      <c r="G275" s="18"/>
    </row>
    <row r="276" spans="1:7" s="10" customFormat="1" x14ac:dyDescent="0.25">
      <c r="A276" s="38" t="s">
        <v>64</v>
      </c>
      <c r="B276" s="39"/>
      <c r="C276" s="39"/>
      <c r="D276" s="39" t="s">
        <v>64</v>
      </c>
      <c r="E276" s="39"/>
      <c r="F276" s="39"/>
      <c r="G276" s="18"/>
    </row>
    <row r="277" spans="1:7" s="10" customFormat="1" ht="47.25" x14ac:dyDescent="0.25">
      <c r="A277" s="27" t="s">
        <v>54</v>
      </c>
      <c r="B277" s="23" t="s">
        <v>162</v>
      </c>
      <c r="C277" s="13">
        <f>298330-184685</f>
        <v>113645</v>
      </c>
      <c r="D277" s="25" t="s">
        <v>54</v>
      </c>
      <c r="E277" s="23" t="s">
        <v>162</v>
      </c>
      <c r="F277" s="13">
        <f>298330-184685+125700</f>
        <v>239345</v>
      </c>
      <c r="G277" s="18">
        <f t="shared" si="6"/>
        <v>125700</v>
      </c>
    </row>
    <row r="278" spans="1:7" s="10" customFormat="1" ht="31.5" x14ac:dyDescent="0.25">
      <c r="A278" s="29"/>
      <c r="B278" s="23" t="s">
        <v>65</v>
      </c>
      <c r="C278" s="13">
        <f>SUM(C277)</f>
        <v>113645</v>
      </c>
      <c r="D278" s="26"/>
      <c r="E278" s="23" t="s">
        <v>65</v>
      </c>
      <c r="F278" s="13">
        <f>SUM(F277)</f>
        <v>239345</v>
      </c>
      <c r="G278" s="18">
        <f t="shared" si="6"/>
        <v>125700</v>
      </c>
    </row>
    <row r="279" spans="1:7" s="10" customFormat="1" x14ac:dyDescent="0.25">
      <c r="A279" s="38" t="s">
        <v>20</v>
      </c>
      <c r="B279" s="39"/>
      <c r="C279" s="16">
        <f>SUM(C280:C286)</f>
        <v>5921953</v>
      </c>
      <c r="D279" s="39" t="s">
        <v>20</v>
      </c>
      <c r="E279" s="39"/>
      <c r="F279" s="16">
        <f>SUM(F280:F286)</f>
        <v>5921953</v>
      </c>
      <c r="G279" s="18">
        <f t="shared" si="6"/>
        <v>0</v>
      </c>
    </row>
    <row r="280" spans="1:7" s="10" customFormat="1" ht="141.75" x14ac:dyDescent="0.25">
      <c r="A280" s="29" t="s">
        <v>53</v>
      </c>
      <c r="B280" s="4" t="s">
        <v>163</v>
      </c>
      <c r="C280" s="12">
        <v>195006</v>
      </c>
      <c r="D280" s="26" t="s">
        <v>53</v>
      </c>
      <c r="E280" s="4" t="s">
        <v>163</v>
      </c>
      <c r="F280" s="12">
        <v>195006</v>
      </c>
      <c r="G280" s="18">
        <f t="shared" si="6"/>
        <v>0</v>
      </c>
    </row>
    <row r="281" spans="1:7" s="10" customFormat="1" ht="31.5" x14ac:dyDescent="0.25">
      <c r="A281" s="29" t="s">
        <v>56</v>
      </c>
      <c r="B281" s="4" t="s">
        <v>112</v>
      </c>
      <c r="C281" s="12">
        <v>3952</v>
      </c>
      <c r="D281" s="26" t="s">
        <v>56</v>
      </c>
      <c r="E281" s="4" t="s">
        <v>112</v>
      </c>
      <c r="F281" s="12">
        <v>3952</v>
      </c>
      <c r="G281" s="18">
        <f t="shared" si="6"/>
        <v>0</v>
      </c>
    </row>
    <row r="282" spans="1:7" s="10" customFormat="1" ht="63" x14ac:dyDescent="0.25">
      <c r="A282" s="29" t="s">
        <v>58</v>
      </c>
      <c r="B282" s="4" t="s">
        <v>113</v>
      </c>
      <c r="C282" s="12">
        <v>14104</v>
      </c>
      <c r="D282" s="26" t="s">
        <v>58</v>
      </c>
      <c r="E282" s="4" t="s">
        <v>113</v>
      </c>
      <c r="F282" s="12">
        <v>14104</v>
      </c>
      <c r="G282" s="18">
        <f t="shared" si="6"/>
        <v>0</v>
      </c>
    </row>
    <row r="283" spans="1:7" s="5" customFormat="1" ht="31.5" x14ac:dyDescent="0.25">
      <c r="A283" s="29" t="s">
        <v>54</v>
      </c>
      <c r="B283" s="4" t="s">
        <v>114</v>
      </c>
      <c r="C283" s="12">
        <v>528202</v>
      </c>
      <c r="D283" s="26" t="s">
        <v>54</v>
      </c>
      <c r="E283" s="4" t="s">
        <v>114</v>
      </c>
      <c r="F283" s="12">
        <v>528202</v>
      </c>
      <c r="G283" s="18">
        <f t="shared" si="6"/>
        <v>0</v>
      </c>
    </row>
    <row r="284" spans="1:7" s="10" customFormat="1" ht="63" x14ac:dyDescent="0.25">
      <c r="A284" s="29" t="s">
        <v>57</v>
      </c>
      <c r="B284" s="4" t="s">
        <v>115</v>
      </c>
      <c r="C284" s="12">
        <v>363852</v>
      </c>
      <c r="D284" s="26" t="s">
        <v>57</v>
      </c>
      <c r="E284" s="4" t="s">
        <v>115</v>
      </c>
      <c r="F284" s="12">
        <v>363852</v>
      </c>
      <c r="G284" s="18">
        <f t="shared" si="6"/>
        <v>0</v>
      </c>
    </row>
    <row r="285" spans="1:7" ht="31.5" x14ac:dyDescent="0.25">
      <c r="A285" s="29" t="s">
        <v>59</v>
      </c>
      <c r="B285" s="4" t="s">
        <v>202</v>
      </c>
      <c r="C285" s="12">
        <v>1223324</v>
      </c>
      <c r="D285" s="26" t="s">
        <v>59</v>
      </c>
      <c r="E285" s="4" t="s">
        <v>202</v>
      </c>
      <c r="F285" s="12">
        <v>1223324</v>
      </c>
      <c r="G285" s="18">
        <f t="shared" si="6"/>
        <v>0</v>
      </c>
    </row>
    <row r="286" spans="1:7" ht="47.25" x14ac:dyDescent="0.25">
      <c r="A286" s="29" t="s">
        <v>61</v>
      </c>
      <c r="B286" s="4" t="s">
        <v>116</v>
      </c>
      <c r="C286" s="12">
        <v>3593513</v>
      </c>
      <c r="D286" s="26" t="s">
        <v>61</v>
      </c>
      <c r="E286" s="4" t="s">
        <v>116</v>
      </c>
      <c r="F286" s="12">
        <v>3593513</v>
      </c>
      <c r="G286" s="18">
        <f t="shared" si="6"/>
        <v>0</v>
      </c>
    </row>
    <row r="287" spans="1:7" ht="40.5" customHeight="1" x14ac:dyDescent="0.25">
      <c r="A287" s="36" t="s">
        <v>124</v>
      </c>
      <c r="B287" s="37"/>
      <c r="C287" s="13">
        <f>C143+C274+C278+C279</f>
        <v>195113946</v>
      </c>
      <c r="D287" s="37" t="s">
        <v>124</v>
      </c>
      <c r="E287" s="37"/>
      <c r="F287" s="13">
        <f>F143+F274+F278+F279</f>
        <v>220089600</v>
      </c>
      <c r="G287" s="18">
        <f t="shared" si="6"/>
        <v>24975654</v>
      </c>
    </row>
    <row r="288" spans="1:7" ht="42" customHeight="1" x14ac:dyDescent="0.25">
      <c r="A288" s="36" t="s">
        <v>110</v>
      </c>
      <c r="B288" s="37"/>
      <c r="C288" s="16">
        <v>36984234</v>
      </c>
      <c r="D288" s="37" t="s">
        <v>110</v>
      </c>
      <c r="E288" s="37"/>
      <c r="F288" s="16">
        <v>821034</v>
      </c>
      <c r="G288" s="18">
        <f>F288-C288</f>
        <v>-36163200</v>
      </c>
    </row>
    <row r="289" spans="1:7" ht="25.5" customHeight="1" x14ac:dyDescent="0.25">
      <c r="A289" s="38" t="s">
        <v>128</v>
      </c>
      <c r="B289" s="39"/>
      <c r="C289" s="39"/>
      <c r="D289" s="39" t="s">
        <v>128</v>
      </c>
      <c r="E289" s="39"/>
      <c r="F289" s="39"/>
      <c r="G289" s="18">
        <f t="shared" si="6"/>
        <v>0</v>
      </c>
    </row>
    <row r="290" spans="1:7" ht="28.5" customHeight="1" x14ac:dyDescent="0.25">
      <c r="A290" s="36" t="s">
        <v>125</v>
      </c>
      <c r="B290" s="37"/>
      <c r="C290" s="13">
        <v>113000000</v>
      </c>
      <c r="D290" s="37" t="s">
        <v>125</v>
      </c>
      <c r="E290" s="37"/>
      <c r="F290" s="13">
        <f>113000000-46289431</f>
        <v>66710569</v>
      </c>
      <c r="G290" s="18">
        <f t="shared" si="6"/>
        <v>-46289431</v>
      </c>
    </row>
    <row r="291" spans="1:7" ht="79.5" customHeight="1" x14ac:dyDescent="0.25">
      <c r="A291" s="36" t="s">
        <v>203</v>
      </c>
      <c r="B291" s="37"/>
      <c r="C291" s="16">
        <v>373061</v>
      </c>
      <c r="D291" s="37" t="s">
        <v>231</v>
      </c>
      <c r="E291" s="37"/>
      <c r="F291" s="16">
        <v>373061</v>
      </c>
      <c r="G291" s="18">
        <f>F291-C291</f>
        <v>0</v>
      </c>
    </row>
    <row r="292" spans="1:7" ht="69.75" customHeight="1" thickBot="1" x14ac:dyDescent="0.3">
      <c r="A292" s="31" t="s">
        <v>237</v>
      </c>
      <c r="B292" s="32"/>
      <c r="C292" s="19"/>
      <c r="D292" s="35" t="s">
        <v>238</v>
      </c>
      <c r="E292" s="32"/>
      <c r="F292" s="19">
        <f>6187546+44289431</f>
        <v>50476977</v>
      </c>
      <c r="G292" s="20">
        <f>F292-C292</f>
        <v>50476977</v>
      </c>
    </row>
    <row r="293" spans="1:7" ht="69.75" customHeight="1" thickBot="1" x14ac:dyDescent="0.3">
      <c r="A293" s="31" t="s">
        <v>237</v>
      </c>
      <c r="B293" s="32"/>
      <c r="C293" s="19"/>
      <c r="D293" s="33" t="s">
        <v>239</v>
      </c>
      <c r="E293" s="34"/>
      <c r="F293" s="19">
        <v>7000000</v>
      </c>
      <c r="G293" s="20">
        <f>F293-C293</f>
        <v>7000000</v>
      </c>
    </row>
    <row r="294" spans="1:7" x14ac:dyDescent="0.25">
      <c r="B294" s="1" t="s">
        <v>129</v>
      </c>
      <c r="E294" s="1" t="s">
        <v>129</v>
      </c>
    </row>
  </sheetData>
  <mergeCells count="159">
    <mergeCell ref="G7:G8"/>
    <mergeCell ref="A5:F5"/>
    <mergeCell ref="D290:E290"/>
    <mergeCell ref="D291:E291"/>
    <mergeCell ref="D276:F276"/>
    <mergeCell ref="D279:E279"/>
    <mergeCell ref="D287:E287"/>
    <mergeCell ref="D288:E288"/>
    <mergeCell ref="D289:F289"/>
    <mergeCell ref="D259:F259"/>
    <mergeCell ref="D260:F260"/>
    <mergeCell ref="D263:F263"/>
    <mergeCell ref="D267:F267"/>
    <mergeCell ref="D270:F270"/>
    <mergeCell ref="D245:F245"/>
    <mergeCell ref="D249:F249"/>
    <mergeCell ref="E250:F250"/>
    <mergeCell ref="D254:F254"/>
    <mergeCell ref="D255:F255"/>
    <mergeCell ref="D226:F226"/>
    <mergeCell ref="D230:F230"/>
    <mergeCell ref="D235:F235"/>
    <mergeCell ref="D239:F239"/>
    <mergeCell ref="D242:F242"/>
    <mergeCell ref="D207:F207"/>
    <mergeCell ref="D215:F215"/>
    <mergeCell ref="D218:F218"/>
    <mergeCell ref="D222:F222"/>
    <mergeCell ref="D223:F223"/>
    <mergeCell ref="D174:F174"/>
    <mergeCell ref="D182:F182"/>
    <mergeCell ref="D191:F191"/>
    <mergeCell ref="D196:F196"/>
    <mergeCell ref="D201:F201"/>
    <mergeCell ref="D147:F147"/>
    <mergeCell ref="D154:F154"/>
    <mergeCell ref="D134:F134"/>
    <mergeCell ref="D158:F158"/>
    <mergeCell ref="D165:F165"/>
    <mergeCell ref="D171:F171"/>
    <mergeCell ref="D138:F138"/>
    <mergeCell ref="D139:F139"/>
    <mergeCell ref="D144:F144"/>
    <mergeCell ref="D145:F145"/>
    <mergeCell ref="D146:F146"/>
    <mergeCell ref="D122:F122"/>
    <mergeCell ref="D126:F126"/>
    <mergeCell ref="D127:F127"/>
    <mergeCell ref="D131:F131"/>
    <mergeCell ref="D103:F103"/>
    <mergeCell ref="D104:F104"/>
    <mergeCell ref="D107:F107"/>
    <mergeCell ref="D110:F110"/>
    <mergeCell ref="D113:F113"/>
    <mergeCell ref="D40:F40"/>
    <mergeCell ref="D46:F46"/>
    <mergeCell ref="D55:F55"/>
    <mergeCell ref="D58:F58"/>
    <mergeCell ref="D119:F119"/>
    <mergeCell ref="D86:F86"/>
    <mergeCell ref="A46:C46"/>
    <mergeCell ref="A58:C58"/>
    <mergeCell ref="A64:C64"/>
    <mergeCell ref="A110:C110"/>
    <mergeCell ref="A146:C146"/>
    <mergeCell ref="A7:C7"/>
    <mergeCell ref="A25:C25"/>
    <mergeCell ref="A10:B10"/>
    <mergeCell ref="A138:C138"/>
    <mergeCell ref="A139:C139"/>
    <mergeCell ref="A144:C144"/>
    <mergeCell ref="A145:C145"/>
    <mergeCell ref="A122:C122"/>
    <mergeCell ref="A55:C55"/>
    <mergeCell ref="A131:C131"/>
    <mergeCell ref="A75:C75"/>
    <mergeCell ref="A79:C79"/>
    <mergeCell ref="A86:C86"/>
    <mergeCell ref="A17:C17"/>
    <mergeCell ref="A18:B18"/>
    <mergeCell ref="A19:C19"/>
    <mergeCell ref="A20:C20"/>
    <mergeCell ref="A21:C21"/>
    <mergeCell ref="A107:C107"/>
    <mergeCell ref="A33:C33"/>
    <mergeCell ref="A40:C40"/>
    <mergeCell ref="A28:C28"/>
    <mergeCell ref="E1:F1"/>
    <mergeCell ref="E2:F2"/>
    <mergeCell ref="E3:F3"/>
    <mergeCell ref="D7:F7"/>
    <mergeCell ref="A97:C97"/>
    <mergeCell ref="A103:C103"/>
    <mergeCell ref="D20:F20"/>
    <mergeCell ref="D21:F21"/>
    <mergeCell ref="D25:F25"/>
    <mergeCell ref="D28:F28"/>
    <mergeCell ref="D32:F32"/>
    <mergeCell ref="B1:C1"/>
    <mergeCell ref="D10:E10"/>
    <mergeCell ref="D15:E15"/>
    <mergeCell ref="D17:F17"/>
    <mergeCell ref="D18:E18"/>
    <mergeCell ref="D19:F19"/>
    <mergeCell ref="D64:F64"/>
    <mergeCell ref="D75:F75"/>
    <mergeCell ref="D79:F79"/>
    <mergeCell ref="A15:B15"/>
    <mergeCell ref="A32:C32"/>
    <mergeCell ref="D97:F97"/>
    <mergeCell ref="D33:F33"/>
    <mergeCell ref="B250:C250"/>
    <mergeCell ref="A239:C239"/>
    <mergeCell ref="A242:C242"/>
    <mergeCell ref="A235:C235"/>
    <mergeCell ref="A249:C249"/>
    <mergeCell ref="A191:C191"/>
    <mergeCell ref="B2:C2"/>
    <mergeCell ref="B3:C3"/>
    <mergeCell ref="A158:C158"/>
    <mergeCell ref="A174:C174"/>
    <mergeCell ref="A147:C147"/>
    <mergeCell ref="A126:C126"/>
    <mergeCell ref="A127:C127"/>
    <mergeCell ref="A113:C113"/>
    <mergeCell ref="A154:C154"/>
    <mergeCell ref="A165:C165"/>
    <mergeCell ref="A119:C119"/>
    <mergeCell ref="A196:C196"/>
    <mergeCell ref="A201:C201"/>
    <mergeCell ref="A222:C222"/>
    <mergeCell ref="A226:C226"/>
    <mergeCell ref="A223:C223"/>
    <mergeCell ref="A218:C218"/>
    <mergeCell ref="A104:C104"/>
    <mergeCell ref="A293:B293"/>
    <mergeCell ref="D293:E293"/>
    <mergeCell ref="D292:E292"/>
    <mergeCell ref="A292:B292"/>
    <mergeCell ref="A291:B291"/>
    <mergeCell ref="A171:C171"/>
    <mergeCell ref="A182:C182"/>
    <mergeCell ref="A230:C230"/>
    <mergeCell ref="A245:C245"/>
    <mergeCell ref="A263:C263"/>
    <mergeCell ref="A288:B288"/>
    <mergeCell ref="A279:B279"/>
    <mergeCell ref="A276:C276"/>
    <mergeCell ref="A254:C254"/>
    <mergeCell ref="A255:C255"/>
    <mergeCell ref="A290:B290"/>
    <mergeCell ref="A287:B287"/>
    <mergeCell ref="A289:C289"/>
    <mergeCell ref="A207:C207"/>
    <mergeCell ref="A215:C215"/>
    <mergeCell ref="A270:C270"/>
    <mergeCell ref="A259:C259"/>
    <mergeCell ref="A260:C260"/>
    <mergeCell ref="A267:C267"/>
  </mergeCells>
  <phoneticPr fontId="1" type="noConversion"/>
  <pageMargins left="0.55118110236220474" right="0" top="0.59055118110236227" bottom="0" header="0" footer="0"/>
  <pageSetup paperSize="9" scale="62" firstPageNumber="182" fitToHeight="32" orientation="landscape" useFirstPageNumber="1" r:id="rId1"/>
  <headerFooter>
    <oddHeader>&amp;C&amp;P</oddHeader>
  </headerFooter>
  <rowBreaks count="7" manualBreakCount="7">
    <brk id="37" max="6" man="1"/>
    <brk id="57" max="6" man="1"/>
    <brk id="85" max="6" man="1"/>
    <brk id="173" max="6" man="1"/>
    <brk id="200" max="6" man="1"/>
    <brk id="229" max="6" man="1"/>
    <brk id="2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2.2 </vt:lpstr>
      <vt:lpstr>'Приложение № 2.2 '!Заголовки_для_печати</vt:lpstr>
      <vt:lpstr>'Приложение № 2.2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Кудрова А.А.</cp:lastModifiedBy>
  <cp:lastPrinted>2022-09-23T08:47:31Z</cp:lastPrinted>
  <dcterms:created xsi:type="dcterms:W3CDTF">2019-12-13T13:54:36Z</dcterms:created>
  <dcterms:modified xsi:type="dcterms:W3CDTF">2022-09-23T08:47:40Z</dcterms:modified>
</cp:coreProperties>
</file>