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576"/>
  </bookViews>
  <sheets>
    <sheet name="Приложение № 1 " sheetId="1" r:id="rId1"/>
  </sheets>
  <definedNames>
    <definedName name="_xlnm.Print_Titles" localSheetId="0">'Приложение № 1 '!$13:$13</definedName>
    <definedName name="_xlnm.Print_Area" localSheetId="0">'Приложение № 1 '!$A$1:$K$82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71" i="1"/>
  <c r="K71" i="1" s="1"/>
  <c r="C17" i="1"/>
  <c r="D17" i="1"/>
  <c r="F17" i="1"/>
  <c r="F18" i="1"/>
  <c r="K18" i="1" s="1"/>
  <c r="K19" i="1"/>
  <c r="C20" i="1"/>
  <c r="D20" i="1"/>
  <c r="F20" i="1"/>
  <c r="C21" i="1"/>
  <c r="D21" i="1"/>
  <c r="F21" i="1"/>
  <c r="C22" i="1"/>
  <c r="D22" i="1"/>
  <c r="F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6" i="1"/>
  <c r="D26" i="1"/>
  <c r="E26" i="1"/>
  <c r="F26" i="1"/>
  <c r="G26" i="1"/>
  <c r="H26" i="1"/>
  <c r="I26" i="1"/>
  <c r="J26" i="1"/>
  <c r="K27" i="1"/>
  <c r="K28" i="1"/>
  <c r="K29" i="1"/>
  <c r="K30" i="1"/>
  <c r="C32" i="1"/>
  <c r="E32" i="1"/>
  <c r="C33" i="1"/>
  <c r="D33" i="1"/>
  <c r="E33" i="1"/>
  <c r="F33" i="1"/>
  <c r="G33" i="1"/>
  <c r="H33" i="1"/>
  <c r="I33" i="1"/>
  <c r="J33" i="1"/>
  <c r="K34" i="1"/>
  <c r="K35" i="1"/>
  <c r="C36" i="1"/>
  <c r="E36" i="1"/>
  <c r="K36" i="1" s="1"/>
  <c r="K37" i="1"/>
  <c r="K38" i="1"/>
  <c r="K39" i="1"/>
  <c r="D41" i="1"/>
  <c r="E41" i="1"/>
  <c r="F41" i="1"/>
  <c r="G41" i="1"/>
  <c r="H41" i="1"/>
  <c r="I41" i="1"/>
  <c r="J41" i="1"/>
  <c r="C41" i="1"/>
  <c r="C45" i="1"/>
  <c r="C44" i="1" s="1"/>
  <c r="D45" i="1"/>
  <c r="D44" i="1" s="1"/>
  <c r="E45" i="1"/>
  <c r="E44" i="1" s="1"/>
  <c r="F45" i="1"/>
  <c r="F44" i="1" s="1"/>
  <c r="G45" i="1"/>
  <c r="G44" i="1" s="1"/>
  <c r="H45" i="1"/>
  <c r="H44" i="1" s="1"/>
  <c r="I45" i="1"/>
  <c r="I44" i="1" s="1"/>
  <c r="J45" i="1"/>
  <c r="J44" i="1" s="1"/>
  <c r="D47" i="1"/>
  <c r="E47" i="1"/>
  <c r="G47" i="1"/>
  <c r="H47" i="1"/>
  <c r="I47" i="1"/>
  <c r="J47" i="1"/>
  <c r="C48" i="1"/>
  <c r="F48" i="1"/>
  <c r="F47" i="1" s="1"/>
  <c r="K49" i="1"/>
  <c r="F50" i="1"/>
  <c r="K50" i="1"/>
  <c r="K51" i="1"/>
  <c r="K52" i="1"/>
  <c r="K53" i="1"/>
  <c r="C54" i="1"/>
  <c r="K54" i="1" s="1"/>
  <c r="C56" i="1"/>
  <c r="K56" i="1" s="1"/>
  <c r="C57" i="1"/>
  <c r="K57" i="1" s="1"/>
  <c r="K59" i="1"/>
  <c r="C61" i="1"/>
  <c r="K61" i="1" s="1"/>
  <c r="D63" i="1"/>
  <c r="E63" i="1"/>
  <c r="G63" i="1"/>
  <c r="H63" i="1"/>
  <c r="I63" i="1"/>
  <c r="J63" i="1"/>
  <c r="C64" i="1"/>
  <c r="F64" i="1"/>
  <c r="F63" i="1" s="1"/>
  <c r="F65" i="1"/>
  <c r="K65" i="1" s="1"/>
  <c r="K67" i="1"/>
  <c r="K69" i="1"/>
  <c r="C73" i="1"/>
  <c r="K73" i="1" s="1"/>
  <c r="C75" i="1"/>
  <c r="K75" i="1" s="1"/>
  <c r="C77" i="1"/>
  <c r="K77" i="1" s="1"/>
  <c r="C79" i="1"/>
  <c r="K79" i="1" s="1"/>
  <c r="C81" i="1"/>
  <c r="D81" i="1"/>
  <c r="E81" i="1"/>
  <c r="K24" i="1" l="1"/>
  <c r="K64" i="1"/>
  <c r="K45" i="1"/>
  <c r="K81" i="1"/>
  <c r="K22" i="1"/>
  <c r="K20" i="1"/>
  <c r="D15" i="1"/>
  <c r="K32" i="1"/>
  <c r="K21" i="1"/>
  <c r="C63" i="1"/>
  <c r="K63" i="1" s="1"/>
  <c r="I15" i="1"/>
  <c r="G15" i="1"/>
  <c r="E15" i="1"/>
  <c r="K26" i="1"/>
  <c r="K48" i="1"/>
  <c r="C47" i="1"/>
  <c r="K47" i="1" s="1"/>
  <c r="K41" i="1"/>
  <c r="K33" i="1"/>
  <c r="J15" i="1"/>
  <c r="H15" i="1"/>
  <c r="H14" i="1" s="1"/>
  <c r="H82" i="1" s="1"/>
  <c r="K23" i="1"/>
  <c r="F15" i="1"/>
  <c r="F14" i="1" s="1"/>
  <c r="F82" i="1" s="1"/>
  <c r="C15" i="1"/>
  <c r="K44" i="1"/>
  <c r="I14" i="1"/>
  <c r="I82" i="1" s="1"/>
  <c r="G14" i="1"/>
  <c r="G82" i="1" s="1"/>
  <c r="E14" i="1"/>
  <c r="E82" i="1" s="1"/>
  <c r="D14" i="1"/>
  <c r="D82" i="1" s="1"/>
  <c r="J14" i="1"/>
  <c r="J82" i="1" s="1"/>
  <c r="C14" i="1"/>
  <c r="K17" i="1"/>
  <c r="K42" i="1"/>
  <c r="K15" i="1" l="1"/>
  <c r="K14" i="1"/>
  <c r="K82" i="1" s="1"/>
  <c r="C82" i="1"/>
</calcChain>
</file>

<file path=xl/sharedStrings.xml><?xml version="1.0" encoding="utf-8"?>
<sst xmlns="http://schemas.openxmlformats.org/spreadsheetml/2006/main" count="74" uniqueCount="72">
  <si>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</si>
  <si>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</si>
  <si>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</si>
  <si>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</si>
  <si>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</si>
  <si>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</si>
  <si>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</si>
  <si>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</si>
  <si>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</si>
  <si>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</si>
  <si>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</si>
  <si>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</si>
  <si>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</si>
  <si>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</si>
  <si>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</si>
  <si>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</si>
  <si>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</si>
  <si>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</si>
  <si>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</si>
  <si>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</si>
  <si>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</si>
  <si>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</si>
  <si>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</si>
  <si>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</si>
  <si>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</si>
  <si>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</si>
  <si>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</si>
  <si>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</si>
  <si>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</si>
  <si>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</si>
  <si>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</si>
  <si>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</si>
  <si>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</si>
  <si>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</si>
  <si>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</si>
  <si>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</si>
  <si>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</si>
  <si>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</si>
  <si>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</si>
  <si>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</si>
  <si>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</si>
  <si>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</si>
  <si>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</si>
  <si>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</si>
  <si>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</si>
  <si>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</si>
  <si>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</si>
  <si>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</si>
  <si>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</si>
  <si>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</si>
  <si>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</si>
  <si>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</si>
  <si>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</si>
  <si>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</si>
  <si>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</si>
  <si>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</si>
  <si>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</si>
  <si>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</si>
  <si>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</si>
  <si>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</si>
  <si>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</si>
  <si>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</si>
  <si>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</si>
  <si>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</si>
  <si>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</si>
  <si>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Отчисления средств от налога на доходы на цели пенсионного страхования (обеспечения) </t>
  </si>
  <si>
    <t>"О республиканском бюджете на 2024 год"</t>
  </si>
  <si>
    <t>Доходы республиканского бюджета в разрезе основных видов налоговых, неналоговых и иных обязательных платежей на 2024 год</t>
  </si>
  <si>
    <t>"О внесении изменений и дополнений</t>
  </si>
  <si>
    <t>в Закон Приднестровской Молдавской Республики</t>
  </si>
  <si>
    <t>".</t>
  </si>
  <si>
    <r>
      <rPr>
        <sz val="12"/>
        <rFont val="Times New Roman"/>
        <family val="1"/>
        <charset val="204"/>
      </rPr>
      <t>"При</t>
    </r>
    <r>
      <rPr>
        <sz val="12"/>
        <color theme="1"/>
        <rFont val="Times New Roman"/>
        <family val="1"/>
        <charset val="204"/>
      </rPr>
      <t>ложение №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</si>
</sst>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78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5" fontId="2" fillId="4" borderId="8" xfId="1" applyNumberFormat="1" applyFont="1" applyFill="1" applyBorder="1" applyAlignment="1">
      <alignment horizontal="center" vertical="center"/>
    </xf>
    <xf numFmtId="165" fontId="2" fillId="4" borderId="9" xfId="1" applyNumberFormat="1" applyFont="1" applyFill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165" fontId="6" fillId="2" borderId="11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3" fillId="2" borderId="0" xfId="0" applyNumberFormat="1" applyFont="1" applyFill="1" applyAlignment="1">
      <alignment horizontal="right" vertical="center"/>
    </xf>
    <xf numFmtId="165" fontId="3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right" vertical="center"/>
    </xf>
    <xf numFmtId="165" fontId="3" fillId="2" borderId="3" xfId="1" applyNumberFormat="1" applyFont="1" applyFill="1" applyBorder="1" applyAlignment="1">
      <alignment horizontal="right" vertical="center"/>
    </xf>
    <xf numFmtId="165" fontId="6" fillId="2" borderId="3" xfId="1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view="pageBreakPreview" zoomScaleNormal="90" zoomScaleSheetLayoutView="100" workbookViewId="0">
      <pane xSplit="2" ySplit="13" topLeftCell="C81" activePane="bottomRight" state="frozen"/>
      <selection pane="topRight" activeCell="C1" sqref="C1"/>
      <selection pane="bottomLeft" activeCell="A10" sqref="A10"/>
      <selection pane="bottomRight" activeCell="E13" sqref="E13"/>
    </sheetView>
  </sheetViews>
  <sheetFormatPr defaultColWidth="58.33203125" defaultRowHeight="15.6" x14ac:dyDescent="0.3"/>
  <cols>
    <col min="1" max="1" width="10.109375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6640625" style="13" bestFit="1" customWidth="1"/>
    <col min="11" max="11" width="15.6640625" style="13" bestFit="1" customWidth="1"/>
    <col min="12" max="44" width="12.109375" style="13" customWidth="1"/>
    <col min="45" max="108" width="58.33203125" style="13"/>
    <col min="109" max="109" width="9" style="13" customWidth="1"/>
    <col min="110" max="110" width="60.33203125" style="13" customWidth="1"/>
    <col min="111" max="111" width="15.6640625" style="13" bestFit="1" customWidth="1"/>
    <col min="112" max="112" width="14.109375" style="13" bestFit="1" customWidth="1"/>
    <col min="113" max="113" width="14.109375" style="13" customWidth="1"/>
    <col min="114" max="114" width="14.109375" style="13" bestFit="1" customWidth="1"/>
    <col min="115" max="116" width="13.109375" style="13" bestFit="1" customWidth="1"/>
    <col min="117" max="117" width="14" style="13" customWidth="1"/>
    <col min="118" max="118" width="13.109375" style="13" customWidth="1"/>
    <col min="119" max="119" width="16.44140625" style="13" customWidth="1"/>
    <col min="120" max="120" width="18.5546875" style="13" customWidth="1"/>
    <col min="121" max="121" width="8.109375" style="13" bestFit="1" customWidth="1"/>
    <col min="122" max="364" width="58.33203125" style="13"/>
    <col min="365" max="365" width="9" style="13" customWidth="1"/>
    <col min="366" max="366" width="60.33203125" style="13" customWidth="1"/>
    <col min="367" max="367" width="15.6640625" style="13" bestFit="1" customWidth="1"/>
    <col min="368" max="368" width="14.109375" style="13" bestFit="1" customWidth="1"/>
    <col min="369" max="369" width="14.109375" style="13" customWidth="1"/>
    <col min="370" max="370" width="14.109375" style="13" bestFit="1" customWidth="1"/>
    <col min="371" max="372" width="13.109375" style="13" bestFit="1" customWidth="1"/>
    <col min="373" max="373" width="14" style="13" customWidth="1"/>
    <col min="374" max="374" width="13.109375" style="13" customWidth="1"/>
    <col min="375" max="375" width="16.44140625" style="13" customWidth="1"/>
    <col min="376" max="376" width="18.5546875" style="13" customWidth="1"/>
    <col min="377" max="377" width="8.109375" style="13" bestFit="1" customWidth="1"/>
    <col min="378" max="620" width="58.33203125" style="13"/>
    <col min="621" max="621" width="9" style="13" customWidth="1"/>
    <col min="622" max="622" width="60.33203125" style="13" customWidth="1"/>
    <col min="623" max="623" width="15.6640625" style="13" bestFit="1" customWidth="1"/>
    <col min="624" max="624" width="14.109375" style="13" bestFit="1" customWidth="1"/>
    <col min="625" max="625" width="14.109375" style="13" customWidth="1"/>
    <col min="626" max="626" width="14.109375" style="13" bestFit="1" customWidth="1"/>
    <col min="627" max="628" width="13.109375" style="13" bestFit="1" customWidth="1"/>
    <col min="629" max="629" width="14" style="13" customWidth="1"/>
    <col min="630" max="630" width="13.109375" style="13" customWidth="1"/>
    <col min="631" max="631" width="16.44140625" style="13" customWidth="1"/>
    <col min="632" max="632" width="18.5546875" style="13" customWidth="1"/>
    <col min="633" max="633" width="8.109375" style="13" bestFit="1" customWidth="1"/>
    <col min="634" max="876" width="58.33203125" style="13"/>
    <col min="877" max="877" width="9" style="13" customWidth="1"/>
    <col min="878" max="878" width="60.33203125" style="13" customWidth="1"/>
    <col min="879" max="879" width="15.6640625" style="13" bestFit="1" customWidth="1"/>
    <col min="880" max="880" width="14.109375" style="13" bestFit="1" customWidth="1"/>
    <col min="881" max="881" width="14.109375" style="13" customWidth="1"/>
    <col min="882" max="882" width="14.109375" style="13" bestFit="1" customWidth="1"/>
    <col min="883" max="884" width="13.109375" style="13" bestFit="1" customWidth="1"/>
    <col min="885" max="885" width="14" style="13" customWidth="1"/>
    <col min="886" max="886" width="13.109375" style="13" customWidth="1"/>
    <col min="887" max="887" width="16.44140625" style="13" customWidth="1"/>
    <col min="888" max="888" width="18.5546875" style="13" customWidth="1"/>
    <col min="889" max="889" width="8.109375" style="13" bestFit="1" customWidth="1"/>
    <col min="890" max="1132" width="58.33203125" style="13"/>
    <col min="1133" max="1133" width="9" style="13" customWidth="1"/>
    <col min="1134" max="1134" width="60.33203125" style="13" customWidth="1"/>
    <col min="1135" max="1135" width="15.6640625" style="13" bestFit="1" customWidth="1"/>
    <col min="1136" max="1136" width="14.109375" style="13" bestFit="1" customWidth="1"/>
    <col min="1137" max="1137" width="14.109375" style="13" customWidth="1"/>
    <col min="1138" max="1138" width="14.109375" style="13" bestFit="1" customWidth="1"/>
    <col min="1139" max="1140" width="13.109375" style="13" bestFit="1" customWidth="1"/>
    <col min="1141" max="1141" width="14" style="13" customWidth="1"/>
    <col min="1142" max="1142" width="13.109375" style="13" customWidth="1"/>
    <col min="1143" max="1143" width="16.44140625" style="13" customWidth="1"/>
    <col min="1144" max="1144" width="18.5546875" style="13" customWidth="1"/>
    <col min="1145" max="1145" width="8.109375" style="13" bestFit="1" customWidth="1"/>
    <col min="1146" max="1388" width="58.33203125" style="13"/>
    <col min="1389" max="1389" width="9" style="13" customWidth="1"/>
    <col min="1390" max="1390" width="60.33203125" style="13" customWidth="1"/>
    <col min="1391" max="1391" width="15.6640625" style="13" bestFit="1" customWidth="1"/>
    <col min="1392" max="1392" width="14.109375" style="13" bestFit="1" customWidth="1"/>
    <col min="1393" max="1393" width="14.109375" style="13" customWidth="1"/>
    <col min="1394" max="1394" width="14.109375" style="13" bestFit="1" customWidth="1"/>
    <col min="1395" max="1396" width="13.109375" style="13" bestFit="1" customWidth="1"/>
    <col min="1397" max="1397" width="14" style="13" customWidth="1"/>
    <col min="1398" max="1398" width="13.109375" style="13" customWidth="1"/>
    <col min="1399" max="1399" width="16.44140625" style="13" customWidth="1"/>
    <col min="1400" max="1400" width="18.5546875" style="13" customWidth="1"/>
    <col min="1401" max="1401" width="8.109375" style="13" bestFit="1" customWidth="1"/>
    <col min="1402" max="1644" width="58.33203125" style="13"/>
    <col min="1645" max="1645" width="9" style="13" customWidth="1"/>
    <col min="1646" max="1646" width="60.33203125" style="13" customWidth="1"/>
    <col min="1647" max="1647" width="15.6640625" style="13" bestFit="1" customWidth="1"/>
    <col min="1648" max="1648" width="14.109375" style="13" bestFit="1" customWidth="1"/>
    <col min="1649" max="1649" width="14.109375" style="13" customWidth="1"/>
    <col min="1650" max="1650" width="14.109375" style="13" bestFit="1" customWidth="1"/>
    <col min="1651" max="1652" width="13.109375" style="13" bestFit="1" customWidth="1"/>
    <col min="1653" max="1653" width="14" style="13" customWidth="1"/>
    <col min="1654" max="1654" width="13.109375" style="13" customWidth="1"/>
    <col min="1655" max="1655" width="16.44140625" style="13" customWidth="1"/>
    <col min="1656" max="1656" width="18.5546875" style="13" customWidth="1"/>
    <col min="1657" max="1657" width="8.109375" style="13" bestFit="1" customWidth="1"/>
    <col min="1658" max="1900" width="58.33203125" style="13"/>
    <col min="1901" max="1901" width="9" style="13" customWidth="1"/>
    <col min="1902" max="1902" width="60.33203125" style="13" customWidth="1"/>
    <col min="1903" max="1903" width="15.6640625" style="13" bestFit="1" customWidth="1"/>
    <col min="1904" max="1904" width="14.109375" style="13" bestFit="1" customWidth="1"/>
    <col min="1905" max="1905" width="14.109375" style="13" customWidth="1"/>
    <col min="1906" max="1906" width="14.109375" style="13" bestFit="1" customWidth="1"/>
    <col min="1907" max="1908" width="13.109375" style="13" bestFit="1" customWidth="1"/>
    <col min="1909" max="1909" width="14" style="13" customWidth="1"/>
    <col min="1910" max="1910" width="13.109375" style="13" customWidth="1"/>
    <col min="1911" max="1911" width="16.44140625" style="13" customWidth="1"/>
    <col min="1912" max="1912" width="18.5546875" style="13" customWidth="1"/>
    <col min="1913" max="1913" width="8.109375" style="13" bestFit="1" customWidth="1"/>
    <col min="1914" max="2156" width="58.33203125" style="13"/>
    <col min="2157" max="2157" width="9" style="13" customWidth="1"/>
    <col min="2158" max="2158" width="60.33203125" style="13" customWidth="1"/>
    <col min="2159" max="2159" width="15.6640625" style="13" bestFit="1" customWidth="1"/>
    <col min="2160" max="2160" width="14.109375" style="13" bestFit="1" customWidth="1"/>
    <col min="2161" max="2161" width="14.109375" style="13" customWidth="1"/>
    <col min="2162" max="2162" width="14.109375" style="13" bestFit="1" customWidth="1"/>
    <col min="2163" max="2164" width="13.109375" style="13" bestFit="1" customWidth="1"/>
    <col min="2165" max="2165" width="14" style="13" customWidth="1"/>
    <col min="2166" max="2166" width="13.109375" style="13" customWidth="1"/>
    <col min="2167" max="2167" width="16.44140625" style="13" customWidth="1"/>
    <col min="2168" max="2168" width="18.5546875" style="13" customWidth="1"/>
    <col min="2169" max="2169" width="8.109375" style="13" bestFit="1" customWidth="1"/>
    <col min="2170" max="2412" width="58.33203125" style="13"/>
    <col min="2413" max="2413" width="9" style="13" customWidth="1"/>
    <col min="2414" max="2414" width="60.33203125" style="13" customWidth="1"/>
    <col min="2415" max="2415" width="15.6640625" style="13" bestFit="1" customWidth="1"/>
    <col min="2416" max="2416" width="14.109375" style="13" bestFit="1" customWidth="1"/>
    <col min="2417" max="2417" width="14.109375" style="13" customWidth="1"/>
    <col min="2418" max="2418" width="14.109375" style="13" bestFit="1" customWidth="1"/>
    <col min="2419" max="2420" width="13.109375" style="13" bestFit="1" customWidth="1"/>
    <col min="2421" max="2421" width="14" style="13" customWidth="1"/>
    <col min="2422" max="2422" width="13.109375" style="13" customWidth="1"/>
    <col min="2423" max="2423" width="16.44140625" style="13" customWidth="1"/>
    <col min="2424" max="2424" width="18.5546875" style="13" customWidth="1"/>
    <col min="2425" max="2425" width="8.109375" style="13" bestFit="1" customWidth="1"/>
    <col min="2426" max="2668" width="58.33203125" style="13"/>
    <col min="2669" max="2669" width="9" style="13" customWidth="1"/>
    <col min="2670" max="2670" width="60.33203125" style="13" customWidth="1"/>
    <col min="2671" max="2671" width="15.6640625" style="13" bestFit="1" customWidth="1"/>
    <col min="2672" max="2672" width="14.109375" style="13" bestFit="1" customWidth="1"/>
    <col min="2673" max="2673" width="14.109375" style="13" customWidth="1"/>
    <col min="2674" max="2674" width="14.109375" style="13" bestFit="1" customWidth="1"/>
    <col min="2675" max="2676" width="13.109375" style="13" bestFit="1" customWidth="1"/>
    <col min="2677" max="2677" width="14" style="13" customWidth="1"/>
    <col min="2678" max="2678" width="13.109375" style="13" customWidth="1"/>
    <col min="2679" max="2679" width="16.44140625" style="13" customWidth="1"/>
    <col min="2680" max="2680" width="18.5546875" style="13" customWidth="1"/>
    <col min="2681" max="2681" width="8.109375" style="13" bestFit="1" customWidth="1"/>
    <col min="2682" max="2924" width="58.33203125" style="13"/>
    <col min="2925" max="2925" width="9" style="13" customWidth="1"/>
    <col min="2926" max="2926" width="60.33203125" style="13" customWidth="1"/>
    <col min="2927" max="2927" width="15.6640625" style="13" bestFit="1" customWidth="1"/>
    <col min="2928" max="2928" width="14.109375" style="13" bestFit="1" customWidth="1"/>
    <col min="2929" max="2929" width="14.109375" style="13" customWidth="1"/>
    <col min="2930" max="2930" width="14.109375" style="13" bestFit="1" customWidth="1"/>
    <col min="2931" max="2932" width="13.109375" style="13" bestFit="1" customWidth="1"/>
    <col min="2933" max="2933" width="14" style="13" customWidth="1"/>
    <col min="2934" max="2934" width="13.109375" style="13" customWidth="1"/>
    <col min="2935" max="2935" width="16.44140625" style="13" customWidth="1"/>
    <col min="2936" max="2936" width="18.5546875" style="13" customWidth="1"/>
    <col min="2937" max="2937" width="8.109375" style="13" bestFit="1" customWidth="1"/>
    <col min="2938" max="3180" width="58.33203125" style="13"/>
    <col min="3181" max="3181" width="9" style="13" customWidth="1"/>
    <col min="3182" max="3182" width="60.33203125" style="13" customWidth="1"/>
    <col min="3183" max="3183" width="15.6640625" style="13" bestFit="1" customWidth="1"/>
    <col min="3184" max="3184" width="14.109375" style="13" bestFit="1" customWidth="1"/>
    <col min="3185" max="3185" width="14.109375" style="13" customWidth="1"/>
    <col min="3186" max="3186" width="14.109375" style="13" bestFit="1" customWidth="1"/>
    <col min="3187" max="3188" width="13.109375" style="13" bestFit="1" customWidth="1"/>
    <col min="3189" max="3189" width="14" style="13" customWidth="1"/>
    <col min="3190" max="3190" width="13.109375" style="13" customWidth="1"/>
    <col min="3191" max="3191" width="16.44140625" style="13" customWidth="1"/>
    <col min="3192" max="3192" width="18.5546875" style="13" customWidth="1"/>
    <col min="3193" max="3193" width="8.109375" style="13" bestFit="1" customWidth="1"/>
    <col min="3194" max="3436" width="58.33203125" style="13"/>
    <col min="3437" max="3437" width="9" style="13" customWidth="1"/>
    <col min="3438" max="3438" width="60.33203125" style="13" customWidth="1"/>
    <col min="3439" max="3439" width="15.6640625" style="13" bestFit="1" customWidth="1"/>
    <col min="3440" max="3440" width="14.109375" style="13" bestFit="1" customWidth="1"/>
    <col min="3441" max="3441" width="14.109375" style="13" customWidth="1"/>
    <col min="3442" max="3442" width="14.109375" style="13" bestFit="1" customWidth="1"/>
    <col min="3443" max="3444" width="13.109375" style="13" bestFit="1" customWidth="1"/>
    <col min="3445" max="3445" width="14" style="13" customWidth="1"/>
    <col min="3446" max="3446" width="13.109375" style="13" customWidth="1"/>
    <col min="3447" max="3447" width="16.44140625" style="13" customWidth="1"/>
    <col min="3448" max="3448" width="18.5546875" style="13" customWidth="1"/>
    <col min="3449" max="3449" width="8.109375" style="13" bestFit="1" customWidth="1"/>
    <col min="3450" max="3692" width="58.33203125" style="13"/>
    <col min="3693" max="3693" width="9" style="13" customWidth="1"/>
    <col min="3694" max="3694" width="60.33203125" style="13" customWidth="1"/>
    <col min="3695" max="3695" width="15.6640625" style="13" bestFit="1" customWidth="1"/>
    <col min="3696" max="3696" width="14.109375" style="13" bestFit="1" customWidth="1"/>
    <col min="3697" max="3697" width="14.109375" style="13" customWidth="1"/>
    <col min="3698" max="3698" width="14.109375" style="13" bestFit="1" customWidth="1"/>
    <col min="3699" max="3700" width="13.109375" style="13" bestFit="1" customWidth="1"/>
    <col min="3701" max="3701" width="14" style="13" customWidth="1"/>
    <col min="3702" max="3702" width="13.109375" style="13" customWidth="1"/>
    <col min="3703" max="3703" width="16.44140625" style="13" customWidth="1"/>
    <col min="3704" max="3704" width="18.5546875" style="13" customWidth="1"/>
    <col min="3705" max="3705" width="8.109375" style="13" bestFit="1" customWidth="1"/>
    <col min="3706" max="3948" width="58.33203125" style="13"/>
    <col min="3949" max="3949" width="9" style="13" customWidth="1"/>
    <col min="3950" max="3950" width="60.33203125" style="13" customWidth="1"/>
    <col min="3951" max="3951" width="15.6640625" style="13" bestFit="1" customWidth="1"/>
    <col min="3952" max="3952" width="14.109375" style="13" bestFit="1" customWidth="1"/>
    <col min="3953" max="3953" width="14.109375" style="13" customWidth="1"/>
    <col min="3954" max="3954" width="14.109375" style="13" bestFit="1" customWidth="1"/>
    <col min="3955" max="3956" width="13.109375" style="13" bestFit="1" customWidth="1"/>
    <col min="3957" max="3957" width="14" style="13" customWidth="1"/>
    <col min="3958" max="3958" width="13.109375" style="13" customWidth="1"/>
    <col min="3959" max="3959" width="16.44140625" style="13" customWidth="1"/>
    <col min="3960" max="3960" width="18.5546875" style="13" customWidth="1"/>
    <col min="3961" max="3961" width="8.109375" style="13" bestFit="1" customWidth="1"/>
    <col min="3962" max="4204" width="58.33203125" style="13"/>
    <col min="4205" max="4205" width="9" style="13" customWidth="1"/>
    <col min="4206" max="4206" width="60.33203125" style="13" customWidth="1"/>
    <col min="4207" max="4207" width="15.6640625" style="13" bestFit="1" customWidth="1"/>
    <col min="4208" max="4208" width="14.109375" style="13" bestFit="1" customWidth="1"/>
    <col min="4209" max="4209" width="14.109375" style="13" customWidth="1"/>
    <col min="4210" max="4210" width="14.109375" style="13" bestFit="1" customWidth="1"/>
    <col min="4211" max="4212" width="13.109375" style="13" bestFit="1" customWidth="1"/>
    <col min="4213" max="4213" width="14" style="13" customWidth="1"/>
    <col min="4214" max="4214" width="13.109375" style="13" customWidth="1"/>
    <col min="4215" max="4215" width="16.44140625" style="13" customWidth="1"/>
    <col min="4216" max="4216" width="18.5546875" style="13" customWidth="1"/>
    <col min="4217" max="4217" width="8.109375" style="13" bestFit="1" customWidth="1"/>
    <col min="4218" max="4460" width="58.33203125" style="13"/>
    <col min="4461" max="4461" width="9" style="13" customWidth="1"/>
    <col min="4462" max="4462" width="60.33203125" style="13" customWidth="1"/>
    <col min="4463" max="4463" width="15.6640625" style="13" bestFit="1" customWidth="1"/>
    <col min="4464" max="4464" width="14.109375" style="13" bestFit="1" customWidth="1"/>
    <col min="4465" max="4465" width="14.109375" style="13" customWidth="1"/>
    <col min="4466" max="4466" width="14.109375" style="13" bestFit="1" customWidth="1"/>
    <col min="4467" max="4468" width="13.109375" style="13" bestFit="1" customWidth="1"/>
    <col min="4469" max="4469" width="14" style="13" customWidth="1"/>
    <col min="4470" max="4470" width="13.109375" style="13" customWidth="1"/>
    <col min="4471" max="4471" width="16.44140625" style="13" customWidth="1"/>
    <col min="4472" max="4472" width="18.5546875" style="13" customWidth="1"/>
    <col min="4473" max="4473" width="8.109375" style="13" bestFit="1" customWidth="1"/>
    <col min="4474" max="4716" width="58.33203125" style="13"/>
    <col min="4717" max="4717" width="9" style="13" customWidth="1"/>
    <col min="4718" max="4718" width="60.33203125" style="13" customWidth="1"/>
    <col min="4719" max="4719" width="15.6640625" style="13" bestFit="1" customWidth="1"/>
    <col min="4720" max="4720" width="14.109375" style="13" bestFit="1" customWidth="1"/>
    <col min="4721" max="4721" width="14.109375" style="13" customWidth="1"/>
    <col min="4722" max="4722" width="14.109375" style="13" bestFit="1" customWidth="1"/>
    <col min="4723" max="4724" width="13.109375" style="13" bestFit="1" customWidth="1"/>
    <col min="4725" max="4725" width="14" style="13" customWidth="1"/>
    <col min="4726" max="4726" width="13.109375" style="13" customWidth="1"/>
    <col min="4727" max="4727" width="16.44140625" style="13" customWidth="1"/>
    <col min="4728" max="4728" width="18.5546875" style="13" customWidth="1"/>
    <col min="4729" max="4729" width="8.109375" style="13" bestFit="1" customWidth="1"/>
    <col min="4730" max="4972" width="58.33203125" style="13"/>
    <col min="4973" max="4973" width="9" style="13" customWidth="1"/>
    <col min="4974" max="4974" width="60.33203125" style="13" customWidth="1"/>
    <col min="4975" max="4975" width="15.6640625" style="13" bestFit="1" customWidth="1"/>
    <col min="4976" max="4976" width="14.109375" style="13" bestFit="1" customWidth="1"/>
    <col min="4977" max="4977" width="14.109375" style="13" customWidth="1"/>
    <col min="4978" max="4978" width="14.109375" style="13" bestFit="1" customWidth="1"/>
    <col min="4979" max="4980" width="13.109375" style="13" bestFit="1" customWidth="1"/>
    <col min="4981" max="4981" width="14" style="13" customWidth="1"/>
    <col min="4982" max="4982" width="13.109375" style="13" customWidth="1"/>
    <col min="4983" max="4983" width="16.44140625" style="13" customWidth="1"/>
    <col min="4984" max="4984" width="18.5546875" style="13" customWidth="1"/>
    <col min="4985" max="4985" width="8.109375" style="13" bestFit="1" customWidth="1"/>
    <col min="4986" max="5228" width="58.33203125" style="13"/>
    <col min="5229" max="5229" width="9" style="13" customWidth="1"/>
    <col min="5230" max="5230" width="60.33203125" style="13" customWidth="1"/>
    <col min="5231" max="5231" width="15.6640625" style="13" bestFit="1" customWidth="1"/>
    <col min="5232" max="5232" width="14.109375" style="13" bestFit="1" customWidth="1"/>
    <col min="5233" max="5233" width="14.109375" style="13" customWidth="1"/>
    <col min="5234" max="5234" width="14.109375" style="13" bestFit="1" customWidth="1"/>
    <col min="5235" max="5236" width="13.109375" style="13" bestFit="1" customWidth="1"/>
    <col min="5237" max="5237" width="14" style="13" customWidth="1"/>
    <col min="5238" max="5238" width="13.109375" style="13" customWidth="1"/>
    <col min="5239" max="5239" width="16.44140625" style="13" customWidth="1"/>
    <col min="5240" max="5240" width="18.5546875" style="13" customWidth="1"/>
    <col min="5241" max="5241" width="8.109375" style="13" bestFit="1" customWidth="1"/>
    <col min="5242" max="5484" width="58.33203125" style="13"/>
    <col min="5485" max="5485" width="9" style="13" customWidth="1"/>
    <col min="5486" max="5486" width="60.33203125" style="13" customWidth="1"/>
    <col min="5487" max="5487" width="15.6640625" style="13" bestFit="1" customWidth="1"/>
    <col min="5488" max="5488" width="14.109375" style="13" bestFit="1" customWidth="1"/>
    <col min="5489" max="5489" width="14.109375" style="13" customWidth="1"/>
    <col min="5490" max="5490" width="14.109375" style="13" bestFit="1" customWidth="1"/>
    <col min="5491" max="5492" width="13.109375" style="13" bestFit="1" customWidth="1"/>
    <col min="5493" max="5493" width="14" style="13" customWidth="1"/>
    <col min="5494" max="5494" width="13.109375" style="13" customWidth="1"/>
    <col min="5495" max="5495" width="16.44140625" style="13" customWidth="1"/>
    <col min="5496" max="5496" width="18.5546875" style="13" customWidth="1"/>
    <col min="5497" max="5497" width="8.109375" style="13" bestFit="1" customWidth="1"/>
    <col min="5498" max="5740" width="58.33203125" style="13"/>
    <col min="5741" max="5741" width="9" style="13" customWidth="1"/>
    <col min="5742" max="5742" width="60.33203125" style="13" customWidth="1"/>
    <col min="5743" max="5743" width="15.6640625" style="13" bestFit="1" customWidth="1"/>
    <col min="5744" max="5744" width="14.109375" style="13" bestFit="1" customWidth="1"/>
    <col min="5745" max="5745" width="14.109375" style="13" customWidth="1"/>
    <col min="5746" max="5746" width="14.109375" style="13" bestFit="1" customWidth="1"/>
    <col min="5747" max="5748" width="13.109375" style="13" bestFit="1" customWidth="1"/>
    <col min="5749" max="5749" width="14" style="13" customWidth="1"/>
    <col min="5750" max="5750" width="13.109375" style="13" customWidth="1"/>
    <col min="5751" max="5751" width="16.44140625" style="13" customWidth="1"/>
    <col min="5752" max="5752" width="18.5546875" style="13" customWidth="1"/>
    <col min="5753" max="5753" width="8.109375" style="13" bestFit="1" customWidth="1"/>
    <col min="5754" max="5996" width="58.33203125" style="13"/>
    <col min="5997" max="5997" width="9" style="13" customWidth="1"/>
    <col min="5998" max="5998" width="60.33203125" style="13" customWidth="1"/>
    <col min="5999" max="5999" width="15.6640625" style="13" bestFit="1" customWidth="1"/>
    <col min="6000" max="6000" width="14.109375" style="13" bestFit="1" customWidth="1"/>
    <col min="6001" max="6001" width="14.109375" style="13" customWidth="1"/>
    <col min="6002" max="6002" width="14.109375" style="13" bestFit="1" customWidth="1"/>
    <col min="6003" max="6004" width="13.109375" style="13" bestFit="1" customWidth="1"/>
    <col min="6005" max="6005" width="14" style="13" customWidth="1"/>
    <col min="6006" max="6006" width="13.109375" style="13" customWidth="1"/>
    <col min="6007" max="6007" width="16.44140625" style="13" customWidth="1"/>
    <col min="6008" max="6008" width="18.5546875" style="13" customWidth="1"/>
    <col min="6009" max="6009" width="8.109375" style="13" bestFit="1" customWidth="1"/>
    <col min="6010" max="6252" width="58.33203125" style="13"/>
    <col min="6253" max="6253" width="9" style="13" customWidth="1"/>
    <col min="6254" max="6254" width="60.33203125" style="13" customWidth="1"/>
    <col min="6255" max="6255" width="15.6640625" style="13" bestFit="1" customWidth="1"/>
    <col min="6256" max="6256" width="14.109375" style="13" bestFit="1" customWidth="1"/>
    <col min="6257" max="6257" width="14.109375" style="13" customWidth="1"/>
    <col min="6258" max="6258" width="14.109375" style="13" bestFit="1" customWidth="1"/>
    <col min="6259" max="6260" width="13.109375" style="13" bestFit="1" customWidth="1"/>
    <col min="6261" max="6261" width="14" style="13" customWidth="1"/>
    <col min="6262" max="6262" width="13.109375" style="13" customWidth="1"/>
    <col min="6263" max="6263" width="16.44140625" style="13" customWidth="1"/>
    <col min="6264" max="6264" width="18.5546875" style="13" customWidth="1"/>
    <col min="6265" max="6265" width="8.109375" style="13" bestFit="1" customWidth="1"/>
    <col min="6266" max="6508" width="58.33203125" style="13"/>
    <col min="6509" max="6509" width="9" style="13" customWidth="1"/>
    <col min="6510" max="6510" width="60.33203125" style="13" customWidth="1"/>
    <col min="6511" max="6511" width="15.6640625" style="13" bestFit="1" customWidth="1"/>
    <col min="6512" max="6512" width="14.109375" style="13" bestFit="1" customWidth="1"/>
    <col min="6513" max="6513" width="14.109375" style="13" customWidth="1"/>
    <col min="6514" max="6514" width="14.109375" style="13" bestFit="1" customWidth="1"/>
    <col min="6515" max="6516" width="13.109375" style="13" bestFit="1" customWidth="1"/>
    <col min="6517" max="6517" width="14" style="13" customWidth="1"/>
    <col min="6518" max="6518" width="13.109375" style="13" customWidth="1"/>
    <col min="6519" max="6519" width="16.44140625" style="13" customWidth="1"/>
    <col min="6520" max="6520" width="18.5546875" style="13" customWidth="1"/>
    <col min="6521" max="6521" width="8.109375" style="13" bestFit="1" customWidth="1"/>
    <col min="6522" max="6764" width="58.33203125" style="13"/>
    <col min="6765" max="6765" width="9" style="13" customWidth="1"/>
    <col min="6766" max="6766" width="60.33203125" style="13" customWidth="1"/>
    <col min="6767" max="6767" width="15.6640625" style="13" bestFit="1" customWidth="1"/>
    <col min="6768" max="6768" width="14.109375" style="13" bestFit="1" customWidth="1"/>
    <col min="6769" max="6769" width="14.109375" style="13" customWidth="1"/>
    <col min="6770" max="6770" width="14.109375" style="13" bestFit="1" customWidth="1"/>
    <col min="6771" max="6772" width="13.109375" style="13" bestFit="1" customWidth="1"/>
    <col min="6773" max="6773" width="14" style="13" customWidth="1"/>
    <col min="6774" max="6774" width="13.109375" style="13" customWidth="1"/>
    <col min="6775" max="6775" width="16.44140625" style="13" customWidth="1"/>
    <col min="6776" max="6776" width="18.5546875" style="13" customWidth="1"/>
    <col min="6777" max="6777" width="8.109375" style="13" bestFit="1" customWidth="1"/>
    <col min="6778" max="7020" width="58.33203125" style="13"/>
    <col min="7021" max="7021" width="9" style="13" customWidth="1"/>
    <col min="7022" max="7022" width="60.33203125" style="13" customWidth="1"/>
    <col min="7023" max="7023" width="15.6640625" style="13" bestFit="1" customWidth="1"/>
    <col min="7024" max="7024" width="14.109375" style="13" bestFit="1" customWidth="1"/>
    <col min="7025" max="7025" width="14.109375" style="13" customWidth="1"/>
    <col min="7026" max="7026" width="14.109375" style="13" bestFit="1" customWidth="1"/>
    <col min="7027" max="7028" width="13.109375" style="13" bestFit="1" customWidth="1"/>
    <col min="7029" max="7029" width="14" style="13" customWidth="1"/>
    <col min="7030" max="7030" width="13.109375" style="13" customWidth="1"/>
    <col min="7031" max="7031" width="16.44140625" style="13" customWidth="1"/>
    <col min="7032" max="7032" width="18.5546875" style="13" customWidth="1"/>
    <col min="7033" max="7033" width="8.109375" style="13" bestFit="1" customWidth="1"/>
    <col min="7034" max="7276" width="58.33203125" style="13"/>
    <col min="7277" max="7277" width="9" style="13" customWidth="1"/>
    <col min="7278" max="7278" width="60.33203125" style="13" customWidth="1"/>
    <col min="7279" max="7279" width="15.6640625" style="13" bestFit="1" customWidth="1"/>
    <col min="7280" max="7280" width="14.109375" style="13" bestFit="1" customWidth="1"/>
    <col min="7281" max="7281" width="14.109375" style="13" customWidth="1"/>
    <col min="7282" max="7282" width="14.109375" style="13" bestFit="1" customWidth="1"/>
    <col min="7283" max="7284" width="13.109375" style="13" bestFit="1" customWidth="1"/>
    <col min="7285" max="7285" width="14" style="13" customWidth="1"/>
    <col min="7286" max="7286" width="13.109375" style="13" customWidth="1"/>
    <col min="7287" max="7287" width="16.44140625" style="13" customWidth="1"/>
    <col min="7288" max="7288" width="18.5546875" style="13" customWidth="1"/>
    <col min="7289" max="7289" width="8.109375" style="13" bestFit="1" customWidth="1"/>
    <col min="7290" max="7532" width="58.33203125" style="13"/>
    <col min="7533" max="7533" width="9" style="13" customWidth="1"/>
    <col min="7534" max="7534" width="60.33203125" style="13" customWidth="1"/>
    <col min="7535" max="7535" width="15.6640625" style="13" bestFit="1" customWidth="1"/>
    <col min="7536" max="7536" width="14.109375" style="13" bestFit="1" customWidth="1"/>
    <col min="7537" max="7537" width="14.109375" style="13" customWidth="1"/>
    <col min="7538" max="7538" width="14.109375" style="13" bestFit="1" customWidth="1"/>
    <col min="7539" max="7540" width="13.109375" style="13" bestFit="1" customWidth="1"/>
    <col min="7541" max="7541" width="14" style="13" customWidth="1"/>
    <col min="7542" max="7542" width="13.109375" style="13" customWidth="1"/>
    <col min="7543" max="7543" width="16.44140625" style="13" customWidth="1"/>
    <col min="7544" max="7544" width="18.5546875" style="13" customWidth="1"/>
    <col min="7545" max="7545" width="8.109375" style="13" bestFit="1" customWidth="1"/>
    <col min="7546" max="7788" width="58.33203125" style="13"/>
    <col min="7789" max="7789" width="9" style="13" customWidth="1"/>
    <col min="7790" max="7790" width="60.33203125" style="13" customWidth="1"/>
    <col min="7791" max="7791" width="15.6640625" style="13" bestFit="1" customWidth="1"/>
    <col min="7792" max="7792" width="14.109375" style="13" bestFit="1" customWidth="1"/>
    <col min="7793" max="7793" width="14.109375" style="13" customWidth="1"/>
    <col min="7794" max="7794" width="14.109375" style="13" bestFit="1" customWidth="1"/>
    <col min="7795" max="7796" width="13.109375" style="13" bestFit="1" customWidth="1"/>
    <col min="7797" max="7797" width="14" style="13" customWidth="1"/>
    <col min="7798" max="7798" width="13.109375" style="13" customWidth="1"/>
    <col min="7799" max="7799" width="16.44140625" style="13" customWidth="1"/>
    <col min="7800" max="7800" width="18.5546875" style="13" customWidth="1"/>
    <col min="7801" max="7801" width="8.109375" style="13" bestFit="1" customWidth="1"/>
    <col min="7802" max="8044" width="58.33203125" style="13"/>
    <col min="8045" max="8045" width="9" style="13" customWidth="1"/>
    <col min="8046" max="8046" width="60.33203125" style="13" customWidth="1"/>
    <col min="8047" max="8047" width="15.6640625" style="13" bestFit="1" customWidth="1"/>
    <col min="8048" max="8048" width="14.109375" style="13" bestFit="1" customWidth="1"/>
    <col min="8049" max="8049" width="14.109375" style="13" customWidth="1"/>
    <col min="8050" max="8050" width="14.109375" style="13" bestFit="1" customWidth="1"/>
    <col min="8051" max="8052" width="13.109375" style="13" bestFit="1" customWidth="1"/>
    <col min="8053" max="8053" width="14" style="13" customWidth="1"/>
    <col min="8054" max="8054" width="13.109375" style="13" customWidth="1"/>
    <col min="8055" max="8055" width="16.44140625" style="13" customWidth="1"/>
    <col min="8056" max="8056" width="18.5546875" style="13" customWidth="1"/>
    <col min="8057" max="8057" width="8.109375" style="13" bestFit="1" customWidth="1"/>
    <col min="8058" max="8300" width="58.33203125" style="13"/>
    <col min="8301" max="8301" width="9" style="13" customWidth="1"/>
    <col min="8302" max="8302" width="60.33203125" style="13" customWidth="1"/>
    <col min="8303" max="8303" width="15.6640625" style="13" bestFit="1" customWidth="1"/>
    <col min="8304" max="8304" width="14.109375" style="13" bestFit="1" customWidth="1"/>
    <col min="8305" max="8305" width="14.109375" style="13" customWidth="1"/>
    <col min="8306" max="8306" width="14.109375" style="13" bestFit="1" customWidth="1"/>
    <col min="8307" max="8308" width="13.109375" style="13" bestFit="1" customWidth="1"/>
    <col min="8309" max="8309" width="14" style="13" customWidth="1"/>
    <col min="8310" max="8310" width="13.109375" style="13" customWidth="1"/>
    <col min="8311" max="8311" width="16.44140625" style="13" customWidth="1"/>
    <col min="8312" max="8312" width="18.5546875" style="13" customWidth="1"/>
    <col min="8313" max="8313" width="8.109375" style="13" bestFit="1" customWidth="1"/>
    <col min="8314" max="8556" width="58.33203125" style="13"/>
    <col min="8557" max="8557" width="9" style="13" customWidth="1"/>
    <col min="8558" max="8558" width="60.33203125" style="13" customWidth="1"/>
    <col min="8559" max="8559" width="15.6640625" style="13" bestFit="1" customWidth="1"/>
    <col min="8560" max="8560" width="14.109375" style="13" bestFit="1" customWidth="1"/>
    <col min="8561" max="8561" width="14.109375" style="13" customWidth="1"/>
    <col min="8562" max="8562" width="14.109375" style="13" bestFit="1" customWidth="1"/>
    <col min="8563" max="8564" width="13.109375" style="13" bestFit="1" customWidth="1"/>
    <col min="8565" max="8565" width="14" style="13" customWidth="1"/>
    <col min="8566" max="8566" width="13.109375" style="13" customWidth="1"/>
    <col min="8567" max="8567" width="16.44140625" style="13" customWidth="1"/>
    <col min="8568" max="8568" width="18.5546875" style="13" customWidth="1"/>
    <col min="8569" max="8569" width="8.109375" style="13" bestFit="1" customWidth="1"/>
    <col min="8570" max="8812" width="58.33203125" style="13"/>
    <col min="8813" max="8813" width="9" style="13" customWidth="1"/>
    <col min="8814" max="8814" width="60.33203125" style="13" customWidth="1"/>
    <col min="8815" max="8815" width="15.6640625" style="13" bestFit="1" customWidth="1"/>
    <col min="8816" max="8816" width="14.109375" style="13" bestFit="1" customWidth="1"/>
    <col min="8817" max="8817" width="14.109375" style="13" customWidth="1"/>
    <col min="8818" max="8818" width="14.109375" style="13" bestFit="1" customWidth="1"/>
    <col min="8819" max="8820" width="13.109375" style="13" bestFit="1" customWidth="1"/>
    <col min="8821" max="8821" width="14" style="13" customWidth="1"/>
    <col min="8822" max="8822" width="13.109375" style="13" customWidth="1"/>
    <col min="8823" max="8823" width="16.44140625" style="13" customWidth="1"/>
    <col min="8824" max="8824" width="18.5546875" style="13" customWidth="1"/>
    <col min="8825" max="8825" width="8.109375" style="13" bestFit="1" customWidth="1"/>
    <col min="8826" max="9068" width="58.33203125" style="13"/>
    <col min="9069" max="9069" width="9" style="13" customWidth="1"/>
    <col min="9070" max="9070" width="60.33203125" style="13" customWidth="1"/>
    <col min="9071" max="9071" width="15.6640625" style="13" bestFit="1" customWidth="1"/>
    <col min="9072" max="9072" width="14.109375" style="13" bestFit="1" customWidth="1"/>
    <col min="9073" max="9073" width="14.109375" style="13" customWidth="1"/>
    <col min="9074" max="9074" width="14.109375" style="13" bestFit="1" customWidth="1"/>
    <col min="9075" max="9076" width="13.109375" style="13" bestFit="1" customWidth="1"/>
    <col min="9077" max="9077" width="14" style="13" customWidth="1"/>
    <col min="9078" max="9078" width="13.109375" style="13" customWidth="1"/>
    <col min="9079" max="9079" width="16.44140625" style="13" customWidth="1"/>
    <col min="9080" max="9080" width="18.5546875" style="13" customWidth="1"/>
    <col min="9081" max="9081" width="8.109375" style="13" bestFit="1" customWidth="1"/>
    <col min="9082" max="9324" width="58.33203125" style="13"/>
    <col min="9325" max="9325" width="9" style="13" customWidth="1"/>
    <col min="9326" max="9326" width="60.33203125" style="13" customWidth="1"/>
    <col min="9327" max="9327" width="15.6640625" style="13" bestFit="1" customWidth="1"/>
    <col min="9328" max="9328" width="14.109375" style="13" bestFit="1" customWidth="1"/>
    <col min="9329" max="9329" width="14.109375" style="13" customWidth="1"/>
    <col min="9330" max="9330" width="14.109375" style="13" bestFit="1" customWidth="1"/>
    <col min="9331" max="9332" width="13.109375" style="13" bestFit="1" customWidth="1"/>
    <col min="9333" max="9333" width="14" style="13" customWidth="1"/>
    <col min="9334" max="9334" width="13.109375" style="13" customWidth="1"/>
    <col min="9335" max="9335" width="16.44140625" style="13" customWidth="1"/>
    <col min="9336" max="9336" width="18.5546875" style="13" customWidth="1"/>
    <col min="9337" max="9337" width="8.109375" style="13" bestFit="1" customWidth="1"/>
    <col min="9338" max="9580" width="58.33203125" style="13"/>
    <col min="9581" max="9581" width="9" style="13" customWidth="1"/>
    <col min="9582" max="9582" width="60.33203125" style="13" customWidth="1"/>
    <col min="9583" max="9583" width="15.6640625" style="13" bestFit="1" customWidth="1"/>
    <col min="9584" max="9584" width="14.109375" style="13" bestFit="1" customWidth="1"/>
    <col min="9585" max="9585" width="14.109375" style="13" customWidth="1"/>
    <col min="9586" max="9586" width="14.109375" style="13" bestFit="1" customWidth="1"/>
    <col min="9587" max="9588" width="13.109375" style="13" bestFit="1" customWidth="1"/>
    <col min="9589" max="9589" width="14" style="13" customWidth="1"/>
    <col min="9590" max="9590" width="13.109375" style="13" customWidth="1"/>
    <col min="9591" max="9591" width="16.44140625" style="13" customWidth="1"/>
    <col min="9592" max="9592" width="18.5546875" style="13" customWidth="1"/>
    <col min="9593" max="9593" width="8.109375" style="13" bestFit="1" customWidth="1"/>
    <col min="9594" max="9836" width="58.33203125" style="13"/>
    <col min="9837" max="9837" width="9" style="13" customWidth="1"/>
    <col min="9838" max="9838" width="60.33203125" style="13" customWidth="1"/>
    <col min="9839" max="9839" width="15.6640625" style="13" bestFit="1" customWidth="1"/>
    <col min="9840" max="9840" width="14.109375" style="13" bestFit="1" customWidth="1"/>
    <col min="9841" max="9841" width="14.109375" style="13" customWidth="1"/>
    <col min="9842" max="9842" width="14.109375" style="13" bestFit="1" customWidth="1"/>
    <col min="9843" max="9844" width="13.109375" style="13" bestFit="1" customWidth="1"/>
    <col min="9845" max="9845" width="14" style="13" customWidth="1"/>
    <col min="9846" max="9846" width="13.109375" style="13" customWidth="1"/>
    <col min="9847" max="9847" width="16.44140625" style="13" customWidth="1"/>
    <col min="9848" max="9848" width="18.5546875" style="13" customWidth="1"/>
    <col min="9849" max="9849" width="8.109375" style="13" bestFit="1" customWidth="1"/>
    <col min="9850" max="10092" width="58.33203125" style="13"/>
    <col min="10093" max="10093" width="9" style="13" customWidth="1"/>
    <col min="10094" max="10094" width="60.33203125" style="13" customWidth="1"/>
    <col min="10095" max="10095" width="15.6640625" style="13" bestFit="1" customWidth="1"/>
    <col min="10096" max="10096" width="14.109375" style="13" bestFit="1" customWidth="1"/>
    <col min="10097" max="10097" width="14.109375" style="13" customWidth="1"/>
    <col min="10098" max="10098" width="14.109375" style="13" bestFit="1" customWidth="1"/>
    <col min="10099" max="10100" width="13.109375" style="13" bestFit="1" customWidth="1"/>
    <col min="10101" max="10101" width="14" style="13" customWidth="1"/>
    <col min="10102" max="10102" width="13.109375" style="13" customWidth="1"/>
    <col min="10103" max="10103" width="16.44140625" style="13" customWidth="1"/>
    <col min="10104" max="10104" width="18.5546875" style="13" customWidth="1"/>
    <col min="10105" max="10105" width="8.109375" style="13" bestFit="1" customWidth="1"/>
    <col min="10106" max="10348" width="58.33203125" style="13"/>
    <col min="10349" max="10349" width="9" style="13" customWidth="1"/>
    <col min="10350" max="10350" width="60.33203125" style="13" customWidth="1"/>
    <col min="10351" max="10351" width="15.6640625" style="13" bestFit="1" customWidth="1"/>
    <col min="10352" max="10352" width="14.109375" style="13" bestFit="1" customWidth="1"/>
    <col min="10353" max="10353" width="14.109375" style="13" customWidth="1"/>
    <col min="10354" max="10354" width="14.109375" style="13" bestFit="1" customWidth="1"/>
    <col min="10355" max="10356" width="13.109375" style="13" bestFit="1" customWidth="1"/>
    <col min="10357" max="10357" width="14" style="13" customWidth="1"/>
    <col min="10358" max="10358" width="13.109375" style="13" customWidth="1"/>
    <col min="10359" max="10359" width="16.44140625" style="13" customWidth="1"/>
    <col min="10360" max="10360" width="18.5546875" style="13" customWidth="1"/>
    <col min="10361" max="10361" width="8.109375" style="13" bestFit="1" customWidth="1"/>
    <col min="10362" max="10604" width="58.33203125" style="13"/>
    <col min="10605" max="10605" width="9" style="13" customWidth="1"/>
    <col min="10606" max="10606" width="60.33203125" style="13" customWidth="1"/>
    <col min="10607" max="10607" width="15.6640625" style="13" bestFit="1" customWidth="1"/>
    <col min="10608" max="10608" width="14.109375" style="13" bestFit="1" customWidth="1"/>
    <col min="10609" max="10609" width="14.109375" style="13" customWidth="1"/>
    <col min="10610" max="10610" width="14.109375" style="13" bestFit="1" customWidth="1"/>
    <col min="10611" max="10612" width="13.109375" style="13" bestFit="1" customWidth="1"/>
    <col min="10613" max="10613" width="14" style="13" customWidth="1"/>
    <col min="10614" max="10614" width="13.109375" style="13" customWidth="1"/>
    <col min="10615" max="10615" width="16.44140625" style="13" customWidth="1"/>
    <col min="10616" max="10616" width="18.5546875" style="13" customWidth="1"/>
    <col min="10617" max="10617" width="8.109375" style="13" bestFit="1" customWidth="1"/>
    <col min="10618" max="10860" width="58.33203125" style="13"/>
    <col min="10861" max="10861" width="9" style="13" customWidth="1"/>
    <col min="10862" max="10862" width="60.33203125" style="13" customWidth="1"/>
    <col min="10863" max="10863" width="15.6640625" style="13" bestFit="1" customWidth="1"/>
    <col min="10864" max="10864" width="14.109375" style="13" bestFit="1" customWidth="1"/>
    <col min="10865" max="10865" width="14.109375" style="13" customWidth="1"/>
    <col min="10866" max="10866" width="14.109375" style="13" bestFit="1" customWidth="1"/>
    <col min="10867" max="10868" width="13.109375" style="13" bestFit="1" customWidth="1"/>
    <col min="10869" max="10869" width="14" style="13" customWidth="1"/>
    <col min="10870" max="10870" width="13.109375" style="13" customWidth="1"/>
    <col min="10871" max="10871" width="16.44140625" style="13" customWidth="1"/>
    <col min="10872" max="10872" width="18.5546875" style="13" customWidth="1"/>
    <col min="10873" max="10873" width="8.109375" style="13" bestFit="1" customWidth="1"/>
    <col min="10874" max="11116" width="58.33203125" style="13"/>
    <col min="11117" max="11117" width="9" style="13" customWidth="1"/>
    <col min="11118" max="11118" width="60.33203125" style="13" customWidth="1"/>
    <col min="11119" max="11119" width="15.6640625" style="13" bestFit="1" customWidth="1"/>
    <col min="11120" max="11120" width="14.109375" style="13" bestFit="1" customWidth="1"/>
    <col min="11121" max="11121" width="14.109375" style="13" customWidth="1"/>
    <col min="11122" max="11122" width="14.109375" style="13" bestFit="1" customWidth="1"/>
    <col min="11123" max="11124" width="13.109375" style="13" bestFit="1" customWidth="1"/>
    <col min="11125" max="11125" width="14" style="13" customWidth="1"/>
    <col min="11126" max="11126" width="13.109375" style="13" customWidth="1"/>
    <col min="11127" max="11127" width="16.44140625" style="13" customWidth="1"/>
    <col min="11128" max="11128" width="18.5546875" style="13" customWidth="1"/>
    <col min="11129" max="11129" width="8.109375" style="13" bestFit="1" customWidth="1"/>
    <col min="11130" max="11372" width="58.33203125" style="13"/>
    <col min="11373" max="11373" width="9" style="13" customWidth="1"/>
    <col min="11374" max="11374" width="60.33203125" style="13" customWidth="1"/>
    <col min="11375" max="11375" width="15.6640625" style="13" bestFit="1" customWidth="1"/>
    <col min="11376" max="11376" width="14.109375" style="13" bestFit="1" customWidth="1"/>
    <col min="11377" max="11377" width="14.109375" style="13" customWidth="1"/>
    <col min="11378" max="11378" width="14.109375" style="13" bestFit="1" customWidth="1"/>
    <col min="11379" max="11380" width="13.109375" style="13" bestFit="1" customWidth="1"/>
    <col min="11381" max="11381" width="14" style="13" customWidth="1"/>
    <col min="11382" max="11382" width="13.109375" style="13" customWidth="1"/>
    <col min="11383" max="11383" width="16.44140625" style="13" customWidth="1"/>
    <col min="11384" max="11384" width="18.5546875" style="13" customWidth="1"/>
    <col min="11385" max="11385" width="8.109375" style="13" bestFit="1" customWidth="1"/>
    <col min="11386" max="11628" width="58.33203125" style="13"/>
    <col min="11629" max="11629" width="9" style="13" customWidth="1"/>
    <col min="11630" max="11630" width="60.33203125" style="13" customWidth="1"/>
    <col min="11631" max="11631" width="15.6640625" style="13" bestFit="1" customWidth="1"/>
    <col min="11632" max="11632" width="14.109375" style="13" bestFit="1" customWidth="1"/>
    <col min="11633" max="11633" width="14.109375" style="13" customWidth="1"/>
    <col min="11634" max="11634" width="14.109375" style="13" bestFit="1" customWidth="1"/>
    <col min="11635" max="11636" width="13.109375" style="13" bestFit="1" customWidth="1"/>
    <col min="11637" max="11637" width="14" style="13" customWidth="1"/>
    <col min="11638" max="11638" width="13.109375" style="13" customWidth="1"/>
    <col min="11639" max="11639" width="16.44140625" style="13" customWidth="1"/>
    <col min="11640" max="11640" width="18.5546875" style="13" customWidth="1"/>
    <col min="11641" max="11641" width="8.109375" style="13" bestFit="1" customWidth="1"/>
    <col min="11642" max="11884" width="58.33203125" style="13"/>
    <col min="11885" max="11885" width="9" style="13" customWidth="1"/>
    <col min="11886" max="11886" width="60.33203125" style="13" customWidth="1"/>
    <col min="11887" max="11887" width="15.6640625" style="13" bestFit="1" customWidth="1"/>
    <col min="11888" max="11888" width="14.109375" style="13" bestFit="1" customWidth="1"/>
    <col min="11889" max="11889" width="14.109375" style="13" customWidth="1"/>
    <col min="11890" max="11890" width="14.109375" style="13" bestFit="1" customWidth="1"/>
    <col min="11891" max="11892" width="13.109375" style="13" bestFit="1" customWidth="1"/>
    <col min="11893" max="11893" width="14" style="13" customWidth="1"/>
    <col min="11894" max="11894" width="13.109375" style="13" customWidth="1"/>
    <col min="11895" max="11895" width="16.44140625" style="13" customWidth="1"/>
    <col min="11896" max="11896" width="18.5546875" style="13" customWidth="1"/>
    <col min="11897" max="11897" width="8.109375" style="13" bestFit="1" customWidth="1"/>
    <col min="11898" max="12140" width="58.33203125" style="13"/>
    <col min="12141" max="12141" width="9" style="13" customWidth="1"/>
    <col min="12142" max="12142" width="60.33203125" style="13" customWidth="1"/>
    <col min="12143" max="12143" width="15.6640625" style="13" bestFit="1" customWidth="1"/>
    <col min="12144" max="12144" width="14.109375" style="13" bestFit="1" customWidth="1"/>
    <col min="12145" max="12145" width="14.109375" style="13" customWidth="1"/>
    <col min="12146" max="12146" width="14.109375" style="13" bestFit="1" customWidth="1"/>
    <col min="12147" max="12148" width="13.109375" style="13" bestFit="1" customWidth="1"/>
    <col min="12149" max="12149" width="14" style="13" customWidth="1"/>
    <col min="12150" max="12150" width="13.109375" style="13" customWidth="1"/>
    <col min="12151" max="12151" width="16.44140625" style="13" customWidth="1"/>
    <col min="12152" max="12152" width="18.5546875" style="13" customWidth="1"/>
    <col min="12153" max="12153" width="8.109375" style="13" bestFit="1" customWidth="1"/>
    <col min="12154" max="12396" width="58.33203125" style="13"/>
    <col min="12397" max="12397" width="9" style="13" customWidth="1"/>
    <col min="12398" max="12398" width="60.33203125" style="13" customWidth="1"/>
    <col min="12399" max="12399" width="15.6640625" style="13" bestFit="1" customWidth="1"/>
    <col min="12400" max="12400" width="14.109375" style="13" bestFit="1" customWidth="1"/>
    <col min="12401" max="12401" width="14.109375" style="13" customWidth="1"/>
    <col min="12402" max="12402" width="14.109375" style="13" bestFit="1" customWidth="1"/>
    <col min="12403" max="12404" width="13.109375" style="13" bestFit="1" customWidth="1"/>
    <col min="12405" max="12405" width="14" style="13" customWidth="1"/>
    <col min="12406" max="12406" width="13.109375" style="13" customWidth="1"/>
    <col min="12407" max="12407" width="16.44140625" style="13" customWidth="1"/>
    <col min="12408" max="12408" width="18.5546875" style="13" customWidth="1"/>
    <col min="12409" max="12409" width="8.109375" style="13" bestFit="1" customWidth="1"/>
    <col min="12410" max="12652" width="58.33203125" style="13"/>
    <col min="12653" max="12653" width="9" style="13" customWidth="1"/>
    <col min="12654" max="12654" width="60.33203125" style="13" customWidth="1"/>
    <col min="12655" max="12655" width="15.6640625" style="13" bestFit="1" customWidth="1"/>
    <col min="12656" max="12656" width="14.109375" style="13" bestFit="1" customWidth="1"/>
    <col min="12657" max="12657" width="14.109375" style="13" customWidth="1"/>
    <col min="12658" max="12658" width="14.109375" style="13" bestFit="1" customWidth="1"/>
    <col min="12659" max="12660" width="13.109375" style="13" bestFit="1" customWidth="1"/>
    <col min="12661" max="12661" width="14" style="13" customWidth="1"/>
    <col min="12662" max="12662" width="13.109375" style="13" customWidth="1"/>
    <col min="12663" max="12663" width="16.44140625" style="13" customWidth="1"/>
    <col min="12664" max="12664" width="18.5546875" style="13" customWidth="1"/>
    <col min="12665" max="12665" width="8.109375" style="13" bestFit="1" customWidth="1"/>
    <col min="12666" max="12908" width="58.33203125" style="13"/>
    <col min="12909" max="12909" width="9" style="13" customWidth="1"/>
    <col min="12910" max="12910" width="60.33203125" style="13" customWidth="1"/>
    <col min="12911" max="12911" width="15.6640625" style="13" bestFit="1" customWidth="1"/>
    <col min="12912" max="12912" width="14.109375" style="13" bestFit="1" customWidth="1"/>
    <col min="12913" max="12913" width="14.109375" style="13" customWidth="1"/>
    <col min="12914" max="12914" width="14.109375" style="13" bestFit="1" customWidth="1"/>
    <col min="12915" max="12916" width="13.109375" style="13" bestFit="1" customWidth="1"/>
    <col min="12917" max="12917" width="14" style="13" customWidth="1"/>
    <col min="12918" max="12918" width="13.109375" style="13" customWidth="1"/>
    <col min="12919" max="12919" width="16.44140625" style="13" customWidth="1"/>
    <col min="12920" max="12920" width="18.5546875" style="13" customWidth="1"/>
    <col min="12921" max="12921" width="8.109375" style="13" bestFit="1" customWidth="1"/>
    <col min="12922" max="13164" width="58.33203125" style="13"/>
    <col min="13165" max="13165" width="9" style="13" customWidth="1"/>
    <col min="13166" max="13166" width="60.33203125" style="13" customWidth="1"/>
    <col min="13167" max="13167" width="15.6640625" style="13" bestFit="1" customWidth="1"/>
    <col min="13168" max="13168" width="14.109375" style="13" bestFit="1" customWidth="1"/>
    <col min="13169" max="13169" width="14.109375" style="13" customWidth="1"/>
    <col min="13170" max="13170" width="14.109375" style="13" bestFit="1" customWidth="1"/>
    <col min="13171" max="13172" width="13.109375" style="13" bestFit="1" customWidth="1"/>
    <col min="13173" max="13173" width="14" style="13" customWidth="1"/>
    <col min="13174" max="13174" width="13.109375" style="13" customWidth="1"/>
    <col min="13175" max="13175" width="16.44140625" style="13" customWidth="1"/>
    <col min="13176" max="13176" width="18.5546875" style="13" customWidth="1"/>
    <col min="13177" max="13177" width="8.109375" style="13" bestFit="1" customWidth="1"/>
    <col min="13178" max="13420" width="58.33203125" style="13"/>
    <col min="13421" max="13421" width="9" style="13" customWidth="1"/>
    <col min="13422" max="13422" width="60.33203125" style="13" customWidth="1"/>
    <col min="13423" max="13423" width="15.6640625" style="13" bestFit="1" customWidth="1"/>
    <col min="13424" max="13424" width="14.109375" style="13" bestFit="1" customWidth="1"/>
    <col min="13425" max="13425" width="14.109375" style="13" customWidth="1"/>
    <col min="13426" max="13426" width="14.109375" style="13" bestFit="1" customWidth="1"/>
    <col min="13427" max="13428" width="13.109375" style="13" bestFit="1" customWidth="1"/>
    <col min="13429" max="13429" width="14" style="13" customWidth="1"/>
    <col min="13430" max="13430" width="13.109375" style="13" customWidth="1"/>
    <col min="13431" max="13431" width="16.44140625" style="13" customWidth="1"/>
    <col min="13432" max="13432" width="18.5546875" style="13" customWidth="1"/>
    <col min="13433" max="13433" width="8.109375" style="13" bestFit="1" customWidth="1"/>
    <col min="13434" max="13676" width="58.33203125" style="13"/>
    <col min="13677" max="13677" width="9" style="13" customWidth="1"/>
    <col min="13678" max="13678" width="60.33203125" style="13" customWidth="1"/>
    <col min="13679" max="13679" width="15.6640625" style="13" bestFit="1" customWidth="1"/>
    <col min="13680" max="13680" width="14.109375" style="13" bestFit="1" customWidth="1"/>
    <col min="13681" max="13681" width="14.109375" style="13" customWidth="1"/>
    <col min="13682" max="13682" width="14.109375" style="13" bestFit="1" customWidth="1"/>
    <col min="13683" max="13684" width="13.109375" style="13" bestFit="1" customWidth="1"/>
    <col min="13685" max="13685" width="14" style="13" customWidth="1"/>
    <col min="13686" max="13686" width="13.109375" style="13" customWidth="1"/>
    <col min="13687" max="13687" width="16.44140625" style="13" customWidth="1"/>
    <col min="13688" max="13688" width="18.5546875" style="13" customWidth="1"/>
    <col min="13689" max="13689" width="8.109375" style="13" bestFit="1" customWidth="1"/>
    <col min="13690" max="13932" width="58.33203125" style="13"/>
    <col min="13933" max="13933" width="9" style="13" customWidth="1"/>
    <col min="13934" max="13934" width="60.33203125" style="13" customWidth="1"/>
    <col min="13935" max="13935" width="15.6640625" style="13" bestFit="1" customWidth="1"/>
    <col min="13936" max="13936" width="14.109375" style="13" bestFit="1" customWidth="1"/>
    <col min="13937" max="13937" width="14.109375" style="13" customWidth="1"/>
    <col min="13938" max="13938" width="14.109375" style="13" bestFit="1" customWidth="1"/>
    <col min="13939" max="13940" width="13.109375" style="13" bestFit="1" customWidth="1"/>
    <col min="13941" max="13941" width="14" style="13" customWidth="1"/>
    <col min="13942" max="13942" width="13.109375" style="13" customWidth="1"/>
    <col min="13943" max="13943" width="16.44140625" style="13" customWidth="1"/>
    <col min="13944" max="13944" width="18.5546875" style="13" customWidth="1"/>
    <col min="13945" max="13945" width="8.109375" style="13" bestFit="1" customWidth="1"/>
    <col min="13946" max="14188" width="58.33203125" style="13"/>
    <col min="14189" max="14189" width="9" style="13" customWidth="1"/>
    <col min="14190" max="14190" width="60.33203125" style="13" customWidth="1"/>
    <col min="14191" max="14191" width="15.6640625" style="13" bestFit="1" customWidth="1"/>
    <col min="14192" max="14192" width="14.109375" style="13" bestFit="1" customWidth="1"/>
    <col min="14193" max="14193" width="14.109375" style="13" customWidth="1"/>
    <col min="14194" max="14194" width="14.109375" style="13" bestFit="1" customWidth="1"/>
    <col min="14195" max="14196" width="13.109375" style="13" bestFit="1" customWidth="1"/>
    <col min="14197" max="14197" width="14" style="13" customWidth="1"/>
    <col min="14198" max="14198" width="13.109375" style="13" customWidth="1"/>
    <col min="14199" max="14199" width="16.44140625" style="13" customWidth="1"/>
    <col min="14200" max="14200" width="18.5546875" style="13" customWidth="1"/>
    <col min="14201" max="14201" width="8.109375" style="13" bestFit="1" customWidth="1"/>
    <col min="14202" max="14444" width="58.33203125" style="13"/>
    <col min="14445" max="14445" width="9" style="13" customWidth="1"/>
    <col min="14446" max="14446" width="60.33203125" style="13" customWidth="1"/>
    <col min="14447" max="14447" width="15.6640625" style="13" bestFit="1" customWidth="1"/>
    <col min="14448" max="14448" width="14.109375" style="13" bestFit="1" customWidth="1"/>
    <col min="14449" max="14449" width="14.109375" style="13" customWidth="1"/>
    <col min="14450" max="14450" width="14.109375" style="13" bestFit="1" customWidth="1"/>
    <col min="14451" max="14452" width="13.109375" style="13" bestFit="1" customWidth="1"/>
    <col min="14453" max="14453" width="14" style="13" customWidth="1"/>
    <col min="14454" max="14454" width="13.109375" style="13" customWidth="1"/>
    <col min="14455" max="14455" width="16.44140625" style="13" customWidth="1"/>
    <col min="14456" max="14456" width="18.5546875" style="13" customWidth="1"/>
    <col min="14457" max="14457" width="8.109375" style="13" bestFit="1" customWidth="1"/>
    <col min="14458" max="14700" width="58.33203125" style="13"/>
    <col min="14701" max="14701" width="9" style="13" customWidth="1"/>
    <col min="14702" max="14702" width="60.33203125" style="13" customWidth="1"/>
    <col min="14703" max="14703" width="15.6640625" style="13" bestFit="1" customWidth="1"/>
    <col min="14704" max="14704" width="14.109375" style="13" bestFit="1" customWidth="1"/>
    <col min="14705" max="14705" width="14.109375" style="13" customWidth="1"/>
    <col min="14706" max="14706" width="14.109375" style="13" bestFit="1" customWidth="1"/>
    <col min="14707" max="14708" width="13.109375" style="13" bestFit="1" customWidth="1"/>
    <col min="14709" max="14709" width="14" style="13" customWidth="1"/>
    <col min="14710" max="14710" width="13.109375" style="13" customWidth="1"/>
    <col min="14711" max="14711" width="16.44140625" style="13" customWidth="1"/>
    <col min="14712" max="14712" width="18.5546875" style="13" customWidth="1"/>
    <col min="14713" max="14713" width="8.109375" style="13" bestFit="1" customWidth="1"/>
    <col min="14714" max="14956" width="58.33203125" style="13"/>
    <col min="14957" max="14957" width="9" style="13" customWidth="1"/>
    <col min="14958" max="14958" width="60.33203125" style="13" customWidth="1"/>
    <col min="14959" max="14959" width="15.6640625" style="13" bestFit="1" customWidth="1"/>
    <col min="14960" max="14960" width="14.109375" style="13" bestFit="1" customWidth="1"/>
    <col min="14961" max="14961" width="14.109375" style="13" customWidth="1"/>
    <col min="14962" max="14962" width="14.109375" style="13" bestFit="1" customWidth="1"/>
    <col min="14963" max="14964" width="13.109375" style="13" bestFit="1" customWidth="1"/>
    <col min="14965" max="14965" width="14" style="13" customWidth="1"/>
    <col min="14966" max="14966" width="13.109375" style="13" customWidth="1"/>
    <col min="14967" max="14967" width="16.44140625" style="13" customWidth="1"/>
    <col min="14968" max="14968" width="18.5546875" style="13" customWidth="1"/>
    <col min="14969" max="14969" width="8.109375" style="13" bestFit="1" customWidth="1"/>
    <col min="14970" max="15212" width="58.33203125" style="13"/>
    <col min="15213" max="15213" width="9" style="13" customWidth="1"/>
    <col min="15214" max="15214" width="60.33203125" style="13" customWidth="1"/>
    <col min="15215" max="15215" width="15.6640625" style="13" bestFit="1" customWidth="1"/>
    <col min="15216" max="15216" width="14.109375" style="13" bestFit="1" customWidth="1"/>
    <col min="15217" max="15217" width="14.109375" style="13" customWidth="1"/>
    <col min="15218" max="15218" width="14.109375" style="13" bestFit="1" customWidth="1"/>
    <col min="15219" max="15220" width="13.109375" style="13" bestFit="1" customWidth="1"/>
    <col min="15221" max="15221" width="14" style="13" customWidth="1"/>
    <col min="15222" max="15222" width="13.109375" style="13" customWidth="1"/>
    <col min="15223" max="15223" width="16.44140625" style="13" customWidth="1"/>
    <col min="15224" max="15224" width="18.5546875" style="13" customWidth="1"/>
    <col min="15225" max="15225" width="8.109375" style="13" bestFit="1" customWidth="1"/>
    <col min="15226" max="15468" width="58.33203125" style="13"/>
    <col min="15469" max="15469" width="9" style="13" customWidth="1"/>
    <col min="15470" max="15470" width="60.33203125" style="13" customWidth="1"/>
    <col min="15471" max="15471" width="15.6640625" style="13" bestFit="1" customWidth="1"/>
    <col min="15472" max="15472" width="14.109375" style="13" bestFit="1" customWidth="1"/>
    <col min="15473" max="15473" width="14.109375" style="13" customWidth="1"/>
    <col min="15474" max="15474" width="14.109375" style="13" bestFit="1" customWidth="1"/>
    <col min="15475" max="15476" width="13.109375" style="13" bestFit="1" customWidth="1"/>
    <col min="15477" max="15477" width="14" style="13" customWidth="1"/>
    <col min="15478" max="15478" width="13.109375" style="13" customWidth="1"/>
    <col min="15479" max="15479" width="16.44140625" style="13" customWidth="1"/>
    <col min="15480" max="15480" width="18.5546875" style="13" customWidth="1"/>
    <col min="15481" max="15481" width="8.109375" style="13" bestFit="1" customWidth="1"/>
    <col min="15482" max="15724" width="58.33203125" style="13"/>
    <col min="15725" max="15725" width="9" style="13" customWidth="1"/>
    <col min="15726" max="15726" width="60.33203125" style="13" customWidth="1"/>
    <col min="15727" max="15727" width="15.6640625" style="13" bestFit="1" customWidth="1"/>
    <col min="15728" max="15728" width="14.109375" style="13" bestFit="1" customWidth="1"/>
    <col min="15729" max="15729" width="14.109375" style="13" customWidth="1"/>
    <col min="15730" max="15730" width="14.109375" style="13" bestFit="1" customWidth="1"/>
    <col min="15731" max="15732" width="13.109375" style="13" bestFit="1" customWidth="1"/>
    <col min="15733" max="15733" width="14" style="13" customWidth="1"/>
    <col min="15734" max="15734" width="13.109375" style="13" customWidth="1"/>
    <col min="15735" max="15735" width="16.44140625" style="13" customWidth="1"/>
    <col min="15736" max="15736" width="18.5546875" style="13" customWidth="1"/>
    <col min="15737" max="15737" width="8.109375" style="13" bestFit="1" customWidth="1"/>
    <col min="15738" max="15980" width="58.33203125" style="13"/>
    <col min="15981" max="15981" width="9" style="13" customWidth="1"/>
    <col min="15982" max="15982" width="60.33203125" style="13" customWidth="1"/>
    <col min="15983" max="15983" width="15.6640625" style="13" bestFit="1" customWidth="1"/>
    <col min="15984" max="15984" width="14.109375" style="13" bestFit="1" customWidth="1"/>
    <col min="15985" max="15985" width="14.109375" style="13" customWidth="1"/>
    <col min="15986" max="15986" width="14.109375" style="13" bestFit="1" customWidth="1"/>
    <col min="15987" max="15988" width="13.109375" style="13" bestFit="1" customWidth="1"/>
    <col min="15989" max="15989" width="14" style="13" customWidth="1"/>
    <col min="15990" max="15990" width="13.109375" style="13" customWidth="1"/>
    <col min="15991" max="15991" width="16.44140625" style="13" customWidth="1"/>
    <col min="15992" max="15992" width="18.5546875" style="13" customWidth="1"/>
    <col min="15993" max="15993" width="8.109375" style="13" bestFit="1" customWidth="1"/>
    <col min="15994" max="16384" width="58.33203125" style="13"/>
  </cols>
  <sheetData>
    <row r="1" spans="1:11" x14ac:dyDescent="0.3">
      <c r="J1" s="75" t="s">
        <v>64</v>
      </c>
      <c r="K1" s="75"/>
    </row>
    <row r="2" spans="1:11" x14ac:dyDescent="0.3">
      <c r="H2" s="75" t="s">
        <v>59</v>
      </c>
      <c r="I2" s="75"/>
      <c r="J2" s="75"/>
      <c r="K2" s="75"/>
    </row>
    <row r="3" spans="1:11" x14ac:dyDescent="0.3">
      <c r="H3" s="75" t="s">
        <v>68</v>
      </c>
      <c r="I3" s="75"/>
      <c r="J3" s="75"/>
      <c r="K3" s="75"/>
    </row>
    <row r="4" spans="1:11" x14ac:dyDescent="0.3">
      <c r="H4" s="75" t="s">
        <v>69</v>
      </c>
      <c r="I4" s="75"/>
      <c r="J4" s="75"/>
      <c r="K4" s="75"/>
    </row>
    <row r="5" spans="1:11" x14ac:dyDescent="0.3">
      <c r="H5" s="75" t="s">
        <v>66</v>
      </c>
      <c r="I5" s="75"/>
      <c r="J5" s="75"/>
      <c r="K5" s="75"/>
    </row>
    <row r="6" spans="1:11" ht="9.6" customHeight="1" x14ac:dyDescent="0.3">
      <c r="H6" s="65"/>
      <c r="I6" s="65"/>
      <c r="J6" s="65"/>
      <c r="K6" s="65"/>
    </row>
    <row r="7" spans="1:11" x14ac:dyDescent="0.3">
      <c r="H7" s="65"/>
      <c r="I7" s="76" t="s">
        <v>71</v>
      </c>
      <c r="J7" s="76"/>
      <c r="K7" s="76"/>
    </row>
    <row r="8" spans="1:11" x14ac:dyDescent="0.3">
      <c r="H8" s="76" t="s">
        <v>59</v>
      </c>
      <c r="I8" s="76"/>
      <c r="J8" s="76"/>
      <c r="K8" s="76"/>
    </row>
    <row r="9" spans="1:11" x14ac:dyDescent="0.3">
      <c r="H9" s="65"/>
      <c r="I9" s="76" t="s">
        <v>66</v>
      </c>
      <c r="J9" s="76"/>
      <c r="K9" s="76"/>
    </row>
    <row r="10" spans="1:11" ht="7.95" customHeight="1" x14ac:dyDescent="0.3"/>
    <row r="11" spans="1:11" x14ac:dyDescent="0.3">
      <c r="A11" s="77" t="s">
        <v>67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ht="16.2" thickBot="1" x14ac:dyDescent="0.35">
      <c r="B12" s="61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1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2" thickBot="1" x14ac:dyDescent="0.35">
      <c r="A14" s="33">
        <v>1000000</v>
      </c>
      <c r="B14" s="35" t="s">
        <v>12</v>
      </c>
      <c r="C14" s="36">
        <f>SUM(C15+C26+C32+C41+C44)</f>
        <v>805236190</v>
      </c>
      <c r="D14" s="36">
        <f t="shared" ref="D14:J14" si="0">SUM(D15+D26+D32+D41+D44)</f>
        <v>203034576</v>
      </c>
      <c r="E14" s="36">
        <f t="shared" si="0"/>
        <v>49334693</v>
      </c>
      <c r="F14" s="36">
        <f t="shared" si="0"/>
        <v>44808073</v>
      </c>
      <c r="G14" s="36">
        <f t="shared" si="0"/>
        <v>17233837</v>
      </c>
      <c r="H14" s="36">
        <f t="shared" si="0"/>
        <v>17717373</v>
      </c>
      <c r="I14" s="36">
        <f t="shared" si="0"/>
        <v>15496325</v>
      </c>
      <c r="J14" s="36">
        <f t="shared" si="0"/>
        <v>4774931</v>
      </c>
      <c r="K14" s="37">
        <f>SUM(C14:J14)</f>
        <v>1157635998</v>
      </c>
    </row>
    <row r="15" spans="1:11" s="1" customFormat="1" x14ac:dyDescent="0.3">
      <c r="A15" s="16">
        <v>1010000</v>
      </c>
      <c r="B15" s="34" t="s">
        <v>13</v>
      </c>
      <c r="C15" s="38">
        <f>SUM(C16+C17+C19+C20+C21+C22+C23+C24)</f>
        <v>402687259</v>
      </c>
      <c r="D15" s="38">
        <f t="shared" ref="D15:J15" si="1">SUM(D16+D17+D19+D20+D21+D22+D23+D24)</f>
        <v>199484720</v>
      </c>
      <c r="E15" s="38">
        <f t="shared" si="1"/>
        <v>29706655</v>
      </c>
      <c r="F15" s="38">
        <f t="shared" si="1"/>
        <v>22238261</v>
      </c>
      <c r="G15" s="38">
        <f t="shared" si="1"/>
        <v>6342941</v>
      </c>
      <c r="H15" s="38">
        <f t="shared" si="1"/>
        <v>9844732</v>
      </c>
      <c r="I15" s="38">
        <f t="shared" si="1"/>
        <v>5227252</v>
      </c>
      <c r="J15" s="38">
        <f t="shared" si="1"/>
        <v>3235259</v>
      </c>
      <c r="K15" s="39">
        <f t="shared" ref="K15:K71" si="2">SUM(C15:J15)</f>
        <v>678767079</v>
      </c>
    </row>
    <row r="16" spans="1:11" s="1" customFormat="1" x14ac:dyDescent="0.3">
      <c r="A16" s="8">
        <v>1010100</v>
      </c>
      <c r="B16" s="11" t="s">
        <v>14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1:11" s="1" customFormat="1" ht="31.2" x14ac:dyDescent="0.3">
      <c r="A17" s="8">
        <v>1010200</v>
      </c>
      <c r="B17" s="11" t="s">
        <v>15</v>
      </c>
      <c r="C17" s="40">
        <f>250746157</f>
        <v>250746157</v>
      </c>
      <c r="D17" s="40">
        <f>177829314</f>
        <v>177829314</v>
      </c>
      <c r="E17" s="40">
        <v>20051441</v>
      </c>
      <c r="F17" s="40">
        <f>37758282-23318021</f>
        <v>14440261</v>
      </c>
      <c r="G17" s="40">
        <v>3764440</v>
      </c>
      <c r="H17" s="40">
        <v>6689576</v>
      </c>
      <c r="I17" s="40">
        <v>2604725</v>
      </c>
      <c r="J17" s="40">
        <v>1636789</v>
      </c>
      <c r="K17" s="71">
        <f t="shared" ref="K17:K22" si="3">SUM(C17:J17)</f>
        <v>477762703</v>
      </c>
    </row>
    <row r="18" spans="1:11" s="1" customFormat="1" ht="31.2" x14ac:dyDescent="0.3">
      <c r="A18" s="18">
        <v>1010290</v>
      </c>
      <c r="B18" s="19" t="s">
        <v>16</v>
      </c>
      <c r="C18" s="42">
        <v>125816420</v>
      </c>
      <c r="D18" s="42">
        <v>40540877</v>
      </c>
      <c r="E18" s="42">
        <v>20051441</v>
      </c>
      <c r="F18" s="42">
        <f>19380507-7785125</f>
        <v>11595382</v>
      </c>
      <c r="G18" s="42">
        <v>3764440</v>
      </c>
      <c r="H18" s="42">
        <v>6689576</v>
      </c>
      <c r="I18" s="42">
        <v>2604725</v>
      </c>
      <c r="J18" s="42">
        <v>1636789</v>
      </c>
      <c r="K18" s="72">
        <f t="shared" si="3"/>
        <v>212699650</v>
      </c>
    </row>
    <row r="19" spans="1:11" s="1" customFormat="1" x14ac:dyDescent="0.3">
      <c r="A19" s="8">
        <v>1010400</v>
      </c>
      <c r="B19" s="11" t="s">
        <v>17</v>
      </c>
      <c r="C19" s="40">
        <v>3845400</v>
      </c>
      <c r="D19" s="40">
        <v>0</v>
      </c>
      <c r="E19" s="40">
        <v>2035800</v>
      </c>
      <c r="F19" s="40">
        <v>765600</v>
      </c>
      <c r="G19" s="40">
        <v>870000</v>
      </c>
      <c r="H19" s="40">
        <v>243600</v>
      </c>
      <c r="I19" s="40">
        <v>382800</v>
      </c>
      <c r="J19" s="40">
        <v>452400</v>
      </c>
      <c r="K19" s="71">
        <f t="shared" si="3"/>
        <v>8595600</v>
      </c>
    </row>
    <row r="20" spans="1:11" s="1" customFormat="1" ht="46.8" x14ac:dyDescent="0.3">
      <c r="A20" s="8">
        <v>1010600</v>
      </c>
      <c r="B20" s="11" t="s">
        <v>18</v>
      </c>
      <c r="C20" s="40">
        <f>0+445821</f>
        <v>445821</v>
      </c>
      <c r="D20" s="40">
        <f>0+162076</f>
        <v>162076</v>
      </c>
      <c r="E20" s="40"/>
      <c r="F20" s="40">
        <f>0+119961</f>
        <v>119961</v>
      </c>
      <c r="G20" s="40"/>
      <c r="H20" s="40"/>
      <c r="I20" s="40"/>
      <c r="J20" s="40"/>
      <c r="K20" s="71">
        <f t="shared" si="3"/>
        <v>727858</v>
      </c>
    </row>
    <row r="21" spans="1:11" s="1" customFormat="1" ht="46.8" x14ac:dyDescent="0.3">
      <c r="A21" s="8">
        <v>1010601</v>
      </c>
      <c r="B21" s="11" t="s">
        <v>19</v>
      </c>
      <c r="C21" s="40">
        <f>0+3211290</f>
        <v>3211290</v>
      </c>
      <c r="D21" s="40">
        <f>0+75612</f>
        <v>75612</v>
      </c>
      <c r="E21" s="40"/>
      <c r="F21" s="40">
        <f>0+399840</f>
        <v>399840</v>
      </c>
      <c r="G21" s="40"/>
      <c r="H21" s="40"/>
      <c r="I21" s="40"/>
      <c r="J21" s="40"/>
      <c r="K21" s="71">
        <f t="shared" si="3"/>
        <v>3686742</v>
      </c>
    </row>
    <row r="22" spans="1:11" s="1" customFormat="1" x14ac:dyDescent="0.3">
      <c r="A22" s="8">
        <v>1010700</v>
      </c>
      <c r="B22" s="11" t="s">
        <v>20</v>
      </c>
      <c r="C22" s="40">
        <f>110034816-67017+6235040-5031797</f>
        <v>111171042</v>
      </c>
      <c r="D22" s="40">
        <f>20748965-1473854-205723</f>
        <v>19069388</v>
      </c>
      <c r="E22" s="40">
        <v>0</v>
      </c>
      <c r="F22" s="40">
        <f>3677792-1585903-1759717</f>
        <v>332172</v>
      </c>
      <c r="G22" s="40"/>
      <c r="H22" s="40"/>
      <c r="I22" s="40"/>
      <c r="J22" s="40"/>
      <c r="K22" s="71">
        <f t="shared" si="3"/>
        <v>130572602</v>
      </c>
    </row>
    <row r="23" spans="1:11" s="1" customFormat="1" ht="81" customHeight="1" x14ac:dyDescent="0.3">
      <c r="A23" s="8">
        <v>1010800</v>
      </c>
      <c r="B23" s="62" t="s">
        <v>63</v>
      </c>
      <c r="C23" s="40">
        <f>24544517+1167469</f>
        <v>25711986</v>
      </c>
      <c r="D23" s="40">
        <f>2163484+87401</f>
        <v>2250885</v>
      </c>
      <c r="E23" s="40">
        <f>5450794+615876</f>
        <v>6066670</v>
      </c>
      <c r="F23" s="40">
        <f>5186097+463698</f>
        <v>5649795</v>
      </c>
      <c r="G23" s="40">
        <f>1353288+204075</f>
        <v>1557363</v>
      </c>
      <c r="H23" s="40">
        <f>2091310+332979</f>
        <v>2424289</v>
      </c>
      <c r="I23" s="40">
        <f>1677436+201660</f>
        <v>1879096</v>
      </c>
      <c r="J23" s="40">
        <f>774751+138149</f>
        <v>912900</v>
      </c>
      <c r="K23" s="71">
        <f t="shared" ref="K23:K24" si="4">SUM(C23:J23)</f>
        <v>46452984</v>
      </c>
    </row>
    <row r="24" spans="1:11" s="60" customFormat="1" ht="31.2" x14ac:dyDescent="0.3">
      <c r="A24" s="63">
        <v>1010900</v>
      </c>
      <c r="B24" s="64" t="s">
        <v>65</v>
      </c>
      <c r="C24" s="53">
        <f>0+7555563</f>
        <v>7555563</v>
      </c>
      <c r="D24" s="53">
        <f>0+97445</f>
        <v>97445</v>
      </c>
      <c r="E24" s="53">
        <f>0+1552744</f>
        <v>1552744</v>
      </c>
      <c r="F24" s="53">
        <f>0+530632</f>
        <v>530632</v>
      </c>
      <c r="G24" s="53">
        <f>0+151138</f>
        <v>151138</v>
      </c>
      <c r="H24" s="53">
        <f>0+487267</f>
        <v>487267</v>
      </c>
      <c r="I24" s="53">
        <f>0+360631</f>
        <v>360631</v>
      </c>
      <c r="J24" s="53">
        <f>0+233170</f>
        <v>233170</v>
      </c>
      <c r="K24" s="73">
        <f t="shared" si="4"/>
        <v>10968590</v>
      </c>
    </row>
    <row r="25" spans="1:11" s="1" customFormat="1" x14ac:dyDescent="0.3">
      <c r="A25" s="18"/>
      <c r="B25" s="11"/>
      <c r="C25" s="40"/>
      <c r="D25" s="40"/>
      <c r="E25" s="40"/>
      <c r="F25" s="40"/>
      <c r="G25" s="40"/>
      <c r="H25" s="40"/>
      <c r="I25" s="40"/>
      <c r="J25" s="40"/>
      <c r="K25" s="71"/>
    </row>
    <row r="26" spans="1:11" s="2" customFormat="1" ht="31.2" x14ac:dyDescent="0.3">
      <c r="A26" s="8">
        <v>1020000</v>
      </c>
      <c r="B26" s="11" t="s">
        <v>21</v>
      </c>
      <c r="C26" s="40">
        <f t="shared" ref="C26:J26" si="5">SUM(C27:C30)</f>
        <v>28982011</v>
      </c>
      <c r="D26" s="40">
        <f t="shared" si="5"/>
        <v>137629</v>
      </c>
      <c r="E26" s="40">
        <f t="shared" si="5"/>
        <v>10685832</v>
      </c>
      <c r="F26" s="40">
        <f t="shared" si="5"/>
        <v>560366</v>
      </c>
      <c r="G26" s="40">
        <f t="shared" si="5"/>
        <v>4501596</v>
      </c>
      <c r="H26" s="40">
        <f t="shared" si="5"/>
        <v>124866</v>
      </c>
      <c r="I26" s="40">
        <f t="shared" si="5"/>
        <v>29232</v>
      </c>
      <c r="J26" s="40">
        <f t="shared" si="5"/>
        <v>140225</v>
      </c>
      <c r="K26" s="71">
        <f t="shared" ref="K26:K30" si="6">SUM(C26:J26)</f>
        <v>45161757</v>
      </c>
    </row>
    <row r="27" spans="1:11" s="1" customFormat="1" x14ac:dyDescent="0.3">
      <c r="A27" s="8">
        <v>1020100</v>
      </c>
      <c r="B27" s="11" t="s">
        <v>22</v>
      </c>
      <c r="C27" s="40"/>
      <c r="D27" s="40"/>
      <c r="E27" s="40"/>
      <c r="F27" s="40"/>
      <c r="G27" s="40"/>
      <c r="H27" s="40"/>
      <c r="I27" s="40"/>
      <c r="J27" s="40"/>
      <c r="K27" s="71">
        <f t="shared" si="6"/>
        <v>0</v>
      </c>
    </row>
    <row r="28" spans="1:11" s="1" customFormat="1" ht="31.2" x14ac:dyDescent="0.3">
      <c r="A28" s="8">
        <v>1020200</v>
      </c>
      <c r="B28" s="11" t="s">
        <v>23</v>
      </c>
      <c r="C28" s="40">
        <v>27878572</v>
      </c>
      <c r="D28" s="40">
        <v>0</v>
      </c>
      <c r="E28" s="40">
        <v>10297497</v>
      </c>
      <c r="F28" s="40">
        <v>263746</v>
      </c>
      <c r="G28" s="40">
        <v>4470972</v>
      </c>
      <c r="H28" s="40">
        <v>23100</v>
      </c>
      <c r="I28" s="40">
        <v>0</v>
      </c>
      <c r="J28" s="40">
        <v>106817</v>
      </c>
      <c r="K28" s="71">
        <f t="shared" si="6"/>
        <v>43040704</v>
      </c>
    </row>
    <row r="29" spans="1:11" s="2" customFormat="1" ht="31.2" x14ac:dyDescent="0.3">
      <c r="A29" s="8">
        <v>1020400</v>
      </c>
      <c r="B29" s="17" t="s">
        <v>24</v>
      </c>
      <c r="C29" s="40"/>
      <c r="D29" s="40"/>
      <c r="E29" s="40"/>
      <c r="F29" s="40"/>
      <c r="G29" s="40"/>
      <c r="H29" s="40"/>
      <c r="I29" s="40"/>
      <c r="J29" s="40"/>
      <c r="K29" s="71">
        <f t="shared" si="6"/>
        <v>0</v>
      </c>
    </row>
    <row r="30" spans="1:11" s="1" customFormat="1" x14ac:dyDescent="0.3">
      <c r="A30" s="8">
        <v>1020500</v>
      </c>
      <c r="B30" s="11" t="s">
        <v>25</v>
      </c>
      <c r="C30" s="40">
        <v>1103439</v>
      </c>
      <c r="D30" s="40">
        <v>137629</v>
      </c>
      <c r="E30" s="40">
        <v>388335</v>
      </c>
      <c r="F30" s="40">
        <v>296620</v>
      </c>
      <c r="G30" s="40">
        <v>30624</v>
      </c>
      <c r="H30" s="40">
        <v>101766</v>
      </c>
      <c r="I30" s="40">
        <v>29232</v>
      </c>
      <c r="J30" s="40">
        <v>33408</v>
      </c>
      <c r="K30" s="71">
        <f t="shared" si="6"/>
        <v>2121053</v>
      </c>
    </row>
    <row r="31" spans="1:11" s="1" customFormat="1" x14ac:dyDescent="0.3">
      <c r="A31" s="8"/>
      <c r="B31" s="11"/>
      <c r="C31" s="40"/>
      <c r="D31" s="40"/>
      <c r="E31" s="40"/>
      <c r="F31" s="40"/>
      <c r="G31" s="40"/>
      <c r="H31" s="40"/>
      <c r="I31" s="40"/>
      <c r="J31" s="40"/>
      <c r="K31" s="71"/>
    </row>
    <row r="32" spans="1:11" s="1" customFormat="1" ht="31.2" x14ac:dyDescent="0.3">
      <c r="A32" s="8">
        <v>1050000</v>
      </c>
      <c r="B32" s="11" t="s">
        <v>26</v>
      </c>
      <c r="C32" s="40">
        <f>7107521-1618328</f>
        <v>5489193</v>
      </c>
      <c r="D32" s="40">
        <v>3151006</v>
      </c>
      <c r="E32" s="40">
        <f>1960030-4313</f>
        <v>1955717</v>
      </c>
      <c r="F32" s="40">
        <v>16050430</v>
      </c>
      <c r="G32" s="40">
        <v>2228198</v>
      </c>
      <c r="H32" s="40">
        <v>3724018</v>
      </c>
      <c r="I32" s="40">
        <v>8088516</v>
      </c>
      <c r="J32" s="40">
        <v>322411</v>
      </c>
      <c r="K32" s="71">
        <f t="shared" ref="K32:K39" si="7">SUM(C32:J32)</f>
        <v>41009489</v>
      </c>
    </row>
    <row r="33" spans="1:11" s="1" customFormat="1" x14ac:dyDescent="0.3">
      <c r="A33" s="8">
        <v>1050100</v>
      </c>
      <c r="B33" s="11" t="s">
        <v>27</v>
      </c>
      <c r="C33" s="40">
        <f>SUM(C34:C35)</f>
        <v>0</v>
      </c>
      <c r="D33" s="40">
        <f t="shared" ref="D33:J33" si="8">SUM(D34:D35)</f>
        <v>0</v>
      </c>
      <c r="E33" s="40">
        <f t="shared" si="8"/>
        <v>0</v>
      </c>
      <c r="F33" s="40">
        <f t="shared" si="8"/>
        <v>0</v>
      </c>
      <c r="G33" s="40">
        <f t="shared" si="8"/>
        <v>0</v>
      </c>
      <c r="H33" s="40">
        <f t="shared" si="8"/>
        <v>0</v>
      </c>
      <c r="I33" s="40">
        <f t="shared" si="8"/>
        <v>0</v>
      </c>
      <c r="J33" s="40">
        <f t="shared" si="8"/>
        <v>0</v>
      </c>
      <c r="K33" s="71">
        <f t="shared" si="7"/>
        <v>0</v>
      </c>
    </row>
    <row r="34" spans="1:11" s="1" customFormat="1" ht="31.2" hidden="1" x14ac:dyDescent="0.3">
      <c r="A34" s="18">
        <v>1050101</v>
      </c>
      <c r="B34" s="19" t="s">
        <v>28</v>
      </c>
      <c r="C34" s="42"/>
      <c r="D34" s="42"/>
      <c r="E34" s="42"/>
      <c r="F34" s="42"/>
      <c r="G34" s="42"/>
      <c r="H34" s="42"/>
      <c r="I34" s="42"/>
      <c r="J34" s="42"/>
      <c r="K34" s="72">
        <f t="shared" si="7"/>
        <v>0</v>
      </c>
    </row>
    <row r="35" spans="1:11" s="1" customFormat="1" ht="31.2" hidden="1" x14ac:dyDescent="0.3">
      <c r="A35" s="18">
        <v>1050102</v>
      </c>
      <c r="B35" s="19" t="s">
        <v>29</v>
      </c>
      <c r="C35" s="42"/>
      <c r="D35" s="42"/>
      <c r="E35" s="42"/>
      <c r="F35" s="42"/>
      <c r="G35" s="42"/>
      <c r="H35" s="42"/>
      <c r="I35" s="42"/>
      <c r="J35" s="42"/>
      <c r="K35" s="72">
        <f t="shared" si="7"/>
        <v>0</v>
      </c>
    </row>
    <row r="36" spans="1:11" s="1" customFormat="1" ht="46.8" x14ac:dyDescent="0.3">
      <c r="A36" s="8">
        <v>1050200</v>
      </c>
      <c r="B36" s="11" t="s">
        <v>30</v>
      </c>
      <c r="C36" s="40">
        <f>6870490-1618328</f>
        <v>5252162</v>
      </c>
      <c r="D36" s="40">
        <v>3151006</v>
      </c>
      <c r="E36" s="40">
        <f>1706763-4313</f>
        <v>1702450</v>
      </c>
      <c r="F36" s="40">
        <v>475109</v>
      </c>
      <c r="G36" s="40">
        <v>207608</v>
      </c>
      <c r="H36" s="40">
        <v>548037</v>
      </c>
      <c r="I36" s="40">
        <v>554491</v>
      </c>
      <c r="J36" s="40">
        <v>202300</v>
      </c>
      <c r="K36" s="71">
        <f t="shared" si="7"/>
        <v>12093163</v>
      </c>
    </row>
    <row r="37" spans="1:11" s="1" customFormat="1" ht="62.4" x14ac:dyDescent="0.3">
      <c r="A37" s="8">
        <v>1050400</v>
      </c>
      <c r="B37" s="11" t="s">
        <v>31</v>
      </c>
      <c r="C37" s="40">
        <v>0</v>
      </c>
      <c r="D37" s="40">
        <v>0</v>
      </c>
      <c r="E37" s="40">
        <v>189702</v>
      </c>
      <c r="F37" s="40">
        <v>8254329</v>
      </c>
      <c r="G37" s="40">
        <v>1297198</v>
      </c>
      <c r="H37" s="40">
        <v>2141142</v>
      </c>
      <c r="I37" s="40">
        <v>4908150</v>
      </c>
      <c r="J37" s="40">
        <v>38650</v>
      </c>
      <c r="K37" s="71">
        <f t="shared" si="7"/>
        <v>16829171</v>
      </c>
    </row>
    <row r="38" spans="1:11" s="1" customFormat="1" ht="31.2" hidden="1" x14ac:dyDescent="0.3">
      <c r="A38" s="8">
        <v>1051100</v>
      </c>
      <c r="B38" s="11" t="s">
        <v>32</v>
      </c>
      <c r="C38" s="40">
        <v>0</v>
      </c>
      <c r="D38" s="40">
        <v>0</v>
      </c>
      <c r="E38" s="40"/>
      <c r="F38" s="40"/>
      <c r="G38" s="40"/>
      <c r="H38" s="40"/>
      <c r="I38" s="40"/>
      <c r="J38" s="40"/>
      <c r="K38" s="71">
        <f t="shared" si="7"/>
        <v>0</v>
      </c>
    </row>
    <row r="39" spans="1:11" s="2" customFormat="1" ht="31.2" x14ac:dyDescent="0.3">
      <c r="A39" s="8">
        <v>1051200</v>
      </c>
      <c r="B39" s="11" t="s">
        <v>33</v>
      </c>
      <c r="C39" s="40">
        <v>0</v>
      </c>
      <c r="D39" s="40">
        <v>0</v>
      </c>
      <c r="E39" s="40">
        <v>63565</v>
      </c>
      <c r="F39" s="40">
        <v>7312634</v>
      </c>
      <c r="G39" s="40">
        <v>722226</v>
      </c>
      <c r="H39" s="40">
        <v>1016222</v>
      </c>
      <c r="I39" s="40">
        <v>2619893</v>
      </c>
      <c r="J39" s="40">
        <v>8161</v>
      </c>
      <c r="K39" s="71">
        <f t="shared" si="7"/>
        <v>11742701</v>
      </c>
    </row>
    <row r="40" spans="1:11" s="2" customFormat="1" x14ac:dyDescent="0.3">
      <c r="A40" s="18"/>
      <c r="B40" s="19"/>
      <c r="C40" s="42"/>
      <c r="D40" s="42"/>
      <c r="E40" s="42"/>
      <c r="F40" s="42"/>
      <c r="G40" s="42"/>
      <c r="H40" s="42"/>
      <c r="I40" s="42"/>
      <c r="J40" s="42"/>
      <c r="K40" s="72"/>
    </row>
    <row r="41" spans="1:11" s="1" customFormat="1" ht="31.2" x14ac:dyDescent="0.3">
      <c r="A41" s="8">
        <v>1060000</v>
      </c>
      <c r="B41" s="11" t="s">
        <v>34</v>
      </c>
      <c r="C41" s="40">
        <f>SUM(C42)</f>
        <v>353304607</v>
      </c>
      <c r="D41" s="40">
        <f t="shared" ref="D41:J41" si="9">SUM(D42)</f>
        <v>0</v>
      </c>
      <c r="E41" s="40">
        <f t="shared" si="9"/>
        <v>0</v>
      </c>
      <c r="F41" s="40">
        <f t="shared" si="9"/>
        <v>0</v>
      </c>
      <c r="G41" s="40">
        <f t="shared" si="9"/>
        <v>0</v>
      </c>
      <c r="H41" s="40">
        <f t="shared" si="9"/>
        <v>0</v>
      </c>
      <c r="I41" s="40">
        <f t="shared" si="9"/>
        <v>0</v>
      </c>
      <c r="J41" s="40">
        <f t="shared" si="9"/>
        <v>0</v>
      </c>
      <c r="K41" s="71">
        <f t="shared" ref="K41:K42" si="10">SUM(C41:J41)</f>
        <v>353304607</v>
      </c>
    </row>
    <row r="42" spans="1:11" s="1" customFormat="1" x14ac:dyDescent="0.3">
      <c r="A42" s="18">
        <v>1060400</v>
      </c>
      <c r="B42" s="19" t="s">
        <v>62</v>
      </c>
      <c r="C42" s="70">
        <f>536734818-127009947-474000+4000-30529397-4257000-21163867</f>
        <v>353304607</v>
      </c>
      <c r="D42" s="42"/>
      <c r="E42" s="42"/>
      <c r="F42" s="42"/>
      <c r="G42" s="42"/>
      <c r="H42" s="42"/>
      <c r="I42" s="42"/>
      <c r="J42" s="42"/>
      <c r="K42" s="72">
        <f t="shared" si="10"/>
        <v>353304607</v>
      </c>
    </row>
    <row r="43" spans="1:11" s="1" customFormat="1" x14ac:dyDescent="0.3">
      <c r="A43" s="8"/>
      <c r="B43" s="11"/>
      <c r="C43" s="42"/>
      <c r="D43" s="42"/>
      <c r="E43" s="42"/>
      <c r="F43" s="42"/>
      <c r="G43" s="42"/>
      <c r="H43" s="42"/>
      <c r="I43" s="42"/>
      <c r="J43" s="42"/>
      <c r="K43" s="71"/>
    </row>
    <row r="44" spans="1:11" s="1" customFormat="1" x14ac:dyDescent="0.3">
      <c r="A44" s="8">
        <v>1400000</v>
      </c>
      <c r="B44" s="11" t="s">
        <v>35</v>
      </c>
      <c r="C44" s="40">
        <f>C45</f>
        <v>14773120</v>
      </c>
      <c r="D44" s="40">
        <f t="shared" ref="D44:J44" si="11">D45</f>
        <v>261221</v>
      </c>
      <c r="E44" s="40">
        <f t="shared" si="11"/>
        <v>6986489</v>
      </c>
      <c r="F44" s="40">
        <f t="shared" si="11"/>
        <v>5959016</v>
      </c>
      <c r="G44" s="40">
        <f t="shared" si="11"/>
        <v>4161102</v>
      </c>
      <c r="H44" s="40">
        <f t="shared" si="11"/>
        <v>4023757</v>
      </c>
      <c r="I44" s="40">
        <f t="shared" si="11"/>
        <v>2151325</v>
      </c>
      <c r="J44" s="40">
        <f t="shared" si="11"/>
        <v>1077036</v>
      </c>
      <c r="K44" s="71">
        <f t="shared" ref="K44:K45" si="12">SUM(C44:J44)</f>
        <v>39393066</v>
      </c>
    </row>
    <row r="45" spans="1:11" s="1" customFormat="1" x14ac:dyDescent="0.3">
      <c r="A45" s="8">
        <v>1400100</v>
      </c>
      <c r="B45" s="11" t="s">
        <v>36</v>
      </c>
      <c r="C45" s="42">
        <f>9583189+5189931</f>
        <v>14773120</v>
      </c>
      <c r="D45" s="42">
        <f>143679+117542</f>
        <v>261221</v>
      </c>
      <c r="E45" s="42">
        <f>4965626+2020863</f>
        <v>6986489</v>
      </c>
      <c r="F45" s="42">
        <f>4101213+1857803</f>
        <v>5959016</v>
      </c>
      <c r="G45" s="42">
        <f>2518944+1642158</f>
        <v>4161102</v>
      </c>
      <c r="H45" s="42">
        <f>2465805+1557952</f>
        <v>4023757</v>
      </c>
      <c r="I45" s="42">
        <f>1175518+975807</f>
        <v>2151325</v>
      </c>
      <c r="J45" s="42">
        <f>686393+390643</f>
        <v>1077036</v>
      </c>
      <c r="K45" s="72">
        <f t="shared" si="12"/>
        <v>39393066</v>
      </c>
    </row>
    <row r="46" spans="1:11" s="1" customFormat="1" ht="16.2" thickBot="1" x14ac:dyDescent="0.35">
      <c r="A46" s="31"/>
      <c r="B46" s="32"/>
      <c r="C46" s="44"/>
      <c r="D46" s="44"/>
      <c r="E46" s="44"/>
      <c r="F46" s="44"/>
      <c r="G46" s="44"/>
      <c r="H46" s="44"/>
      <c r="I46" s="44"/>
      <c r="J46" s="44"/>
      <c r="K46" s="45"/>
    </row>
    <row r="47" spans="1:11" s="1" customFormat="1" ht="16.2" thickBot="1" x14ac:dyDescent="0.35">
      <c r="A47" s="33">
        <v>2000000</v>
      </c>
      <c r="B47" s="30" t="s">
        <v>37</v>
      </c>
      <c r="C47" s="36">
        <f>SUM(C48+C56+C59+C61)</f>
        <v>94687235</v>
      </c>
      <c r="D47" s="36">
        <f t="shared" ref="D47:J47" si="13">SUM(D48+D56+D59+D61)</f>
        <v>246937</v>
      </c>
      <c r="E47" s="36">
        <f t="shared" si="13"/>
        <v>6876619</v>
      </c>
      <c r="F47" s="36">
        <f t="shared" si="13"/>
        <v>6053855</v>
      </c>
      <c r="G47" s="36">
        <f t="shared" si="13"/>
        <v>1802809</v>
      </c>
      <c r="H47" s="36">
        <f t="shared" si="13"/>
        <v>2324200</v>
      </c>
      <c r="I47" s="36">
        <f t="shared" si="13"/>
        <v>1037156</v>
      </c>
      <c r="J47" s="36">
        <f t="shared" si="13"/>
        <v>819919</v>
      </c>
      <c r="K47" s="37">
        <f t="shared" si="2"/>
        <v>113848730</v>
      </c>
    </row>
    <row r="48" spans="1:11" s="1" customFormat="1" ht="46.8" x14ac:dyDescent="0.3">
      <c r="A48" s="16">
        <v>2010000</v>
      </c>
      <c r="B48" s="29" t="s">
        <v>38</v>
      </c>
      <c r="C48" s="38">
        <f>23769699+4795360</f>
        <v>28565059</v>
      </c>
      <c r="D48" s="38">
        <v>140474</v>
      </c>
      <c r="E48" s="38">
        <v>1469244</v>
      </c>
      <c r="F48" s="38">
        <f>3189074</f>
        <v>3189074</v>
      </c>
      <c r="G48" s="38">
        <v>148643</v>
      </c>
      <c r="H48" s="38">
        <v>473357</v>
      </c>
      <c r="I48" s="38">
        <v>53850</v>
      </c>
      <c r="J48" s="38">
        <v>26507</v>
      </c>
      <c r="K48" s="39">
        <f t="shared" si="2"/>
        <v>34066208</v>
      </c>
    </row>
    <row r="49" spans="1:11" s="1" customFormat="1" ht="36" customHeight="1" x14ac:dyDescent="0.3">
      <c r="A49" s="8">
        <v>2010200</v>
      </c>
      <c r="B49" s="50" t="s">
        <v>39</v>
      </c>
      <c r="C49" s="66">
        <v>1492954</v>
      </c>
      <c r="D49" s="66">
        <v>25490</v>
      </c>
      <c r="E49" s="66">
        <v>308681</v>
      </c>
      <c r="F49" s="66">
        <v>129119</v>
      </c>
      <c r="G49" s="66">
        <v>42134</v>
      </c>
      <c r="H49" s="66">
        <v>163789</v>
      </c>
      <c r="I49" s="66">
        <v>53850</v>
      </c>
      <c r="J49" s="66">
        <v>16067</v>
      </c>
      <c r="K49" s="41">
        <f t="shared" si="2"/>
        <v>2232084</v>
      </c>
    </row>
    <row r="50" spans="1:11" s="1" customFormat="1" ht="31.2" x14ac:dyDescent="0.3">
      <c r="A50" s="8">
        <v>2010300</v>
      </c>
      <c r="B50" s="11" t="s">
        <v>40</v>
      </c>
      <c r="C50" s="40">
        <v>7564452</v>
      </c>
      <c r="D50" s="40"/>
      <c r="E50" s="40">
        <v>599106</v>
      </c>
      <c r="F50" s="40">
        <f>3016455</f>
        <v>3016455</v>
      </c>
      <c r="G50" s="40">
        <v>0</v>
      </c>
      <c r="H50" s="40">
        <v>0</v>
      </c>
      <c r="I50" s="40">
        <v>0</v>
      </c>
      <c r="J50" s="40">
        <v>0</v>
      </c>
      <c r="K50" s="41">
        <f t="shared" si="2"/>
        <v>11180013</v>
      </c>
    </row>
    <row r="51" spans="1:11" s="1" customFormat="1" ht="31.2" x14ac:dyDescent="0.3">
      <c r="A51" s="8">
        <v>2010400</v>
      </c>
      <c r="B51" s="11" t="s">
        <v>41</v>
      </c>
      <c r="C51" s="40">
        <v>357000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1">
        <f t="shared" si="2"/>
        <v>357000</v>
      </c>
    </row>
    <row r="52" spans="1:11" s="1" customFormat="1" ht="31.2" x14ac:dyDescent="0.3">
      <c r="A52" s="8">
        <v>2010500</v>
      </c>
      <c r="B52" s="11" t="s">
        <v>42</v>
      </c>
      <c r="C52" s="40">
        <v>63548</v>
      </c>
      <c r="D52" s="40">
        <v>0</v>
      </c>
      <c r="E52" s="40">
        <v>8727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1">
        <f t="shared" si="2"/>
        <v>72275</v>
      </c>
    </row>
    <row r="53" spans="1:11" s="1" customFormat="1" ht="31.2" x14ac:dyDescent="0.3">
      <c r="A53" s="8">
        <v>2010900</v>
      </c>
      <c r="B53" s="11" t="s">
        <v>43</v>
      </c>
      <c r="C53" s="40">
        <v>1791830</v>
      </c>
      <c r="D53" s="40">
        <v>114984</v>
      </c>
      <c r="E53" s="40">
        <v>497051</v>
      </c>
      <c r="F53" s="40">
        <v>0</v>
      </c>
      <c r="G53" s="40">
        <v>35169</v>
      </c>
      <c r="H53" s="40">
        <v>309568</v>
      </c>
      <c r="I53" s="40">
        <v>0</v>
      </c>
      <c r="J53" s="40">
        <v>0</v>
      </c>
      <c r="K53" s="41">
        <f t="shared" si="2"/>
        <v>2748602</v>
      </c>
    </row>
    <row r="54" spans="1:11" s="1" customFormat="1" ht="31.2" x14ac:dyDescent="0.3">
      <c r="A54" s="8">
        <v>2011000</v>
      </c>
      <c r="B54" s="11" t="s">
        <v>44</v>
      </c>
      <c r="C54" s="40">
        <f>10259282+4795360</f>
        <v>15054642</v>
      </c>
      <c r="D54" s="40"/>
      <c r="E54" s="40">
        <v>0</v>
      </c>
      <c r="F54" s="40">
        <v>0</v>
      </c>
      <c r="G54" s="40">
        <v>0</v>
      </c>
      <c r="H54" s="46">
        <v>0</v>
      </c>
      <c r="I54" s="40">
        <v>0</v>
      </c>
      <c r="J54" s="40">
        <v>0</v>
      </c>
      <c r="K54" s="41">
        <f t="shared" si="2"/>
        <v>15054642</v>
      </c>
    </row>
    <row r="55" spans="1:11" s="1" customFormat="1" x14ac:dyDescent="0.3">
      <c r="A55" s="8"/>
      <c r="B55" s="11"/>
      <c r="C55" s="40"/>
      <c r="D55" s="40"/>
      <c r="E55" s="40"/>
      <c r="F55" s="40"/>
      <c r="G55" s="40"/>
      <c r="H55" s="40"/>
      <c r="I55" s="40"/>
      <c r="J55" s="40"/>
      <c r="K55" s="41"/>
    </row>
    <row r="56" spans="1:11" s="1" customFormat="1" ht="46.8" x14ac:dyDescent="0.3">
      <c r="A56" s="8">
        <v>2020000</v>
      </c>
      <c r="B56" s="11" t="s">
        <v>45</v>
      </c>
      <c r="C56" s="40">
        <f>9092192+39994238</f>
        <v>49086430</v>
      </c>
      <c r="D56" s="40">
        <v>2498</v>
      </c>
      <c r="E56" s="40">
        <v>26197</v>
      </c>
      <c r="F56" s="40">
        <v>43632</v>
      </c>
      <c r="G56" s="40">
        <v>0</v>
      </c>
      <c r="H56" s="40">
        <v>28062</v>
      </c>
      <c r="I56" s="40">
        <v>40863</v>
      </c>
      <c r="J56" s="40">
        <v>28265</v>
      </c>
      <c r="K56" s="41">
        <f t="shared" si="2"/>
        <v>49255947</v>
      </c>
    </row>
    <row r="57" spans="1:11" s="1" customFormat="1" ht="46.8" x14ac:dyDescent="0.3">
      <c r="A57" s="18">
        <v>2020100</v>
      </c>
      <c r="B57" s="19" t="s">
        <v>46</v>
      </c>
      <c r="C57" s="42">
        <f>8807000+39994238</f>
        <v>48801238</v>
      </c>
      <c r="D57" s="42"/>
      <c r="E57" s="42"/>
      <c r="F57" s="42"/>
      <c r="G57" s="42"/>
      <c r="H57" s="42"/>
      <c r="I57" s="42"/>
      <c r="J57" s="42"/>
      <c r="K57" s="43">
        <f t="shared" si="2"/>
        <v>48801238</v>
      </c>
    </row>
    <row r="58" spans="1:11" s="1" customFormat="1" x14ac:dyDescent="0.3">
      <c r="A58" s="18"/>
      <c r="B58" s="19"/>
      <c r="C58" s="42"/>
      <c r="D58" s="42"/>
      <c r="E58" s="42"/>
      <c r="F58" s="42"/>
      <c r="G58" s="42"/>
      <c r="H58" s="42"/>
      <c r="I58" s="42"/>
      <c r="J58" s="42"/>
      <c r="K58" s="41"/>
    </row>
    <row r="59" spans="1:11" s="1" customFormat="1" x14ac:dyDescent="0.3">
      <c r="A59" s="10">
        <v>2060000</v>
      </c>
      <c r="B59" s="11" t="s">
        <v>47</v>
      </c>
      <c r="C59" s="40">
        <v>3548304</v>
      </c>
      <c r="D59" s="40">
        <v>73842</v>
      </c>
      <c r="E59" s="40">
        <v>1116528</v>
      </c>
      <c r="F59" s="40">
        <v>727163</v>
      </c>
      <c r="G59" s="40">
        <v>607181</v>
      </c>
      <c r="H59" s="40">
        <v>533711</v>
      </c>
      <c r="I59" s="40">
        <v>428451</v>
      </c>
      <c r="J59" s="40">
        <v>239506</v>
      </c>
      <c r="K59" s="41">
        <f t="shared" si="2"/>
        <v>7274686</v>
      </c>
    </row>
    <row r="60" spans="1:11" s="1" customFormat="1" x14ac:dyDescent="0.3">
      <c r="A60" s="20"/>
      <c r="B60" s="19"/>
      <c r="C60" s="42"/>
      <c r="D60" s="42"/>
      <c r="E60" s="42"/>
      <c r="F60" s="42"/>
      <c r="G60" s="42"/>
      <c r="H60" s="42"/>
      <c r="I60" s="42"/>
      <c r="J60" s="42"/>
      <c r="K60" s="41"/>
    </row>
    <row r="61" spans="1:11" s="1" customFormat="1" x14ac:dyDescent="0.3">
      <c r="A61" s="10">
        <v>2070000</v>
      </c>
      <c r="B61" s="11" t="s">
        <v>48</v>
      </c>
      <c r="C61" s="40">
        <f>12233535+1253907</f>
        <v>13487442</v>
      </c>
      <c r="D61" s="40">
        <v>30123</v>
      </c>
      <c r="E61" s="40">
        <v>4264650</v>
      </c>
      <c r="F61" s="40">
        <v>2093986</v>
      </c>
      <c r="G61" s="40">
        <v>1046985</v>
      </c>
      <c r="H61" s="40">
        <v>1289070</v>
      </c>
      <c r="I61" s="40">
        <v>513992</v>
      </c>
      <c r="J61" s="40">
        <v>525641</v>
      </c>
      <c r="K61" s="41">
        <f t="shared" si="2"/>
        <v>23251889</v>
      </c>
    </row>
    <row r="62" spans="1:11" s="1" customFormat="1" ht="16.2" thickBot="1" x14ac:dyDescent="0.35">
      <c r="A62" s="22"/>
      <c r="B62" s="26"/>
      <c r="C62" s="47"/>
      <c r="D62" s="47"/>
      <c r="E62" s="47"/>
      <c r="F62" s="47"/>
      <c r="G62" s="47"/>
      <c r="H62" s="47"/>
      <c r="I62" s="47"/>
      <c r="J62" s="47"/>
      <c r="K62" s="45"/>
    </row>
    <row r="63" spans="1:11" s="1" customFormat="1" ht="16.2" thickBot="1" x14ac:dyDescent="0.35">
      <c r="A63" s="27">
        <v>4000000</v>
      </c>
      <c r="B63" s="30" t="s">
        <v>49</v>
      </c>
      <c r="C63" s="36">
        <f>SUM(C64+C67+C69+C71+C73+C75+C77+C79)</f>
        <v>632653511</v>
      </c>
      <c r="D63" s="36">
        <f t="shared" ref="D63:J63" si="14">SUM(D64+D67+D69+D71+D73+D75+D77+D79)</f>
        <v>18603858</v>
      </c>
      <c r="E63" s="36">
        <f t="shared" si="14"/>
        <v>11574654</v>
      </c>
      <c r="F63" s="36">
        <f t="shared" si="14"/>
        <v>23381097</v>
      </c>
      <c r="G63" s="36">
        <f t="shared" si="14"/>
        <v>9075401</v>
      </c>
      <c r="H63" s="36">
        <f t="shared" si="14"/>
        <v>21993707</v>
      </c>
      <c r="I63" s="36">
        <f t="shared" si="14"/>
        <v>17466597</v>
      </c>
      <c r="J63" s="36">
        <f t="shared" si="14"/>
        <v>6420962</v>
      </c>
      <c r="K63" s="37">
        <f t="shared" si="2"/>
        <v>741169787</v>
      </c>
    </row>
    <row r="64" spans="1:11" s="60" customFormat="1" x14ac:dyDescent="0.3">
      <c r="A64" s="56">
        <v>4010000</v>
      </c>
      <c r="B64" s="57" t="s">
        <v>50</v>
      </c>
      <c r="C64" s="58">
        <f>274031814-20854431</f>
        <v>253177383</v>
      </c>
      <c r="D64" s="58">
        <v>16613212</v>
      </c>
      <c r="E64" s="58">
        <v>9896768</v>
      </c>
      <c r="F64" s="58">
        <f>9920499-3114050</f>
        <v>6806449</v>
      </c>
      <c r="G64" s="58">
        <v>2224110</v>
      </c>
      <c r="H64" s="58">
        <v>3989068</v>
      </c>
      <c r="I64" s="58">
        <v>1729060</v>
      </c>
      <c r="J64" s="58">
        <v>818526</v>
      </c>
      <c r="K64" s="59">
        <f t="shared" si="2"/>
        <v>295254576</v>
      </c>
    </row>
    <row r="65" spans="1:11" s="1" customFormat="1" x14ac:dyDescent="0.3">
      <c r="A65" s="20">
        <v>4010104</v>
      </c>
      <c r="B65" s="19" t="s">
        <v>51</v>
      </c>
      <c r="C65" s="42">
        <v>50249665</v>
      </c>
      <c r="D65" s="42">
        <v>16216896</v>
      </c>
      <c r="E65" s="42">
        <v>7933337</v>
      </c>
      <c r="F65" s="42">
        <f>7771195-3114050</f>
        <v>4657145</v>
      </c>
      <c r="G65" s="42">
        <v>1512692</v>
      </c>
      <c r="H65" s="42">
        <v>2671265</v>
      </c>
      <c r="I65" s="42">
        <v>1035535</v>
      </c>
      <c r="J65" s="42">
        <v>425327</v>
      </c>
      <c r="K65" s="43">
        <f t="shared" si="2"/>
        <v>84701862</v>
      </c>
    </row>
    <row r="66" spans="1:11" s="1" customFormat="1" x14ac:dyDescent="0.3">
      <c r="A66" s="20"/>
      <c r="B66" s="19"/>
      <c r="C66" s="42"/>
      <c r="D66" s="42"/>
      <c r="E66" s="42"/>
      <c r="F66" s="42"/>
      <c r="G66" s="42"/>
      <c r="H66" s="42"/>
      <c r="I66" s="42"/>
      <c r="J66" s="42"/>
      <c r="K66" s="41"/>
    </row>
    <row r="67" spans="1:11" s="1" customFormat="1" ht="31.2" x14ac:dyDescent="0.3">
      <c r="A67" s="10">
        <v>4020100</v>
      </c>
      <c r="B67" s="11" t="s">
        <v>52</v>
      </c>
      <c r="C67" s="40">
        <v>2801310</v>
      </c>
      <c r="D67" s="40">
        <v>1990646</v>
      </c>
      <c r="E67" s="40">
        <v>717646</v>
      </c>
      <c r="F67" s="40">
        <v>1347163</v>
      </c>
      <c r="G67" s="40">
        <v>300353</v>
      </c>
      <c r="H67" s="40">
        <v>771759</v>
      </c>
      <c r="I67" s="40">
        <v>288025</v>
      </c>
      <c r="J67" s="40">
        <v>174745</v>
      </c>
      <c r="K67" s="41">
        <f t="shared" si="2"/>
        <v>8391647</v>
      </c>
    </row>
    <row r="68" spans="1:11" s="1" customFormat="1" x14ac:dyDescent="0.3">
      <c r="A68" s="20"/>
      <c r="B68" s="19"/>
      <c r="C68" s="42"/>
      <c r="D68" s="42"/>
      <c r="E68" s="42"/>
      <c r="F68" s="42"/>
      <c r="G68" s="42"/>
      <c r="H68" s="42"/>
      <c r="I68" s="42"/>
      <c r="J68" s="42"/>
      <c r="K68" s="41"/>
    </row>
    <row r="69" spans="1:11" ht="78" x14ac:dyDescent="0.3">
      <c r="A69" s="8">
        <v>4080000</v>
      </c>
      <c r="B69" s="11" t="s">
        <v>53</v>
      </c>
      <c r="C69" s="40">
        <v>422419</v>
      </c>
      <c r="D69" s="40">
        <v>0</v>
      </c>
      <c r="E69" s="40">
        <v>681590</v>
      </c>
      <c r="F69" s="40">
        <v>12100585</v>
      </c>
      <c r="G69" s="40">
        <v>5363338</v>
      </c>
      <c r="H69" s="40">
        <v>14200980</v>
      </c>
      <c r="I69" s="40">
        <v>12458362</v>
      </c>
      <c r="J69" s="40">
        <v>4247841</v>
      </c>
      <c r="K69" s="41">
        <f t="shared" si="2"/>
        <v>49475115</v>
      </c>
    </row>
    <row r="70" spans="1:11" x14ac:dyDescent="0.3">
      <c r="A70" s="10"/>
      <c r="B70" s="11"/>
      <c r="C70" s="40"/>
      <c r="D70" s="40"/>
      <c r="E70" s="40"/>
      <c r="F70" s="40"/>
      <c r="G70" s="40"/>
      <c r="H70" s="40"/>
      <c r="I70" s="40"/>
      <c r="J70" s="40"/>
      <c r="K70" s="41"/>
    </row>
    <row r="71" spans="1:11" x14ac:dyDescent="0.3">
      <c r="A71" s="10">
        <v>4100000</v>
      </c>
      <c r="B71" s="11" t="s">
        <v>54</v>
      </c>
      <c r="C71" s="53">
        <f>217293935+23680759+474000-4000+30529397+4257000+21163867</f>
        <v>297394958</v>
      </c>
      <c r="D71" s="40"/>
      <c r="E71" s="40"/>
      <c r="F71" s="40"/>
      <c r="G71" s="40"/>
      <c r="H71" s="40"/>
      <c r="I71" s="40"/>
      <c r="J71" s="40"/>
      <c r="K71" s="41">
        <f t="shared" si="2"/>
        <v>297394958</v>
      </c>
    </row>
    <row r="72" spans="1:11" x14ac:dyDescent="0.3">
      <c r="A72" s="10"/>
      <c r="B72" s="11"/>
      <c r="C72" s="40"/>
      <c r="D72" s="40"/>
      <c r="E72" s="40"/>
      <c r="F72" s="40"/>
      <c r="G72" s="40"/>
      <c r="H72" s="40"/>
      <c r="I72" s="40"/>
      <c r="J72" s="40"/>
      <c r="K72" s="41"/>
    </row>
    <row r="73" spans="1:11" x14ac:dyDescent="0.3">
      <c r="A73" s="10">
        <v>4110000</v>
      </c>
      <c r="B73" s="11" t="s">
        <v>55</v>
      </c>
      <c r="C73" s="40">
        <f>23661155-3023828</f>
        <v>20637327</v>
      </c>
      <c r="D73" s="40"/>
      <c r="E73" s="40"/>
      <c r="F73" s="40"/>
      <c r="G73" s="40"/>
      <c r="H73" s="40"/>
      <c r="I73" s="40"/>
      <c r="J73" s="40"/>
      <c r="K73" s="41">
        <f t="shared" ref="K73:K81" si="15">SUM(C73:J73)</f>
        <v>20637327</v>
      </c>
    </row>
    <row r="74" spans="1:11" x14ac:dyDescent="0.3">
      <c r="A74" s="10"/>
      <c r="B74" s="11"/>
      <c r="C74" s="40"/>
      <c r="D74" s="40"/>
      <c r="E74" s="40"/>
      <c r="F74" s="40"/>
      <c r="G74" s="40"/>
      <c r="H74" s="40"/>
      <c r="I74" s="40"/>
      <c r="J74" s="40"/>
      <c r="K74" s="41"/>
    </row>
    <row r="75" spans="1:11" x14ac:dyDescent="0.3">
      <c r="A75" s="10">
        <v>4120000</v>
      </c>
      <c r="B75" s="11" t="s">
        <v>56</v>
      </c>
      <c r="C75" s="40">
        <f>10583290-1352514</f>
        <v>9230776</v>
      </c>
      <c r="D75" s="40"/>
      <c r="E75" s="40"/>
      <c r="F75" s="40"/>
      <c r="G75" s="40"/>
      <c r="H75" s="40"/>
      <c r="I75" s="40"/>
      <c r="J75" s="40"/>
      <c r="K75" s="41">
        <f t="shared" si="15"/>
        <v>9230776</v>
      </c>
    </row>
    <row r="76" spans="1:11" x14ac:dyDescent="0.3">
      <c r="A76" s="10"/>
      <c r="B76" s="11"/>
      <c r="C76" s="40"/>
      <c r="D76" s="40"/>
      <c r="E76" s="40"/>
      <c r="F76" s="40"/>
      <c r="G76" s="40"/>
      <c r="H76" s="40"/>
      <c r="I76" s="40"/>
      <c r="J76" s="40"/>
      <c r="K76" s="41"/>
    </row>
    <row r="77" spans="1:11" x14ac:dyDescent="0.3">
      <c r="A77" s="10">
        <v>4130000</v>
      </c>
      <c r="B77" s="21" t="s">
        <v>60</v>
      </c>
      <c r="C77" s="40">
        <f>21928850-2802445</f>
        <v>19126405</v>
      </c>
      <c r="D77" s="67"/>
      <c r="E77" s="67"/>
      <c r="F77" s="67"/>
      <c r="G77" s="67"/>
      <c r="H77" s="67"/>
      <c r="I77" s="67"/>
      <c r="J77" s="67"/>
      <c r="K77" s="41">
        <f t="shared" si="15"/>
        <v>19126405</v>
      </c>
    </row>
    <row r="78" spans="1:11" x14ac:dyDescent="0.3">
      <c r="A78" s="22"/>
      <c r="B78" s="49"/>
      <c r="C78" s="47"/>
      <c r="D78" s="68"/>
      <c r="E78" s="68"/>
      <c r="F78" s="68"/>
      <c r="G78" s="68"/>
      <c r="H78" s="68"/>
      <c r="I78" s="68"/>
      <c r="J78" s="68"/>
      <c r="K78" s="45"/>
    </row>
    <row r="79" spans="1:11" s="55" customFormat="1" x14ac:dyDescent="0.3">
      <c r="A79" s="51">
        <v>4140000</v>
      </c>
      <c r="B79" s="52" t="s">
        <v>61</v>
      </c>
      <c r="C79" s="53">
        <f>34218950-4356017</f>
        <v>29862933</v>
      </c>
      <c r="D79" s="69">
        <v>0</v>
      </c>
      <c r="E79" s="69">
        <v>278650</v>
      </c>
      <c r="F79" s="69">
        <v>3126900</v>
      </c>
      <c r="G79" s="69">
        <v>1187600</v>
      </c>
      <c r="H79" s="69">
        <v>3031900</v>
      </c>
      <c r="I79" s="69">
        <v>2991150</v>
      </c>
      <c r="J79" s="69">
        <v>1179850</v>
      </c>
      <c r="K79" s="54">
        <f t="shared" si="15"/>
        <v>41658983</v>
      </c>
    </row>
    <row r="80" spans="1:11" ht="16.2" thickBot="1" x14ac:dyDescent="0.35">
      <c r="A80" s="22"/>
      <c r="B80" s="26"/>
      <c r="C80" s="47"/>
      <c r="D80" s="68"/>
      <c r="E80" s="68"/>
      <c r="F80" s="68"/>
      <c r="G80" s="68"/>
      <c r="H80" s="68"/>
      <c r="I80" s="68"/>
      <c r="J80" s="68"/>
      <c r="K80" s="45"/>
    </row>
    <row r="81" spans="1:11" ht="31.8" thickBot="1" x14ac:dyDescent="0.35">
      <c r="A81" s="27">
        <v>5000000</v>
      </c>
      <c r="B81" s="28" t="s">
        <v>57</v>
      </c>
      <c r="C81" s="36">
        <f>149719949-9600960-2680972+967633</f>
        <v>138405650</v>
      </c>
      <c r="D81" s="36">
        <f>1759050+5409810</f>
        <v>7168860</v>
      </c>
      <c r="E81" s="36">
        <f>34759285+4191150</f>
        <v>38950435</v>
      </c>
      <c r="F81" s="36">
        <v>18016341</v>
      </c>
      <c r="G81" s="36">
        <v>9575558</v>
      </c>
      <c r="H81" s="36">
        <v>2232198</v>
      </c>
      <c r="I81" s="36">
        <v>4907320</v>
      </c>
      <c r="J81" s="36">
        <v>3842149</v>
      </c>
      <c r="K81" s="37">
        <f t="shared" si="15"/>
        <v>223098511</v>
      </c>
    </row>
    <row r="82" spans="1:11" ht="16.2" thickBot="1" x14ac:dyDescent="0.35">
      <c r="A82" s="23"/>
      <c r="B82" s="24" t="s">
        <v>58</v>
      </c>
      <c r="C82" s="48">
        <f>SUM(C14+C47+C63+C81)</f>
        <v>1670982586</v>
      </c>
      <c r="D82" s="48">
        <f t="shared" ref="D82:J82" si="16">SUM(D14+D47+D63+D81)</f>
        <v>229054231</v>
      </c>
      <c r="E82" s="48">
        <f t="shared" si="16"/>
        <v>106736401</v>
      </c>
      <c r="F82" s="48">
        <f t="shared" si="16"/>
        <v>92259366</v>
      </c>
      <c r="G82" s="48">
        <f t="shared" si="16"/>
        <v>37687605</v>
      </c>
      <c r="H82" s="48">
        <f t="shared" si="16"/>
        <v>44267478</v>
      </c>
      <c r="I82" s="48">
        <f t="shared" si="16"/>
        <v>38907398</v>
      </c>
      <c r="J82" s="48">
        <f t="shared" si="16"/>
        <v>15857961</v>
      </c>
      <c r="K82" s="48">
        <f>SUM(K14+K47+K63+K81)</f>
        <v>2235753026</v>
      </c>
    </row>
    <row r="83" spans="1:11" x14ac:dyDescent="0.3">
      <c r="K83" s="74" t="s">
        <v>70</v>
      </c>
    </row>
    <row r="90" spans="1:11" x14ac:dyDescent="0.3">
      <c r="B90" s="25"/>
      <c r="C90" s="15"/>
      <c r="D90" s="15"/>
      <c r="E90" s="15"/>
      <c r="F90" s="15"/>
      <c r="G90" s="15"/>
      <c r="H90" s="15"/>
      <c r="I90" s="15"/>
      <c r="J90" s="15"/>
    </row>
    <row r="91" spans="1:11" x14ac:dyDescent="0.3">
      <c r="B91" s="25"/>
      <c r="C91" s="15"/>
      <c r="D91" s="15"/>
      <c r="E91" s="15"/>
      <c r="F91" s="15"/>
      <c r="G91" s="15"/>
      <c r="H91" s="15"/>
      <c r="I91" s="15"/>
      <c r="J91" s="15"/>
    </row>
    <row r="115" spans="1:10" x14ac:dyDescent="0.3">
      <c r="B115" s="25"/>
      <c r="C115" s="15"/>
      <c r="D115" s="15"/>
      <c r="E115" s="15"/>
      <c r="F115" s="15"/>
      <c r="G115" s="15"/>
      <c r="H115" s="15"/>
      <c r="I115" s="15"/>
      <c r="J115" s="15"/>
    </row>
    <row r="116" spans="1:10" x14ac:dyDescent="0.3">
      <c r="B116" s="25"/>
      <c r="C116" s="15"/>
      <c r="D116" s="15"/>
      <c r="E116" s="15"/>
      <c r="F116" s="15"/>
      <c r="G116" s="15"/>
      <c r="H116" s="15"/>
      <c r="I116" s="15"/>
      <c r="J116" s="15"/>
    </row>
    <row r="117" spans="1:10" x14ac:dyDescent="0.3">
      <c r="B117" s="25"/>
      <c r="C117" s="15"/>
      <c r="D117" s="15"/>
      <c r="E117" s="15"/>
      <c r="F117" s="15"/>
      <c r="G117" s="15"/>
      <c r="H117" s="15"/>
      <c r="I117" s="15"/>
      <c r="J117" s="15"/>
    </row>
    <row r="118" spans="1:10" x14ac:dyDescent="0.3">
      <c r="B118" s="25"/>
      <c r="C118" s="15"/>
      <c r="D118" s="15"/>
      <c r="E118" s="15"/>
      <c r="F118" s="15"/>
      <c r="G118" s="15"/>
      <c r="H118" s="15"/>
      <c r="I118" s="15"/>
      <c r="J118" s="15"/>
    </row>
    <row r="124" spans="1:10" x14ac:dyDescent="0.3">
      <c r="A124" s="9"/>
      <c r="B124" s="25"/>
      <c r="C124" s="15"/>
      <c r="D124" s="15"/>
      <c r="E124" s="15"/>
      <c r="F124" s="15"/>
      <c r="G124" s="15"/>
      <c r="H124" s="15"/>
      <c r="I124" s="15"/>
      <c r="J124" s="15"/>
    </row>
    <row r="125" spans="1:10" x14ac:dyDescent="0.3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1:10" x14ac:dyDescent="0.3">
      <c r="B126" s="25"/>
      <c r="C126" s="15"/>
      <c r="D126" s="15"/>
      <c r="E126" s="15"/>
      <c r="F126" s="15"/>
      <c r="G126" s="15"/>
      <c r="H126" s="15"/>
      <c r="I126" s="15"/>
      <c r="J126" s="15"/>
    </row>
  </sheetData>
  <mergeCells count="9">
    <mergeCell ref="J1:K1"/>
    <mergeCell ref="I7:K7"/>
    <mergeCell ref="H8:K8"/>
    <mergeCell ref="I9:K9"/>
    <mergeCell ref="A11:K11"/>
    <mergeCell ref="H2:K2"/>
    <mergeCell ref="H4:K4"/>
    <mergeCell ref="H3:K3"/>
    <mergeCell ref="H5:K5"/>
  </mergeCells>
  <pageMargins left="0.39370078740157483" right="0.39370078740157483" top="0.51181102362204722" bottom="0.39370078740157483" header="0" footer="0"/>
  <pageSetup paperSize="9" scale="74" firstPageNumber="6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</vt:lpstr>
      <vt:lpstr>'Приложение № 1 '!Заголовки_для_печати</vt:lpstr>
      <vt:lpstr>'Приложение № 1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2024-10-14T07:00:19Z</dcterms:modified>
</cp:coreProperties>
</file>