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2024\Президент\Распоряжения\октябрь\Распоряжение исп\"/>
    </mc:Choice>
  </mc:AlternateContent>
  <bookViews>
    <workbookView xWindow="-108" yWindow="-108" windowWidth="23256" windowHeight="12576"/>
  </bookViews>
  <sheets>
    <sheet name="Лист1" sheetId="1" r:id="rId1"/>
  </sheets>
  <definedNames>
    <definedName name="_xlnm.Print_Titles" localSheetId="0">Лист1!$A:$B,Лист1!$7:$8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 l="1"/>
  <c r="C43" i="1"/>
  <c r="C49" i="1"/>
  <c r="L70" i="1"/>
  <c r="C70" i="1"/>
  <c r="C37" i="1"/>
  <c r="O45" i="1" l="1"/>
  <c r="O43" i="1"/>
  <c r="L80" i="1"/>
  <c r="L63" i="1"/>
  <c r="L52" i="1"/>
  <c r="L51" i="1"/>
  <c r="L15" i="1"/>
  <c r="M12" i="1"/>
  <c r="L12" i="1"/>
  <c r="C80" i="1" l="1"/>
  <c r="AB80" i="1" l="1"/>
  <c r="AA80" i="1"/>
  <c r="Z80" i="1"/>
  <c r="Y80" i="1"/>
  <c r="X80" i="1"/>
  <c r="N80" i="1"/>
  <c r="M80" i="1"/>
  <c r="T80" i="1" s="1"/>
  <c r="E80" i="1"/>
  <c r="D80" i="1"/>
  <c r="AB78" i="1"/>
  <c r="AA78" i="1"/>
  <c r="Z78" i="1"/>
  <c r="Y78" i="1"/>
  <c r="X78" i="1"/>
  <c r="W78" i="1"/>
  <c r="V78" i="1"/>
  <c r="L78" i="1"/>
  <c r="C78" i="1"/>
  <c r="K78" i="1" s="1"/>
  <c r="AB77" i="1"/>
  <c r="AA77" i="1"/>
  <c r="Z77" i="1"/>
  <c r="Y77" i="1"/>
  <c r="X77" i="1"/>
  <c r="W77" i="1"/>
  <c r="V77" i="1"/>
  <c r="U77" i="1"/>
  <c r="AB76" i="1"/>
  <c r="AA76" i="1"/>
  <c r="Z76" i="1"/>
  <c r="Y76" i="1"/>
  <c r="X76" i="1"/>
  <c r="W76" i="1"/>
  <c r="V76" i="1"/>
  <c r="L76" i="1"/>
  <c r="T76" i="1" s="1"/>
  <c r="C76" i="1"/>
  <c r="K76" i="1" s="1"/>
  <c r="AB75" i="1"/>
  <c r="AA75" i="1"/>
  <c r="Z75" i="1"/>
  <c r="Y75" i="1"/>
  <c r="X75" i="1"/>
  <c r="W75" i="1"/>
  <c r="V75" i="1"/>
  <c r="U75" i="1"/>
  <c r="AB74" i="1"/>
  <c r="AA74" i="1"/>
  <c r="Z74" i="1"/>
  <c r="Y74" i="1"/>
  <c r="X74" i="1"/>
  <c r="W74" i="1"/>
  <c r="V74" i="1"/>
  <c r="L74" i="1"/>
  <c r="C74" i="1"/>
  <c r="K74" i="1" s="1"/>
  <c r="AB73" i="1"/>
  <c r="AA73" i="1"/>
  <c r="Z73" i="1"/>
  <c r="Y73" i="1"/>
  <c r="X73" i="1"/>
  <c r="W73" i="1"/>
  <c r="V73" i="1"/>
  <c r="U73" i="1"/>
  <c r="AB72" i="1"/>
  <c r="AA72" i="1"/>
  <c r="Z72" i="1"/>
  <c r="Y72" i="1"/>
  <c r="X72" i="1"/>
  <c r="W72" i="1"/>
  <c r="V72" i="1"/>
  <c r="L72" i="1"/>
  <c r="T72" i="1" s="1"/>
  <c r="C72" i="1"/>
  <c r="K72" i="1" s="1"/>
  <c r="AB71" i="1"/>
  <c r="AA71" i="1"/>
  <c r="Z71" i="1"/>
  <c r="Y71" i="1"/>
  <c r="X71" i="1"/>
  <c r="W71" i="1"/>
  <c r="V71" i="1"/>
  <c r="U71" i="1"/>
  <c r="AB70" i="1"/>
  <c r="AA70" i="1"/>
  <c r="Z70" i="1"/>
  <c r="Y70" i="1"/>
  <c r="X70" i="1"/>
  <c r="W70" i="1"/>
  <c r="V70" i="1"/>
  <c r="K70" i="1"/>
  <c r="AB69" i="1"/>
  <c r="AA69" i="1"/>
  <c r="Z69" i="1"/>
  <c r="Y69" i="1"/>
  <c r="X69" i="1"/>
  <c r="W69" i="1"/>
  <c r="V69" i="1"/>
  <c r="U69" i="1"/>
  <c r="AB68" i="1"/>
  <c r="AA68" i="1"/>
  <c r="Z68" i="1"/>
  <c r="Y68" i="1"/>
  <c r="X68" i="1"/>
  <c r="W68" i="1"/>
  <c r="V68" i="1"/>
  <c r="U68" i="1"/>
  <c r="T68" i="1"/>
  <c r="K68" i="1"/>
  <c r="AB66" i="1"/>
  <c r="AA66" i="1"/>
  <c r="Z66" i="1"/>
  <c r="Y66" i="1"/>
  <c r="X66" i="1"/>
  <c r="W66" i="1"/>
  <c r="V66" i="1"/>
  <c r="U66" i="1"/>
  <c r="T66" i="1"/>
  <c r="K66" i="1"/>
  <c r="AB64" i="1"/>
  <c r="AA64" i="1"/>
  <c r="Z64" i="1"/>
  <c r="Y64" i="1"/>
  <c r="W64" i="1"/>
  <c r="V64" i="1"/>
  <c r="U64" i="1"/>
  <c r="O64" i="1"/>
  <c r="F64" i="1"/>
  <c r="K64" i="1" s="1"/>
  <c r="AB63" i="1"/>
  <c r="AA63" i="1"/>
  <c r="AA62" i="1" s="1"/>
  <c r="Z63" i="1"/>
  <c r="Y63" i="1"/>
  <c r="W63" i="1"/>
  <c r="V63" i="1"/>
  <c r="O63" i="1"/>
  <c r="O62" i="1" s="1"/>
  <c r="F63" i="1"/>
  <c r="F62" i="1" s="1"/>
  <c r="C63" i="1"/>
  <c r="C62" i="1" s="1"/>
  <c r="W62" i="1"/>
  <c r="S62" i="1"/>
  <c r="R62" i="1"/>
  <c r="Q62" i="1"/>
  <c r="P62" i="1"/>
  <c r="N62" i="1"/>
  <c r="M62" i="1"/>
  <c r="J62" i="1"/>
  <c r="I62" i="1"/>
  <c r="H62" i="1"/>
  <c r="G62" i="1"/>
  <c r="E62" i="1"/>
  <c r="D62" i="1"/>
  <c r="AB60" i="1"/>
  <c r="AA60" i="1"/>
  <c r="Z60" i="1"/>
  <c r="Y60" i="1"/>
  <c r="X60" i="1"/>
  <c r="W60" i="1"/>
  <c r="V60" i="1"/>
  <c r="U60" i="1"/>
  <c r="T60" i="1"/>
  <c r="K60" i="1"/>
  <c r="AB59" i="1"/>
  <c r="AA59" i="1"/>
  <c r="Z59" i="1"/>
  <c r="Y59" i="1"/>
  <c r="X59" i="1"/>
  <c r="W59" i="1"/>
  <c r="V59" i="1"/>
  <c r="U59" i="1"/>
  <c r="U58" i="1" s="1"/>
  <c r="T59" i="1"/>
  <c r="K59" i="1"/>
  <c r="S58" i="1"/>
  <c r="R58" i="1"/>
  <c r="Q58" i="1"/>
  <c r="P58" i="1"/>
  <c r="O58" i="1"/>
  <c r="N58" i="1"/>
  <c r="M58" i="1"/>
  <c r="L58" i="1"/>
  <c r="J58" i="1"/>
  <c r="I58" i="1"/>
  <c r="H58" i="1"/>
  <c r="G58" i="1"/>
  <c r="F58" i="1"/>
  <c r="E58" i="1"/>
  <c r="D58" i="1"/>
  <c r="C58" i="1"/>
  <c r="AB56" i="1"/>
  <c r="AA56" i="1"/>
  <c r="Z56" i="1"/>
  <c r="Y56" i="1"/>
  <c r="X56" i="1"/>
  <c r="W56" i="1"/>
  <c r="V56" i="1"/>
  <c r="L56" i="1"/>
  <c r="T56" i="1" s="1"/>
  <c r="C56" i="1"/>
  <c r="K56" i="1" s="1"/>
  <c r="AB55" i="1"/>
  <c r="AA55" i="1"/>
  <c r="Z55" i="1"/>
  <c r="Y55" i="1"/>
  <c r="X55" i="1"/>
  <c r="W55" i="1"/>
  <c r="V55" i="1"/>
  <c r="U55" i="1"/>
  <c r="AB54" i="1"/>
  <c r="AA54" i="1"/>
  <c r="Z54" i="1"/>
  <c r="Y54" i="1"/>
  <c r="X54" i="1"/>
  <c r="W54" i="1"/>
  <c r="V54" i="1"/>
  <c r="U54" i="1"/>
  <c r="T54" i="1"/>
  <c r="K54" i="1"/>
  <c r="AB53" i="1"/>
  <c r="AA53" i="1"/>
  <c r="Z53" i="1"/>
  <c r="Y53" i="1"/>
  <c r="X53" i="1"/>
  <c r="W53" i="1"/>
  <c r="V53" i="1"/>
  <c r="U53" i="1"/>
  <c r="AB52" i="1"/>
  <c r="AA52" i="1"/>
  <c r="Z52" i="1"/>
  <c r="Y52" i="1"/>
  <c r="X52" i="1"/>
  <c r="W52" i="1"/>
  <c r="V52" i="1"/>
  <c r="T52" i="1"/>
  <c r="C52" i="1"/>
  <c r="K52" i="1" s="1"/>
  <c r="AB51" i="1"/>
  <c r="AA51" i="1"/>
  <c r="Z51" i="1"/>
  <c r="Y51" i="1"/>
  <c r="X51" i="1"/>
  <c r="W51" i="1"/>
  <c r="V51" i="1"/>
  <c r="C51" i="1"/>
  <c r="K51" i="1" s="1"/>
  <c r="AB50" i="1"/>
  <c r="AA50" i="1"/>
  <c r="Z50" i="1"/>
  <c r="Y50" i="1"/>
  <c r="X50" i="1"/>
  <c r="W50" i="1"/>
  <c r="V50" i="1"/>
  <c r="U50" i="1"/>
  <c r="AC50" i="1" s="1"/>
  <c r="AB49" i="1"/>
  <c r="AA49" i="1"/>
  <c r="Z49" i="1"/>
  <c r="Y49" i="1"/>
  <c r="X49" i="1"/>
  <c r="W49" i="1"/>
  <c r="V49" i="1"/>
  <c r="T49" i="1"/>
  <c r="L49" i="1"/>
  <c r="U49" i="1" s="1"/>
  <c r="K49" i="1"/>
  <c r="AB48" i="1"/>
  <c r="AA48" i="1"/>
  <c r="Z48" i="1"/>
  <c r="Y48" i="1"/>
  <c r="X48" i="1"/>
  <c r="W48" i="1"/>
  <c r="V48" i="1"/>
  <c r="U48" i="1"/>
  <c r="T48" i="1"/>
  <c r="K48" i="1"/>
  <c r="AB47" i="1"/>
  <c r="AA47" i="1"/>
  <c r="Z47" i="1"/>
  <c r="Y47" i="1"/>
  <c r="X47" i="1"/>
  <c r="W47" i="1"/>
  <c r="V47" i="1"/>
  <c r="U47" i="1"/>
  <c r="AC47" i="1" s="1"/>
  <c r="T47" i="1"/>
  <c r="K47" i="1"/>
  <c r="AB46" i="1"/>
  <c r="AA46" i="1"/>
  <c r="Z46" i="1"/>
  <c r="Y46" i="1"/>
  <c r="X46" i="1"/>
  <c r="W46" i="1"/>
  <c r="V46" i="1"/>
  <c r="U46" i="1"/>
  <c r="AC46" i="1" s="1"/>
  <c r="T46" i="1"/>
  <c r="K46" i="1"/>
  <c r="AB45" i="1"/>
  <c r="AA45" i="1"/>
  <c r="Z45" i="1"/>
  <c r="Y45" i="1"/>
  <c r="W45" i="1"/>
  <c r="V45" i="1"/>
  <c r="U45" i="1"/>
  <c r="K45" i="1"/>
  <c r="AB44" i="1"/>
  <c r="AA44" i="1"/>
  <c r="Z44" i="1"/>
  <c r="Y44" i="1"/>
  <c r="X44" i="1"/>
  <c r="W44" i="1"/>
  <c r="V44" i="1"/>
  <c r="U44" i="1"/>
  <c r="T44" i="1"/>
  <c r="K44" i="1"/>
  <c r="AB43" i="1"/>
  <c r="AB42" i="1" s="1"/>
  <c r="AA43" i="1"/>
  <c r="Z43" i="1"/>
  <c r="Z42" i="1" s="1"/>
  <c r="Y43" i="1"/>
  <c r="X43" i="1"/>
  <c r="X42" i="1" s="1"/>
  <c r="W43" i="1"/>
  <c r="V43" i="1"/>
  <c r="V42" i="1" s="1"/>
  <c r="L43" i="1"/>
  <c r="K43" i="1"/>
  <c r="AA42" i="1"/>
  <c r="S42" i="1"/>
  <c r="R42" i="1"/>
  <c r="Q42" i="1"/>
  <c r="P42" i="1"/>
  <c r="O42" i="1"/>
  <c r="N42" i="1"/>
  <c r="M42" i="1"/>
  <c r="J42" i="1"/>
  <c r="I42" i="1"/>
  <c r="H42" i="1"/>
  <c r="G42" i="1"/>
  <c r="F42" i="1"/>
  <c r="E42" i="1"/>
  <c r="D42" i="1"/>
  <c r="X40" i="1"/>
  <c r="X39" i="1" s="1"/>
  <c r="S40" i="1"/>
  <c r="R40" i="1"/>
  <c r="Q40" i="1"/>
  <c r="P40" i="1"/>
  <c r="O40" i="1"/>
  <c r="N40" i="1"/>
  <c r="M40" i="1"/>
  <c r="L40" i="1"/>
  <c r="J40" i="1"/>
  <c r="J39" i="1" s="1"/>
  <c r="I40" i="1"/>
  <c r="I39" i="1" s="1"/>
  <c r="H40" i="1"/>
  <c r="Z40" i="1" s="1"/>
  <c r="Z39" i="1" s="1"/>
  <c r="G40" i="1"/>
  <c r="G39" i="1" s="1"/>
  <c r="F40" i="1"/>
  <c r="E40" i="1"/>
  <c r="E39" i="1" s="1"/>
  <c r="D40" i="1"/>
  <c r="V40" i="1" s="1"/>
  <c r="V39" i="1" s="1"/>
  <c r="C40" i="1"/>
  <c r="K40" i="1" s="1"/>
  <c r="S39" i="1"/>
  <c r="Q39" i="1"/>
  <c r="O39" i="1"/>
  <c r="M39" i="1"/>
  <c r="H39" i="1"/>
  <c r="F39" i="1"/>
  <c r="D39" i="1"/>
  <c r="AB37" i="1"/>
  <c r="AB36" i="1" s="1"/>
  <c r="AA37" i="1"/>
  <c r="AA36" i="1" s="1"/>
  <c r="Z37" i="1"/>
  <c r="Z36" i="1" s="1"/>
  <c r="Y37" i="1"/>
  <c r="Y36" i="1" s="1"/>
  <c r="X37" i="1"/>
  <c r="X36" i="1" s="1"/>
  <c r="W37" i="1"/>
  <c r="W36" i="1" s="1"/>
  <c r="V37" i="1"/>
  <c r="V36" i="1" s="1"/>
  <c r="T37" i="1"/>
  <c r="K37" i="1"/>
  <c r="S36" i="1"/>
  <c r="R36" i="1"/>
  <c r="Q36" i="1"/>
  <c r="P36" i="1"/>
  <c r="O36" i="1"/>
  <c r="N36" i="1"/>
  <c r="M36" i="1"/>
  <c r="L36" i="1"/>
  <c r="J36" i="1"/>
  <c r="I36" i="1"/>
  <c r="H36" i="1"/>
  <c r="G36" i="1"/>
  <c r="F36" i="1"/>
  <c r="E36" i="1"/>
  <c r="D36" i="1"/>
  <c r="AB34" i="1"/>
  <c r="AA34" i="1"/>
  <c r="Z34" i="1"/>
  <c r="Y34" i="1"/>
  <c r="X34" i="1"/>
  <c r="W34" i="1"/>
  <c r="V34" i="1"/>
  <c r="U34" i="1"/>
  <c r="T34" i="1"/>
  <c r="K34" i="1"/>
  <c r="AB33" i="1"/>
  <c r="AA33" i="1"/>
  <c r="Z33" i="1"/>
  <c r="Y33" i="1"/>
  <c r="X33" i="1"/>
  <c r="W33" i="1"/>
  <c r="V33" i="1"/>
  <c r="U33" i="1"/>
  <c r="T33" i="1"/>
  <c r="K33" i="1"/>
  <c r="AB32" i="1"/>
  <c r="AA32" i="1"/>
  <c r="Z32" i="1"/>
  <c r="Y32" i="1"/>
  <c r="X32" i="1"/>
  <c r="W32" i="1"/>
  <c r="V32" i="1"/>
  <c r="U32" i="1"/>
  <c r="T32" i="1"/>
  <c r="K32" i="1"/>
  <c r="AB31" i="1"/>
  <c r="AA31" i="1"/>
  <c r="Z31" i="1"/>
  <c r="Y31" i="1"/>
  <c r="X31" i="1"/>
  <c r="V31" i="1"/>
  <c r="N31" i="1"/>
  <c r="L31" i="1"/>
  <c r="E31" i="1"/>
  <c r="C31" i="1"/>
  <c r="AB30" i="1"/>
  <c r="AA30" i="1"/>
  <c r="Z30" i="1"/>
  <c r="Y30" i="1"/>
  <c r="X30" i="1"/>
  <c r="W30" i="1"/>
  <c r="V30" i="1"/>
  <c r="U30" i="1"/>
  <c r="T30" i="1"/>
  <c r="K30" i="1"/>
  <c r="AB29" i="1"/>
  <c r="AB28" i="1" s="1"/>
  <c r="AA29" i="1"/>
  <c r="AA28" i="1" s="1"/>
  <c r="Z29" i="1"/>
  <c r="Z28" i="1" s="1"/>
  <c r="Y29" i="1"/>
  <c r="X29" i="1"/>
  <c r="X28" i="1" s="1"/>
  <c r="W29" i="1"/>
  <c r="W28" i="1" s="1"/>
  <c r="V29" i="1"/>
  <c r="V28" i="1" s="1"/>
  <c r="U29" i="1"/>
  <c r="T29" i="1"/>
  <c r="K29" i="1"/>
  <c r="Y28" i="1"/>
  <c r="U28" i="1"/>
  <c r="S28" i="1"/>
  <c r="R28" i="1"/>
  <c r="Q28" i="1"/>
  <c r="P28" i="1"/>
  <c r="O28" i="1"/>
  <c r="N28" i="1"/>
  <c r="M28" i="1"/>
  <c r="L28" i="1"/>
  <c r="J28" i="1"/>
  <c r="I28" i="1"/>
  <c r="H28" i="1"/>
  <c r="G28" i="1"/>
  <c r="F28" i="1"/>
  <c r="E28" i="1"/>
  <c r="D28" i="1"/>
  <c r="C28" i="1"/>
  <c r="AB27" i="1"/>
  <c r="AA27" i="1"/>
  <c r="Z27" i="1"/>
  <c r="Y27" i="1"/>
  <c r="X27" i="1"/>
  <c r="V27" i="1"/>
  <c r="N27" i="1"/>
  <c r="L27" i="1"/>
  <c r="E27" i="1"/>
  <c r="C27" i="1"/>
  <c r="AB26" i="1"/>
  <c r="AA26" i="1"/>
  <c r="Z26" i="1"/>
  <c r="Y26" i="1"/>
  <c r="X26" i="1"/>
  <c r="W26" i="1"/>
  <c r="V26" i="1"/>
  <c r="U26" i="1"/>
  <c r="AB25" i="1"/>
  <c r="AA25" i="1"/>
  <c r="Z25" i="1"/>
  <c r="Y25" i="1"/>
  <c r="X25" i="1"/>
  <c r="W25" i="1"/>
  <c r="V25" i="1"/>
  <c r="U25" i="1"/>
  <c r="T25" i="1"/>
  <c r="K25" i="1"/>
  <c r="AB24" i="1"/>
  <c r="AA24" i="1"/>
  <c r="Z24" i="1"/>
  <c r="Y24" i="1"/>
  <c r="X24" i="1"/>
  <c r="W24" i="1"/>
  <c r="V24" i="1"/>
  <c r="U24" i="1"/>
  <c r="T24" i="1"/>
  <c r="K24" i="1"/>
  <c r="AB23" i="1"/>
  <c r="AA23" i="1"/>
  <c r="Z23" i="1"/>
  <c r="Y23" i="1"/>
  <c r="Y21" i="1" s="1"/>
  <c r="X23" i="1"/>
  <c r="W23" i="1"/>
  <c r="V23" i="1"/>
  <c r="U23" i="1"/>
  <c r="U21" i="1" s="1"/>
  <c r="T23" i="1"/>
  <c r="K23" i="1"/>
  <c r="AC22" i="1"/>
  <c r="T22" i="1"/>
  <c r="K22" i="1"/>
  <c r="AA21" i="1"/>
  <c r="W21" i="1"/>
  <c r="S21" i="1"/>
  <c r="R21" i="1"/>
  <c r="Q21" i="1"/>
  <c r="P21" i="1"/>
  <c r="O21" i="1"/>
  <c r="N21" i="1"/>
  <c r="M21" i="1"/>
  <c r="L21" i="1"/>
  <c r="J21" i="1"/>
  <c r="I21" i="1"/>
  <c r="H21" i="1"/>
  <c r="G21" i="1"/>
  <c r="F21" i="1"/>
  <c r="E21" i="1"/>
  <c r="D21" i="1"/>
  <c r="C21" i="1"/>
  <c r="K21" i="1" s="1"/>
  <c r="S19" i="1"/>
  <c r="R19" i="1"/>
  <c r="Q19" i="1"/>
  <c r="P19" i="1"/>
  <c r="O19" i="1"/>
  <c r="N19" i="1"/>
  <c r="M19" i="1"/>
  <c r="L19" i="1"/>
  <c r="J19" i="1"/>
  <c r="AB19" i="1" s="1"/>
  <c r="I19" i="1"/>
  <c r="H19" i="1"/>
  <c r="Z19" i="1" s="1"/>
  <c r="G19" i="1"/>
  <c r="F19" i="1"/>
  <c r="X19" i="1" s="1"/>
  <c r="E19" i="1"/>
  <c r="D19" i="1"/>
  <c r="V19" i="1" s="1"/>
  <c r="C19" i="1"/>
  <c r="K19" i="1" s="1"/>
  <c r="S18" i="1"/>
  <c r="R18" i="1"/>
  <c r="Q18" i="1"/>
  <c r="P18" i="1"/>
  <c r="P10" i="1" s="1"/>
  <c r="O18" i="1"/>
  <c r="N18" i="1"/>
  <c r="N10" i="1" s="1"/>
  <c r="M18" i="1"/>
  <c r="L18" i="1"/>
  <c r="T18" i="1" s="1"/>
  <c r="J18" i="1"/>
  <c r="I18" i="1"/>
  <c r="I10" i="1" s="1"/>
  <c r="H18" i="1"/>
  <c r="G18" i="1"/>
  <c r="G10" i="1" s="1"/>
  <c r="F18" i="1"/>
  <c r="E18" i="1"/>
  <c r="E10" i="1" s="1"/>
  <c r="E9" i="1" s="1"/>
  <c r="E81" i="1" s="1"/>
  <c r="D18" i="1"/>
  <c r="C18" i="1"/>
  <c r="U18" i="1" s="1"/>
  <c r="AB17" i="1"/>
  <c r="AA17" i="1"/>
  <c r="Z17" i="1"/>
  <c r="Y17" i="1"/>
  <c r="W17" i="1"/>
  <c r="O17" i="1"/>
  <c r="X17" i="1" s="1"/>
  <c r="M17" i="1"/>
  <c r="L17" i="1"/>
  <c r="F17" i="1"/>
  <c r="D17" i="1"/>
  <c r="C17" i="1"/>
  <c r="AB16" i="1"/>
  <c r="AA16" i="1"/>
  <c r="Z16" i="1"/>
  <c r="Y16" i="1"/>
  <c r="W16" i="1"/>
  <c r="O16" i="1"/>
  <c r="M16" i="1"/>
  <c r="L16" i="1"/>
  <c r="F16" i="1"/>
  <c r="D16" i="1"/>
  <c r="C16" i="1"/>
  <c r="AB15" i="1"/>
  <c r="AA15" i="1"/>
  <c r="Z15" i="1"/>
  <c r="Y15" i="1"/>
  <c r="W15" i="1"/>
  <c r="O15" i="1"/>
  <c r="M15" i="1"/>
  <c r="F15" i="1"/>
  <c r="D15" i="1"/>
  <c r="C15" i="1"/>
  <c r="AB14" i="1"/>
  <c r="AA14" i="1"/>
  <c r="Z14" i="1"/>
  <c r="Y14" i="1"/>
  <c r="X14" i="1"/>
  <c r="W14" i="1"/>
  <c r="V14" i="1"/>
  <c r="U14" i="1"/>
  <c r="T14" i="1"/>
  <c r="K14" i="1"/>
  <c r="AB13" i="1"/>
  <c r="AA13" i="1"/>
  <c r="Z13" i="1"/>
  <c r="Y13" i="1"/>
  <c r="W13" i="1"/>
  <c r="V13" i="1"/>
  <c r="U13" i="1"/>
  <c r="O13" i="1"/>
  <c r="F13" i="1"/>
  <c r="K13" i="1" s="1"/>
  <c r="AB12" i="1"/>
  <c r="AA12" i="1"/>
  <c r="Z12" i="1"/>
  <c r="Y12" i="1"/>
  <c r="W12" i="1"/>
  <c r="U12" i="1"/>
  <c r="O12" i="1"/>
  <c r="V12" i="1"/>
  <c r="F12" i="1"/>
  <c r="K12" i="1" s="1"/>
  <c r="R10" i="1"/>
  <c r="J10" i="1"/>
  <c r="J9" i="1" s="1"/>
  <c r="H10" i="1"/>
  <c r="H9" i="1" s="1"/>
  <c r="D10" i="1"/>
  <c r="D9" i="1" s="1"/>
  <c r="D81" i="1" s="1"/>
  <c r="T21" i="1" l="1"/>
  <c r="T36" i="1"/>
  <c r="AC53" i="1"/>
  <c r="AC54" i="1"/>
  <c r="W42" i="1"/>
  <c r="Y42" i="1"/>
  <c r="I9" i="1"/>
  <c r="I81" i="1" s="1"/>
  <c r="H81" i="1"/>
  <c r="X13" i="1"/>
  <c r="AC14" i="1"/>
  <c r="X15" i="1"/>
  <c r="T16" i="1"/>
  <c r="X16" i="1"/>
  <c r="AB40" i="1"/>
  <c r="AB39" i="1" s="1"/>
  <c r="C42" i="1"/>
  <c r="W58" i="1"/>
  <c r="Z62" i="1"/>
  <c r="Z58" i="1" s="1"/>
  <c r="AB62" i="1"/>
  <c r="AB58" i="1" s="1"/>
  <c r="Y62" i="1"/>
  <c r="AC68" i="1"/>
  <c r="W80" i="1"/>
  <c r="M10" i="1"/>
  <c r="M9" i="1" s="1"/>
  <c r="M81" i="1" s="1"/>
  <c r="V15" i="1"/>
  <c r="G9" i="1"/>
  <c r="G81" i="1" s="1"/>
  <c r="U19" i="1"/>
  <c r="W19" i="1"/>
  <c r="Y19" i="1"/>
  <c r="AA19" i="1"/>
  <c r="V21" i="1"/>
  <c r="X21" i="1"/>
  <c r="Z21" i="1"/>
  <c r="AB21" i="1"/>
  <c r="W27" i="1"/>
  <c r="W31" i="1"/>
  <c r="U51" i="1"/>
  <c r="AC51" i="1" s="1"/>
  <c r="U70" i="1"/>
  <c r="AC70" i="1" s="1"/>
  <c r="U74" i="1"/>
  <c r="AC74" i="1" s="1"/>
  <c r="U78" i="1"/>
  <c r="AC78" i="1" s="1"/>
  <c r="F10" i="1"/>
  <c r="F9" i="1" s="1"/>
  <c r="F81" i="1" s="1"/>
  <c r="J81" i="1"/>
  <c r="T12" i="1"/>
  <c r="T13" i="1"/>
  <c r="K15" i="1"/>
  <c r="U15" i="1"/>
  <c r="V16" i="1"/>
  <c r="K17" i="1"/>
  <c r="U17" i="1"/>
  <c r="V18" i="1"/>
  <c r="X18" i="1"/>
  <c r="Z18" i="1"/>
  <c r="Z10" i="1" s="1"/>
  <c r="AB18" i="1"/>
  <c r="AB10" i="1" s="1"/>
  <c r="AB9" i="1" s="1"/>
  <c r="AB81" i="1" s="1"/>
  <c r="AC23" i="1"/>
  <c r="AC24" i="1"/>
  <c r="AC25" i="1"/>
  <c r="K27" i="1"/>
  <c r="U27" i="1"/>
  <c r="K28" i="1"/>
  <c r="T28" i="1"/>
  <c r="AC29" i="1"/>
  <c r="AC30" i="1"/>
  <c r="K31" i="1"/>
  <c r="U31" i="1"/>
  <c r="AC32" i="1"/>
  <c r="AC33" i="1"/>
  <c r="AC34" i="1"/>
  <c r="C39" i="1"/>
  <c r="K39" i="1" s="1"/>
  <c r="AC44" i="1"/>
  <c r="AC49" i="1"/>
  <c r="T51" i="1"/>
  <c r="K58" i="1"/>
  <c r="T58" i="1"/>
  <c r="V62" i="1"/>
  <c r="V58" i="1" s="1"/>
  <c r="T70" i="1"/>
  <c r="T74" i="1"/>
  <c r="T78" i="1"/>
  <c r="K80" i="1"/>
  <c r="V80" i="1"/>
  <c r="L10" i="1"/>
  <c r="X12" i="1"/>
  <c r="X10" i="1" s="1"/>
  <c r="X9" i="1" s="1"/>
  <c r="O10" i="1"/>
  <c r="O9" i="1" s="1"/>
  <c r="O81" i="1" s="1"/>
  <c r="AC13" i="1"/>
  <c r="T15" i="1"/>
  <c r="K16" i="1"/>
  <c r="C10" i="1"/>
  <c r="U16" i="1"/>
  <c r="AC16" i="1" s="1"/>
  <c r="V17" i="1"/>
  <c r="T17" i="1"/>
  <c r="AC28" i="1"/>
  <c r="K18" i="1"/>
  <c r="W18" i="1"/>
  <c r="W10" i="1" s="1"/>
  <c r="Y18" i="1"/>
  <c r="Y10" i="1" s="1"/>
  <c r="AA18" i="1"/>
  <c r="AA10" i="1" s="1"/>
  <c r="T19" i="1"/>
  <c r="T27" i="1"/>
  <c r="T31" i="1"/>
  <c r="U37" i="1"/>
  <c r="U40" i="1"/>
  <c r="L39" i="1"/>
  <c r="W40" i="1"/>
  <c r="W39" i="1" s="1"/>
  <c r="N39" i="1"/>
  <c r="N9" i="1" s="1"/>
  <c r="N81" i="1" s="1"/>
  <c r="Y40" i="1"/>
  <c r="Y39" i="1" s="1"/>
  <c r="P39" i="1"/>
  <c r="P9" i="1" s="1"/>
  <c r="P81" i="1" s="1"/>
  <c r="AA40" i="1"/>
  <c r="AA39" i="1" s="1"/>
  <c r="R39" i="1"/>
  <c r="R9" i="1" s="1"/>
  <c r="R81" i="1" s="1"/>
  <c r="T40" i="1"/>
  <c r="X63" i="1"/>
  <c r="X62" i="1" s="1"/>
  <c r="X64" i="1"/>
  <c r="AC64" i="1" s="1"/>
  <c r="T64" i="1"/>
  <c r="Q10" i="1"/>
  <c r="Q9" i="1" s="1"/>
  <c r="Q81" i="1" s="1"/>
  <c r="S10" i="1"/>
  <c r="S9" i="1" s="1"/>
  <c r="S81" i="1" s="1"/>
  <c r="C36" i="1"/>
  <c r="K36" i="1" s="1"/>
  <c r="U43" i="1"/>
  <c r="L42" i="1"/>
  <c r="T42" i="1" s="1"/>
  <c r="T43" i="1"/>
  <c r="X45" i="1"/>
  <c r="AC45" i="1" s="1"/>
  <c r="T45" i="1"/>
  <c r="AC48" i="1"/>
  <c r="U52" i="1"/>
  <c r="AC52" i="1" s="1"/>
  <c r="AC55" i="1"/>
  <c r="U56" i="1"/>
  <c r="AC56" i="1" s="1"/>
  <c r="Y58" i="1"/>
  <c r="AA58" i="1"/>
  <c r="K63" i="1"/>
  <c r="K62" i="1" s="1"/>
  <c r="U63" i="1"/>
  <c r="L62" i="1"/>
  <c r="T63" i="1"/>
  <c r="AC66" i="1"/>
  <c r="U72" i="1"/>
  <c r="AC72" i="1" s="1"/>
  <c r="U76" i="1"/>
  <c r="AC76" i="1" s="1"/>
  <c r="U80" i="1"/>
  <c r="K42" i="1" l="1"/>
  <c r="C81" i="1"/>
  <c r="AC27" i="1"/>
  <c r="Y9" i="1"/>
  <c r="Y81" i="1" s="1"/>
  <c r="AC80" i="1"/>
  <c r="T62" i="1"/>
  <c r="X58" i="1"/>
  <c r="AA9" i="1"/>
  <c r="AA81" i="1" s="1"/>
  <c r="W9" i="1"/>
  <c r="W81" i="1" s="1"/>
  <c r="Z9" i="1"/>
  <c r="Z81" i="1" s="1"/>
  <c r="AC15" i="1"/>
  <c r="AC31" i="1"/>
  <c r="AC21" i="1"/>
  <c r="AC58" i="1"/>
  <c r="AC12" i="1"/>
  <c r="AC19" i="1"/>
  <c r="V10" i="1"/>
  <c r="V9" i="1" s="1"/>
  <c r="V81" i="1" s="1"/>
  <c r="AC43" i="1"/>
  <c r="U42" i="1"/>
  <c r="AC42" i="1" s="1"/>
  <c r="T39" i="1"/>
  <c r="U36" i="1"/>
  <c r="AC36" i="1" s="1"/>
  <c r="AC37" i="1"/>
  <c r="AC18" i="1"/>
  <c r="AC63" i="1"/>
  <c r="U62" i="1"/>
  <c r="AC62" i="1" s="1"/>
  <c r="AC40" i="1"/>
  <c r="U39" i="1"/>
  <c r="AC39" i="1" s="1"/>
  <c r="K10" i="1"/>
  <c r="C9" i="1"/>
  <c r="X81" i="1"/>
  <c r="L9" i="1"/>
  <c r="L81" i="1" s="1"/>
  <c r="T10" i="1"/>
  <c r="AC17" i="1"/>
  <c r="U10" i="1"/>
  <c r="U9" i="1" l="1"/>
  <c r="AC10" i="1"/>
  <c r="T81" i="1"/>
  <c r="T9" i="1"/>
  <c r="K81" i="1"/>
  <c r="K9" i="1"/>
  <c r="U81" i="1" l="1"/>
  <c r="AC9" i="1"/>
  <c r="AC81" i="1" s="1"/>
</calcChain>
</file>

<file path=xl/sharedStrings.xml><?xml version="1.0" encoding="utf-8"?>
<sst xmlns="http://schemas.openxmlformats.org/spreadsheetml/2006/main" count="94" uniqueCount="76">
  <si>
    <t>Приложение № 1</t>
  </si>
  <si>
    <t xml:space="preserve">к Закону Приднестровской Молдавской Республики </t>
  </si>
  <si>
    <t>"О республиканском бюджете на 2024 год"</t>
  </si>
  <si>
    <t>Доходы республиканского бюджета в разрезе основных видов налоговых, неналоговых и иных обязательных платежей на 2024 год</t>
  </si>
  <si>
    <t>(руб.)</t>
  </si>
  <si>
    <t>Утвержденный Закон ПМР "О республиканском бюджете на 2024 год"</t>
  </si>
  <si>
    <t>Предлагаемая редакция</t>
  </si>
  <si>
    <t>Отклонение</t>
  </si>
  <si>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</si>
  <si>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</si>
  <si>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</si>
  <si>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</si>
  <si>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</si>
  <si>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</si>
  <si>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</si>
  <si>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</si>
  <si>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</si>
  <si>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</si>
  <si>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</si>
  <si>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</si>
  <si>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</si>
  <si>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</si>
  <si>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</si>
  <si>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Отчисления от налога на доходы организаций для финансирования социальных выплат</t>
  </si>
  <si>
    <t>Налог на игорную деятельность</t>
  </si>
  <si>
    <t>Налог с выручки организаций, применяющих упрощенную систему налогообложения, бухгалтерского учета и отчетности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</si>
  <si>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</si>
  <si>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</si>
  <si>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Отчисления от единого социального налога на улучшение оснащенности учреждений здравоохранения медицинским оборудованием и приобретение специализированного медицинского автотранспорта и иные цели развития отрасли здравоохранения</t>
  </si>
  <si>
    <t xml:space="preserve">Отчисления средств от налога на доходы на цели пенсионного страхования (обеспечения) </t>
  </si>
  <si>
    <t>Налоги на товары и услуги, лицензионные и регистрационные сборы</t>
  </si>
  <si>
    <t>Налог на добавленную стоимость</t>
  </si>
  <si>
    <t>Акциз на продукцию, производимую на территории ПМР</t>
  </si>
  <si>
    <t>Акцизные сборы на продукцию, реализуемую на территории ПМР</t>
  </si>
  <si>
    <t>Лицензионные и регистрационные сборы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</si>
  <si>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</si>
  <si>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</si>
  <si>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</si>
  <si>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</si>
  <si>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Платежи за пользование водными ресурсами в пределах установленных нормативов и лимитов</t>
  </si>
  <si>
    <t>Платежи за пользование недрами, в том числе для производства столовых и минеральных вод, в пределах установленных нормативов и лимитов</t>
  </si>
  <si>
    <t>Отчисления от фиксированного сельскохозяйственного налога</t>
  </si>
  <si>
    <t>Отчисления на воспроизводство минерально-сырьевой базы</t>
  </si>
  <si>
    <t>Налоги на внешнюю торговлю и внешнеэкономические операции</t>
  </si>
  <si>
    <t>Единый таможенный платеж</t>
  </si>
  <si>
    <t>Прочие налоги, пошлины и сборы</t>
  </si>
  <si>
    <t>Государственная пошлина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</si>
  <si>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</si>
  <si>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</si>
  <si>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</si>
  <si>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</si>
  <si>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кредитов, займов</t>
  </si>
  <si>
    <t>Перечисление процентов за пользование кредитами, займами</t>
  </si>
  <si>
    <t>Платежи от государственных и муниципальных организаций</t>
  </si>
  <si>
    <t>Перечисление чистого дохода центрального банка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</si>
  <si>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</si>
  <si>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</si>
  <si>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</si>
  <si>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</si>
  <si>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3000000</t>
  </si>
  <si>
    <t>Безвозмездные перечисления</t>
  </si>
  <si>
    <t>3010000</t>
  </si>
  <si>
    <t>ОТ НЕРЕЗИДЕНТОВ</t>
  </si>
  <si>
    <t>Прочие безвозмездные перечисления</t>
  </si>
  <si>
    <t>Доходы целевых бюджетных фондов</t>
  </si>
  <si>
    <t>Дорожные фонды</t>
  </si>
  <si>
    <t>Отчисления от налога на доходы организаций</t>
  </si>
  <si>
    <t>Республиканский целевой бюджетный экологический фонд</t>
  </si>
  <si>
    <t>Фонд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</t>
  </si>
  <si>
    <t>Фонд капитальных вложений</t>
  </si>
  <si>
    <t>Фонд развития предпринимательства</t>
  </si>
  <si>
    <t>Фонд поддержки молодежи</t>
  </si>
  <si>
    <t>Фонд поддержки сельского хозяйства</t>
  </si>
  <si>
    <t>Фонд развития мелиоративного комплекса</t>
  </si>
  <si>
    <t>Доходы от оказания платных услуг и иной приносящей доход деятельности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</si>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</sst>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164" formatCode="_-* #,##0.00_-;\-* #,##0.00_-;_-* &quot;-&quot;??_-;_-@_-"/>
    <numFmt numFmtId="165" formatCode="_-* #,##0_-;\-* #,##0_-;_-* &quot;-&quot;??_-;_-@_-"/>
    <numFmt numFmtId="166" formatCode="_(* #,##0.00_);_(* \(#,##0.00\);_(* &quot;-&quot;??_);_(@_)"/>
    <numFmt numFmtId="167" formatCode="_-* #,##0_р_._-;\-* #,##0_р_._-;_-* &quot;-&quot;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6" fontId="7" fillId="0" borderId="0" applyFont="0" applyFill="0" applyBorder="0" applyAlignment="0" applyProtection="0"/>
  </cellStyleXfs>
  <cellXfs count="99">
    <xf numFmtId="0" fontId="0" fillId="0" borderId="0" xfId="0"/>
    <xf numFmtId="1" fontId="2" fillId="2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vertical="center" wrapText="1"/>
    </xf>
    <xf numFmtId="3" fontId="2" fillId="2" borderId="0" xfId="0" applyNumberFormat="1" applyFont="1" applyFill="1" applyAlignment="1">
      <alignment vertical="center"/>
    </xf>
    <xf numFmtId="3" fontId="2" fillId="2" borderId="0" xfId="0" applyNumberFormat="1" applyFont="1" applyFill="1" applyAlignment="1">
      <alignment horizontal="right" vertical="center"/>
    </xf>
    <xf numFmtId="3" fontId="3" fillId="2" borderId="0" xfId="0" applyNumberFormat="1" applyFont="1" applyFill="1" applyAlignment="1">
      <alignment vertical="center" wrapText="1"/>
    </xf>
    <xf numFmtId="3" fontId="3" fillId="2" borderId="0" xfId="0" applyNumberFormat="1" applyFont="1" applyFill="1" applyAlignment="1">
      <alignment horizontal="center" vertical="center" wrapText="1"/>
    </xf>
    <xf numFmtId="3" fontId="3" fillId="2" borderId="0" xfId="0" applyNumberFormat="1" applyFont="1" applyFill="1" applyAlignment="1">
      <alignment vertical="center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vertical="center"/>
    </xf>
    <xf numFmtId="3" fontId="3" fillId="4" borderId="4" xfId="0" applyNumberFormat="1" applyFont="1" applyFill="1" applyBorder="1" applyAlignment="1">
      <alignment horizontal="center" vertical="center"/>
    </xf>
    <xf numFmtId="165" fontId="3" fillId="4" borderId="4" xfId="1" applyNumberFormat="1" applyFont="1" applyFill="1" applyBorder="1" applyAlignment="1">
      <alignment horizontal="center" vertical="center"/>
    </xf>
    <xf numFmtId="165" fontId="3" fillId="4" borderId="5" xfId="1" applyNumberFormat="1" applyFont="1" applyFill="1" applyBorder="1" applyAlignment="1">
      <alignment horizontal="right" vertical="center"/>
    </xf>
    <xf numFmtId="165" fontId="3" fillId="4" borderId="5" xfId="1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left" vertical="center" wrapText="1"/>
    </xf>
    <xf numFmtId="165" fontId="3" fillId="2" borderId="6" xfId="1" applyNumberFormat="1" applyFont="1" applyFill="1" applyBorder="1" applyAlignment="1">
      <alignment horizontal="center" vertical="center"/>
    </xf>
    <xf numFmtId="165" fontId="3" fillId="2" borderId="7" xfId="1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vertical="center" wrapText="1"/>
    </xf>
    <xf numFmtId="165" fontId="3" fillId="2" borderId="1" xfId="1" applyNumberFormat="1" applyFont="1" applyFill="1" applyBorder="1" applyAlignment="1">
      <alignment horizontal="center" vertical="center"/>
    </xf>
    <xf numFmtId="165" fontId="3" fillId="2" borderId="8" xfId="1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vertical="center" wrapText="1"/>
    </xf>
    <xf numFmtId="165" fontId="2" fillId="2" borderId="1" xfId="1" applyNumberFormat="1" applyFont="1" applyFill="1" applyBorder="1" applyAlignment="1">
      <alignment horizontal="center" vertical="center"/>
    </xf>
    <xf numFmtId="165" fontId="2" fillId="2" borderId="8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1" fontId="5" fillId="2" borderId="9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165" fontId="5" fillId="2" borderId="1" xfId="1" applyNumberFormat="1" applyFont="1" applyFill="1" applyBorder="1" applyAlignment="1">
      <alignment horizontal="center" vertical="center"/>
    </xf>
    <xf numFmtId="165" fontId="5" fillId="2" borderId="8" xfId="1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left" vertical="center" wrapText="1"/>
    </xf>
    <xf numFmtId="165" fontId="6" fillId="2" borderId="1" xfId="1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vertical="center" wrapText="1"/>
    </xf>
    <xf numFmtId="165" fontId="2" fillId="2" borderId="2" xfId="1" applyNumberFormat="1" applyFont="1" applyFill="1" applyBorder="1" applyAlignment="1">
      <alignment horizontal="center" vertical="center"/>
    </xf>
    <xf numFmtId="165" fontId="3" fillId="2" borderId="10" xfId="1" applyNumberFormat="1" applyFont="1" applyFill="1" applyBorder="1" applyAlignment="1">
      <alignment horizontal="right" vertical="center"/>
    </xf>
    <xf numFmtId="165" fontId="3" fillId="2" borderId="2" xfId="1" applyNumberFormat="1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 vertical="center" wrapText="1"/>
    </xf>
    <xf numFmtId="165" fontId="3" fillId="4" borderId="3" xfId="1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vertical="center" wrapText="1"/>
    </xf>
    <xf numFmtId="165" fontId="2" fillId="0" borderId="1" xfId="1" applyNumberFormat="1" applyFont="1" applyBorder="1" applyAlignment="1">
      <alignment horizontal="center" vertical="center"/>
    </xf>
    <xf numFmtId="165" fontId="2" fillId="2" borderId="1" xfId="1" applyNumberFormat="1" applyFont="1" applyFill="1" applyBorder="1" applyAlignment="1">
      <alignment vertical="center"/>
    </xf>
    <xf numFmtId="0" fontId="5" fillId="5" borderId="11" xfId="0" applyFont="1" applyFill="1" applyBorder="1" applyAlignment="1">
      <alignment horizontal="right"/>
    </xf>
    <xf numFmtId="0" fontId="5" fillId="5" borderId="11" xfId="0" applyFont="1" applyFill="1" applyBorder="1"/>
    <xf numFmtId="41" fontId="3" fillId="5" borderId="4" xfId="2" applyNumberFormat="1" applyFont="1" applyFill="1" applyBorder="1" applyAlignment="1">
      <alignment horizontal="center" vertical="center"/>
    </xf>
    <xf numFmtId="167" fontId="3" fillId="5" borderId="5" xfId="0" applyNumberFormat="1" applyFont="1" applyFill="1" applyBorder="1" applyAlignment="1">
      <alignment horizontal="center" vertical="center"/>
    </xf>
    <xf numFmtId="167" fontId="3" fillId="5" borderId="12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horizontal="right"/>
    </xf>
    <xf numFmtId="0" fontId="5" fillId="0" borderId="13" xfId="0" applyFont="1" applyBorder="1"/>
    <xf numFmtId="41" fontId="3" fillId="0" borderId="6" xfId="2" applyNumberFormat="1" applyFont="1" applyBorder="1" applyAlignment="1">
      <alignment vertical="center"/>
    </xf>
    <xf numFmtId="41" fontId="3" fillId="0" borderId="6" xfId="2" applyNumberFormat="1" applyFont="1" applyBorder="1" applyAlignment="1">
      <alignment horizontal="center" vertical="center"/>
    </xf>
    <xf numFmtId="41" fontId="3" fillId="0" borderId="6" xfId="1" applyNumberFormat="1" applyFont="1" applyBorder="1" applyAlignment="1">
      <alignment horizontal="center" vertical="center"/>
    </xf>
    <xf numFmtId="167" fontId="3" fillId="2" borderId="7" xfId="0" applyNumberFormat="1" applyFont="1" applyFill="1" applyBorder="1" applyAlignment="1">
      <alignment horizontal="center" vertical="center"/>
    </xf>
    <xf numFmtId="167" fontId="3" fillId="2" borderId="14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41" fontId="3" fillId="0" borderId="1" xfId="2" applyNumberFormat="1" applyFont="1" applyBorder="1" applyAlignment="1">
      <alignment vertical="center"/>
    </xf>
    <xf numFmtId="3" fontId="2" fillId="2" borderId="17" xfId="0" applyNumberFormat="1" applyFont="1" applyFill="1" applyBorder="1" applyAlignment="1">
      <alignment vertical="center" wrapText="1"/>
    </xf>
    <xf numFmtId="165" fontId="3" fillId="2" borderId="18" xfId="1" applyNumberFormat="1" applyFont="1" applyFill="1" applyBorder="1" applyAlignment="1">
      <alignment horizontal="center" vertical="center"/>
    </xf>
    <xf numFmtId="165" fontId="3" fillId="2" borderId="19" xfId="1" applyNumberFormat="1" applyFont="1" applyFill="1" applyBorder="1" applyAlignment="1">
      <alignment horizontal="right" vertical="center"/>
    </xf>
    <xf numFmtId="1" fontId="3" fillId="4" borderId="3" xfId="0" applyNumberFormat="1" applyFont="1" applyFill="1" applyBorder="1" applyAlignment="1">
      <alignment vertical="center" wrapText="1"/>
    </xf>
    <xf numFmtId="165" fontId="3" fillId="4" borderId="20" xfId="1" applyNumberFormat="1" applyFont="1" applyFill="1" applyBorder="1" applyAlignment="1">
      <alignment horizontal="right" vertical="center"/>
    </xf>
    <xf numFmtId="165" fontId="5" fillId="2" borderId="6" xfId="1" applyNumberFormat="1" applyFont="1" applyFill="1" applyBorder="1" applyAlignment="1">
      <alignment horizontal="center" vertical="center"/>
    </xf>
    <xf numFmtId="165" fontId="5" fillId="2" borderId="7" xfId="1" applyNumberFormat="1" applyFont="1" applyFill="1" applyBorder="1" applyAlignment="1">
      <alignment horizontal="right" vertical="center"/>
    </xf>
    <xf numFmtId="165" fontId="3" fillId="0" borderId="8" xfId="1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vertical="center" wrapText="1"/>
    </xf>
    <xf numFmtId="165" fontId="3" fillId="0" borderId="1" xfId="1" applyNumberFormat="1" applyFont="1" applyBorder="1" applyAlignment="1">
      <alignment horizontal="center" vertical="center"/>
    </xf>
    <xf numFmtId="165" fontId="3" fillId="0" borderId="2" xfId="1" applyNumberFormat="1" applyFont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/>
    </xf>
    <xf numFmtId="3" fontId="3" fillId="2" borderId="2" xfId="0" applyNumberFormat="1" applyFont="1" applyFill="1" applyBorder="1" applyAlignment="1">
      <alignment vertical="center" wrapText="1"/>
    </xf>
    <xf numFmtId="3" fontId="3" fillId="4" borderId="5" xfId="0" applyNumberFormat="1" applyFont="1" applyFill="1" applyBorder="1" applyAlignment="1">
      <alignment horizontal="left" vertical="center" wrapText="1"/>
    </xf>
    <xf numFmtId="1" fontId="2" fillId="2" borderId="3" xfId="0" applyNumberFormat="1" applyFont="1" applyFill="1" applyBorder="1" applyAlignment="1">
      <alignment vertical="center" wrapText="1"/>
    </xf>
    <xf numFmtId="3" fontId="3" fillId="2" borderId="4" xfId="0" applyNumberFormat="1" applyFont="1" applyFill="1" applyBorder="1" applyAlignment="1">
      <alignment vertical="center" wrapText="1"/>
    </xf>
    <xf numFmtId="165" fontId="3" fillId="2" borderId="4" xfId="1" applyNumberFormat="1" applyFont="1" applyFill="1" applyBorder="1" applyAlignment="1">
      <alignment horizontal="center" vertical="center"/>
    </xf>
    <xf numFmtId="165" fontId="3" fillId="2" borderId="12" xfId="1" applyNumberFormat="1" applyFont="1" applyFill="1" applyBorder="1" applyAlignment="1">
      <alignment horizontal="center" vertical="center"/>
    </xf>
    <xf numFmtId="3" fontId="3" fillId="2" borderId="5" xfId="1" applyNumberFormat="1" applyFont="1" applyFill="1" applyBorder="1" applyAlignment="1">
      <alignment horizontal="center" vertical="center"/>
    </xf>
    <xf numFmtId="165" fontId="3" fillId="2" borderId="20" xfId="1" applyNumberFormat="1" applyFont="1" applyFill="1" applyBorder="1" applyAlignment="1">
      <alignment horizontal="center" vertical="center"/>
    </xf>
    <xf numFmtId="165" fontId="3" fillId="2" borderId="21" xfId="1" applyNumberFormat="1" applyFont="1" applyFill="1" applyBorder="1" applyAlignment="1">
      <alignment horizontal="center" vertical="center"/>
    </xf>
    <xf numFmtId="1" fontId="4" fillId="2" borderId="22" xfId="0" applyNumberFormat="1" applyFont="1" applyFill="1" applyBorder="1" applyAlignment="1">
      <alignment horizontal="right" vertical="center"/>
    </xf>
    <xf numFmtId="3" fontId="4" fillId="2" borderId="23" xfId="0" applyNumberFormat="1" applyFont="1" applyFill="1" applyBorder="1" applyAlignment="1">
      <alignment horizontal="center" vertical="center" wrapText="1"/>
    </xf>
    <xf numFmtId="1" fontId="3" fillId="2" borderId="25" xfId="0" applyNumberFormat="1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/>
    </xf>
    <xf numFmtId="1" fontId="3" fillId="2" borderId="26" xfId="0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horizontal="center" vertical="center"/>
    </xf>
    <xf numFmtId="1" fontId="3" fillId="2" borderId="9" xfId="0" applyNumberFormat="1" applyFont="1" applyFill="1" applyBorder="1" applyAlignment="1">
      <alignment vertical="center"/>
    </xf>
    <xf numFmtId="165" fontId="3" fillId="2" borderId="8" xfId="1" applyNumberFormat="1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>
      <alignment vertical="center"/>
    </xf>
    <xf numFmtId="165" fontId="2" fillId="2" borderId="8" xfId="1" applyNumberFormat="1" applyFont="1" applyFill="1" applyBorder="1" applyAlignment="1">
      <alignment horizontal="center" vertical="center"/>
    </xf>
    <xf numFmtId="1" fontId="2" fillId="2" borderId="25" xfId="0" applyNumberFormat="1" applyFont="1" applyFill="1" applyBorder="1" applyAlignment="1">
      <alignment vertical="center"/>
    </xf>
    <xf numFmtId="165" fontId="3" fillId="2" borderId="10" xfId="1" applyNumberFormat="1" applyFont="1" applyFill="1" applyBorder="1" applyAlignment="1">
      <alignment horizontal="center" vertical="center"/>
    </xf>
    <xf numFmtId="1" fontId="3" fillId="2" borderId="9" xfId="0" applyNumberFormat="1" applyFont="1" applyFill="1" applyBorder="1" applyAlignment="1">
      <alignment vertical="center" wrapText="1"/>
    </xf>
    <xf numFmtId="1" fontId="2" fillId="2" borderId="9" xfId="0" applyNumberFormat="1" applyFont="1" applyFill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/>
    </xf>
    <xf numFmtId="1" fontId="3" fillId="2" borderId="26" xfId="0" applyNumberFormat="1" applyFont="1" applyFill="1" applyBorder="1" applyAlignment="1">
      <alignment vertical="center" wrapText="1"/>
    </xf>
    <xf numFmtId="1" fontId="3" fillId="2" borderId="25" xfId="0" applyNumberFormat="1" applyFont="1" applyFill="1" applyBorder="1" applyAlignment="1">
      <alignment vertical="center" wrapText="1"/>
    </xf>
    <xf numFmtId="165" fontId="0" fillId="0" borderId="0" xfId="0" applyNumberFormat="1"/>
    <xf numFmtId="3" fontId="4" fillId="2" borderId="23" xfId="0" applyNumberFormat="1" applyFont="1" applyFill="1" applyBorder="1" applyAlignment="1">
      <alignment horizontal="center" vertical="center"/>
    </xf>
    <xf numFmtId="3" fontId="4" fillId="2" borderId="23" xfId="0" applyNumberFormat="1" applyFont="1" applyFill="1" applyBorder="1" applyAlignment="1">
      <alignment horizontal="center" vertical="center"/>
    </xf>
    <xf numFmtId="3" fontId="4" fillId="2" borderId="24" xfId="0" applyNumberFormat="1" applyFont="1" applyFill="1" applyBorder="1" applyAlignment="1">
      <alignment horizontal="center" vertical="center"/>
    </xf>
    <xf numFmtId="3" fontId="2" fillId="3" borderId="0" xfId="0" applyNumberFormat="1" applyFont="1" applyFill="1" applyAlignment="1">
      <alignment horizontal="right" vertical="center"/>
    </xf>
    <xf numFmtId="3" fontId="3" fillId="2" borderId="0" xfId="0" applyNumberFormat="1" applyFont="1" applyFill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7"/>
  <sheetViews>
    <sheetView tabSelected="1" workbookViewId="0">
      <pane xSplit="2" ySplit="9" topLeftCell="L10" activePane="bottomRight" state="frozen"/>
      <selection pane="topRight" activeCell="C1" sqref="C1"/>
      <selection pane="bottomLeft" activeCell="A10" sqref="A10"/>
      <selection pane="bottomRight" activeCell="L38" sqref="L38"/>
    </sheetView>
  </sheetViews>
  <sheetFormatPr defaultRowHeight="14.4" x14ac:dyDescent="0.3"/>
  <cols>
    <col min="2" max="2" width="55.33203125" customWidth="1"/>
    <col min="3" max="3" width="13.5546875" bestFit="1" customWidth="1"/>
    <col min="4" max="5" width="12" bestFit="1" customWidth="1"/>
    <col min="6" max="8" width="11" bestFit="1" customWidth="1"/>
    <col min="9" max="9" width="12.33203125" bestFit="1" customWidth="1"/>
    <col min="10" max="10" width="11" bestFit="1" customWidth="1"/>
    <col min="11" max="12" width="13.5546875" bestFit="1" customWidth="1"/>
    <col min="13" max="13" width="12.33203125" bestFit="1" customWidth="1"/>
    <col min="14" max="15" width="12" bestFit="1" customWidth="1"/>
    <col min="16" max="17" width="11" bestFit="1" customWidth="1"/>
    <col min="18" max="18" width="12.33203125" bestFit="1" customWidth="1"/>
    <col min="19" max="19" width="11" bestFit="1" customWidth="1"/>
    <col min="20" max="20" width="13.6640625" bestFit="1" customWidth="1"/>
    <col min="21" max="21" width="11.33203125" bestFit="1" customWidth="1"/>
    <col min="22" max="22" width="10.44140625" bestFit="1" customWidth="1"/>
    <col min="23" max="23" width="8.33203125" bestFit="1" customWidth="1"/>
    <col min="24" max="24" width="11" bestFit="1" customWidth="1"/>
    <col min="25" max="25" width="9.6640625" bestFit="1" customWidth="1"/>
    <col min="26" max="26" width="9.44140625" bestFit="1" customWidth="1"/>
    <col min="27" max="27" width="12.33203125" bestFit="1" customWidth="1"/>
    <col min="28" max="28" width="8.109375" bestFit="1" customWidth="1"/>
    <col min="29" max="29" width="11" bestFit="1" customWidth="1"/>
  </cols>
  <sheetData>
    <row r="1" spans="1:29" x14ac:dyDescent="0.3">
      <c r="A1" s="1"/>
      <c r="B1" s="2"/>
      <c r="C1" s="3"/>
      <c r="D1" s="3"/>
      <c r="E1" s="3"/>
      <c r="F1" s="3"/>
      <c r="G1" s="3"/>
      <c r="H1" s="4"/>
      <c r="I1" s="97" t="s">
        <v>0</v>
      </c>
      <c r="J1" s="97"/>
      <c r="K1" s="97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x14ac:dyDescent="0.3">
      <c r="A2" s="1"/>
      <c r="B2" s="2"/>
      <c r="C2" s="3"/>
      <c r="D2" s="3"/>
      <c r="E2" s="3"/>
      <c r="F2" s="3"/>
      <c r="G2" s="3"/>
      <c r="H2" s="97" t="s">
        <v>1</v>
      </c>
      <c r="I2" s="97"/>
      <c r="J2" s="97"/>
      <c r="K2" s="97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x14ac:dyDescent="0.3">
      <c r="A3" s="1"/>
      <c r="B3" s="2"/>
      <c r="C3" s="3"/>
      <c r="D3" s="3"/>
      <c r="E3" s="3"/>
      <c r="F3" s="3"/>
      <c r="G3" s="3"/>
      <c r="H3" s="4"/>
      <c r="I3" s="97" t="s">
        <v>2</v>
      </c>
      <c r="J3" s="97"/>
      <c r="K3" s="97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x14ac:dyDescent="0.3">
      <c r="A4" s="1"/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22.2" customHeight="1" x14ac:dyDescent="0.3">
      <c r="A5" s="5"/>
      <c r="B5" s="5"/>
      <c r="C5" s="98" t="s">
        <v>3</v>
      </c>
      <c r="D5" s="98"/>
      <c r="E5" s="98"/>
      <c r="F5" s="98"/>
      <c r="G5" s="98"/>
      <c r="H5" s="98"/>
      <c r="I5" s="98"/>
      <c r="J5" s="98"/>
      <c r="K5" s="98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ht="15" thickBot="1" x14ac:dyDescent="0.35">
      <c r="A6" s="1"/>
      <c r="B6" s="6"/>
      <c r="C6" s="3"/>
      <c r="D6" s="4"/>
      <c r="E6" s="4"/>
      <c r="F6" s="4"/>
      <c r="G6" s="4"/>
      <c r="H6" s="4"/>
      <c r="I6" s="7"/>
      <c r="J6" s="4"/>
      <c r="K6" s="4" t="s">
        <v>4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x14ac:dyDescent="0.3">
      <c r="A7" s="76"/>
      <c r="B7" s="77"/>
      <c r="C7" s="95" t="s">
        <v>5</v>
      </c>
      <c r="D7" s="95"/>
      <c r="E7" s="95"/>
      <c r="F7" s="95"/>
      <c r="G7" s="95"/>
      <c r="H7" s="95"/>
      <c r="I7" s="95"/>
      <c r="J7" s="95"/>
      <c r="K7" s="95"/>
      <c r="L7" s="94" t="s">
        <v>6</v>
      </c>
      <c r="M7" s="94"/>
      <c r="N7" s="94"/>
      <c r="O7" s="94"/>
      <c r="P7" s="94"/>
      <c r="Q7" s="94"/>
      <c r="R7" s="94"/>
      <c r="S7" s="94"/>
      <c r="T7" s="94"/>
      <c r="U7" s="95" t="s">
        <v>7</v>
      </c>
      <c r="V7" s="95"/>
      <c r="W7" s="95"/>
      <c r="X7" s="95"/>
      <c r="Y7" s="95"/>
      <c r="Z7" s="95"/>
      <c r="AA7" s="95"/>
      <c r="AB7" s="95"/>
      <c r="AC7" s="96"/>
    </row>
    <row r="8" spans="1:29" ht="15" thickBot="1" x14ac:dyDescent="0.35">
      <c r="A8" s="78" t="s">
        <v>8</v>
      </c>
      <c r="B8" s="8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9" t="s">
        <v>15</v>
      </c>
      <c r="I8" s="9" t="s">
        <v>16</v>
      </c>
      <c r="J8" s="9" t="s">
        <v>17</v>
      </c>
      <c r="K8" s="9" t="s">
        <v>18</v>
      </c>
      <c r="L8" s="9" t="s">
        <v>10</v>
      </c>
      <c r="M8" s="9" t="s">
        <v>11</v>
      </c>
      <c r="N8" s="9" t="s">
        <v>12</v>
      </c>
      <c r="O8" s="9" t="s">
        <v>13</v>
      </c>
      <c r="P8" s="9" t="s">
        <v>14</v>
      </c>
      <c r="Q8" s="9" t="s">
        <v>15</v>
      </c>
      <c r="R8" s="9" t="s">
        <v>16</v>
      </c>
      <c r="S8" s="9" t="s">
        <v>17</v>
      </c>
      <c r="T8" s="9" t="s">
        <v>18</v>
      </c>
      <c r="U8" s="9" t="s">
        <v>10</v>
      </c>
      <c r="V8" s="9" t="s">
        <v>11</v>
      </c>
      <c r="W8" s="9" t="s">
        <v>12</v>
      </c>
      <c r="X8" s="9" t="s">
        <v>13</v>
      </c>
      <c r="Y8" s="9" t="s">
        <v>14</v>
      </c>
      <c r="Z8" s="9" t="s">
        <v>15</v>
      </c>
      <c r="AA8" s="9" t="s">
        <v>16</v>
      </c>
      <c r="AB8" s="9" t="s">
        <v>17</v>
      </c>
      <c r="AC8" s="79" t="s">
        <v>18</v>
      </c>
    </row>
    <row r="9" spans="1:29" ht="15" thickBot="1" x14ac:dyDescent="0.35">
      <c r="A9" s="10">
        <v>1000000</v>
      </c>
      <c r="B9" s="11" t="s">
        <v>19</v>
      </c>
      <c r="C9" s="12">
        <f>SUM(C10+C21+C27+C36+C39)</f>
        <v>826400057</v>
      </c>
      <c r="D9" s="12">
        <f t="shared" ref="D9:J9" si="0">SUM(D10+D21+D27+D36+D39)</f>
        <v>203034576</v>
      </c>
      <c r="E9" s="12">
        <f t="shared" si="0"/>
        <v>49334693</v>
      </c>
      <c r="F9" s="12">
        <f t="shared" si="0"/>
        <v>44808073</v>
      </c>
      <c r="G9" s="12">
        <f t="shared" si="0"/>
        <v>17233837</v>
      </c>
      <c r="H9" s="12">
        <f t="shared" si="0"/>
        <v>17717373</v>
      </c>
      <c r="I9" s="12">
        <f t="shared" si="0"/>
        <v>15496325</v>
      </c>
      <c r="J9" s="12">
        <f t="shared" si="0"/>
        <v>4774931</v>
      </c>
      <c r="K9" s="13">
        <f>SUM(C9:J9)</f>
        <v>1178799865</v>
      </c>
      <c r="L9" s="12">
        <f>SUM(L10+L21+L27+L36+L39)</f>
        <v>805236190</v>
      </c>
      <c r="M9" s="12">
        <f t="shared" ref="M9:S9" si="1">SUM(M10+M21+M27+M36+M39)</f>
        <v>203034576</v>
      </c>
      <c r="N9" s="12">
        <f t="shared" si="1"/>
        <v>49334693</v>
      </c>
      <c r="O9" s="12">
        <f t="shared" si="1"/>
        <v>44808073</v>
      </c>
      <c r="P9" s="12">
        <f t="shared" si="1"/>
        <v>17233837</v>
      </c>
      <c r="Q9" s="12">
        <f t="shared" si="1"/>
        <v>17717373</v>
      </c>
      <c r="R9" s="12">
        <f t="shared" si="1"/>
        <v>15496325</v>
      </c>
      <c r="S9" s="12">
        <f t="shared" si="1"/>
        <v>4774931</v>
      </c>
      <c r="T9" s="13">
        <f>SUM(L9:S9)</f>
        <v>1157635998</v>
      </c>
      <c r="U9" s="12">
        <f>SUM(U10+U21+U27+U36+U39)</f>
        <v>-21163867</v>
      </c>
      <c r="V9" s="12">
        <f t="shared" ref="V9:AB9" si="2">SUM(V10+V21+V27+V36+V39)</f>
        <v>0</v>
      </c>
      <c r="W9" s="12">
        <f t="shared" si="2"/>
        <v>0</v>
      </c>
      <c r="X9" s="12">
        <f t="shared" si="2"/>
        <v>0</v>
      </c>
      <c r="Y9" s="12">
        <f t="shared" si="2"/>
        <v>0</v>
      </c>
      <c r="Z9" s="12">
        <f t="shared" si="2"/>
        <v>0</v>
      </c>
      <c r="AA9" s="12">
        <f t="shared" si="2"/>
        <v>0</v>
      </c>
      <c r="AB9" s="12">
        <f t="shared" si="2"/>
        <v>0</v>
      </c>
      <c r="AC9" s="14">
        <f>SUM(U9:AB9)</f>
        <v>-21163867</v>
      </c>
    </row>
    <row r="10" spans="1:29" x14ac:dyDescent="0.3">
      <c r="A10" s="80">
        <v>1010000</v>
      </c>
      <c r="B10" s="15" t="s">
        <v>20</v>
      </c>
      <c r="C10" s="16">
        <f>SUM(C11+C12+C14+C15+C16+C17+C18+C19)</f>
        <v>402687259</v>
      </c>
      <c r="D10" s="16">
        <f t="shared" ref="D10:J10" si="3">SUM(D11+D12+D14+D15+D16+D17+D18+D19)</f>
        <v>199484720</v>
      </c>
      <c r="E10" s="16">
        <f t="shared" si="3"/>
        <v>29706655</v>
      </c>
      <c r="F10" s="16">
        <f t="shared" si="3"/>
        <v>22238261</v>
      </c>
      <c r="G10" s="16">
        <f t="shared" si="3"/>
        <v>6342941</v>
      </c>
      <c r="H10" s="16">
        <f t="shared" si="3"/>
        <v>9844732</v>
      </c>
      <c r="I10" s="16">
        <f t="shared" si="3"/>
        <v>5227252</v>
      </c>
      <c r="J10" s="16">
        <f t="shared" si="3"/>
        <v>3235259</v>
      </c>
      <c r="K10" s="17">
        <f t="shared" ref="K10:K70" si="4">SUM(C10:J10)</f>
        <v>678767079</v>
      </c>
      <c r="L10" s="16">
        <f>SUM(L11+L12+L14+L15+L16+L17+L18+L19)</f>
        <v>402687259</v>
      </c>
      <c r="M10" s="16">
        <f t="shared" ref="M10:S10" si="5">SUM(M11+M12+M14+M15+M16+M17+M18+M19)</f>
        <v>199484720</v>
      </c>
      <c r="N10" s="16">
        <f t="shared" si="5"/>
        <v>29706655</v>
      </c>
      <c r="O10" s="16">
        <f t="shared" si="5"/>
        <v>22238261</v>
      </c>
      <c r="P10" s="16">
        <f t="shared" si="5"/>
        <v>6342941</v>
      </c>
      <c r="Q10" s="16">
        <f t="shared" si="5"/>
        <v>9844732</v>
      </c>
      <c r="R10" s="16">
        <f t="shared" si="5"/>
        <v>5227252</v>
      </c>
      <c r="S10" s="16">
        <f t="shared" si="5"/>
        <v>3235259</v>
      </c>
      <c r="T10" s="17">
        <f t="shared" ref="T10" si="6">SUM(L10:S10)</f>
        <v>678767079</v>
      </c>
      <c r="U10" s="16">
        <f>SUM(U11+U12+U14+U15+U16+U17+U18+U19)</f>
        <v>0</v>
      </c>
      <c r="V10" s="16">
        <f t="shared" ref="V10:AC10" si="7">SUM(V11+V12+V14+V15+V16+V17+V18+V19)</f>
        <v>0</v>
      </c>
      <c r="W10" s="16">
        <f t="shared" si="7"/>
        <v>0</v>
      </c>
      <c r="X10" s="16">
        <f t="shared" si="7"/>
        <v>0</v>
      </c>
      <c r="Y10" s="16">
        <f t="shared" si="7"/>
        <v>0</v>
      </c>
      <c r="Z10" s="16">
        <f t="shared" si="7"/>
        <v>0</v>
      </c>
      <c r="AA10" s="16">
        <f t="shared" si="7"/>
        <v>0</v>
      </c>
      <c r="AB10" s="16">
        <f t="shared" si="7"/>
        <v>0</v>
      </c>
      <c r="AC10" s="81">
        <f t="shared" si="7"/>
        <v>0</v>
      </c>
    </row>
    <row r="11" spans="1:29" x14ac:dyDescent="0.3">
      <c r="A11" s="82">
        <v>1010100</v>
      </c>
      <c r="B11" s="18" t="s">
        <v>21</v>
      </c>
      <c r="C11" s="19"/>
      <c r="D11" s="19"/>
      <c r="E11" s="19"/>
      <c r="F11" s="19"/>
      <c r="G11" s="19"/>
      <c r="H11" s="19"/>
      <c r="I11" s="19"/>
      <c r="J11" s="19"/>
      <c r="K11" s="20"/>
      <c r="L11" s="19"/>
      <c r="M11" s="19"/>
      <c r="N11" s="19"/>
      <c r="O11" s="19"/>
      <c r="P11" s="19"/>
      <c r="Q11" s="19"/>
      <c r="R11" s="19"/>
      <c r="S11" s="19"/>
      <c r="T11" s="20"/>
      <c r="U11" s="19"/>
      <c r="V11" s="19"/>
      <c r="W11" s="19"/>
      <c r="X11" s="19"/>
      <c r="Y11" s="19"/>
      <c r="Z11" s="19"/>
      <c r="AA11" s="19"/>
      <c r="AB11" s="19"/>
      <c r="AC11" s="83"/>
    </row>
    <row r="12" spans="1:29" ht="26.4" x14ac:dyDescent="0.3">
      <c r="A12" s="82">
        <v>1010200</v>
      </c>
      <c r="B12" s="18" t="s">
        <v>22</v>
      </c>
      <c r="C12" s="19">
        <v>250746157</v>
      </c>
      <c r="D12" s="19">
        <v>177829314</v>
      </c>
      <c r="E12" s="19">
        <v>20051441</v>
      </c>
      <c r="F12" s="19">
        <f>37758282-23318021</f>
        <v>14440261</v>
      </c>
      <c r="G12" s="19">
        <v>3764440</v>
      </c>
      <c r="H12" s="19">
        <v>6689576</v>
      </c>
      <c r="I12" s="19">
        <v>2604725</v>
      </c>
      <c r="J12" s="19">
        <v>1636789</v>
      </c>
      <c r="K12" s="20">
        <f t="shared" si="4"/>
        <v>477762703</v>
      </c>
      <c r="L12" s="19">
        <f>250746157</f>
        <v>250746157</v>
      </c>
      <c r="M12" s="19">
        <f>177829314</f>
        <v>177829314</v>
      </c>
      <c r="N12" s="19">
        <v>20051441</v>
      </c>
      <c r="O12" s="19">
        <f>37758282-23318021</f>
        <v>14440261</v>
      </c>
      <c r="P12" s="19">
        <v>3764440</v>
      </c>
      <c r="Q12" s="19">
        <v>6689576</v>
      </c>
      <c r="R12" s="19">
        <v>2604725</v>
      </c>
      <c r="S12" s="19">
        <v>1636789</v>
      </c>
      <c r="T12" s="20">
        <f t="shared" ref="T12:T17" si="8">SUM(L12:S12)</f>
        <v>477762703</v>
      </c>
      <c r="U12" s="19">
        <f t="shared" ref="U12:AB19" si="9">L12-C12</f>
        <v>0</v>
      </c>
      <c r="V12" s="19">
        <f t="shared" si="9"/>
        <v>0</v>
      </c>
      <c r="W12" s="19">
        <f t="shared" si="9"/>
        <v>0</v>
      </c>
      <c r="X12" s="19">
        <f t="shared" si="9"/>
        <v>0</v>
      </c>
      <c r="Y12" s="19">
        <f t="shared" si="9"/>
        <v>0</v>
      </c>
      <c r="Z12" s="19">
        <f t="shared" si="9"/>
        <v>0</v>
      </c>
      <c r="AA12" s="19">
        <f t="shared" si="9"/>
        <v>0</v>
      </c>
      <c r="AB12" s="19">
        <f t="shared" si="9"/>
        <v>0</v>
      </c>
      <c r="AC12" s="83">
        <f t="shared" ref="AC12:AC19" si="10">SUM(U12:AB12)</f>
        <v>0</v>
      </c>
    </row>
    <row r="13" spans="1:29" ht="26.4" x14ac:dyDescent="0.3">
      <c r="A13" s="84">
        <v>1010290</v>
      </c>
      <c r="B13" s="21" t="s">
        <v>23</v>
      </c>
      <c r="C13" s="22">
        <v>125816420</v>
      </c>
      <c r="D13" s="22">
        <v>40540877</v>
      </c>
      <c r="E13" s="22">
        <v>20051441</v>
      </c>
      <c r="F13" s="22">
        <f>19380507-7785125</f>
        <v>11595382</v>
      </c>
      <c r="G13" s="22">
        <v>3764440</v>
      </c>
      <c r="H13" s="22">
        <v>6689576</v>
      </c>
      <c r="I13" s="22">
        <v>2604725</v>
      </c>
      <c r="J13" s="22">
        <v>1636789</v>
      </c>
      <c r="K13" s="23">
        <f t="shared" si="4"/>
        <v>212699650</v>
      </c>
      <c r="L13" s="22">
        <v>125816420</v>
      </c>
      <c r="M13" s="22">
        <v>40540877</v>
      </c>
      <c r="N13" s="22">
        <v>20051441</v>
      </c>
      <c r="O13" s="22">
        <f>19380507-7785125</f>
        <v>11595382</v>
      </c>
      <c r="P13" s="22">
        <v>3764440</v>
      </c>
      <c r="Q13" s="22">
        <v>6689576</v>
      </c>
      <c r="R13" s="22">
        <v>2604725</v>
      </c>
      <c r="S13" s="22">
        <v>1636789</v>
      </c>
      <c r="T13" s="23">
        <f t="shared" si="8"/>
        <v>212699650</v>
      </c>
      <c r="U13" s="22">
        <f t="shared" si="9"/>
        <v>0</v>
      </c>
      <c r="V13" s="22">
        <f t="shared" si="9"/>
        <v>0</v>
      </c>
      <c r="W13" s="22">
        <f t="shared" si="9"/>
        <v>0</v>
      </c>
      <c r="X13" s="22">
        <f t="shared" si="9"/>
        <v>0</v>
      </c>
      <c r="Y13" s="22">
        <f t="shared" si="9"/>
        <v>0</v>
      </c>
      <c r="Z13" s="22">
        <f t="shared" si="9"/>
        <v>0</v>
      </c>
      <c r="AA13" s="22">
        <f t="shared" si="9"/>
        <v>0</v>
      </c>
      <c r="AB13" s="22">
        <f t="shared" si="9"/>
        <v>0</v>
      </c>
      <c r="AC13" s="85">
        <f t="shared" si="10"/>
        <v>0</v>
      </c>
    </row>
    <row r="14" spans="1:29" x14ac:dyDescent="0.3">
      <c r="A14" s="82">
        <v>1010400</v>
      </c>
      <c r="B14" s="18" t="s">
        <v>24</v>
      </c>
      <c r="C14" s="19">
        <v>3845400</v>
      </c>
      <c r="D14" s="19">
        <v>0</v>
      </c>
      <c r="E14" s="19">
        <v>2035800</v>
      </c>
      <c r="F14" s="19">
        <v>765600</v>
      </c>
      <c r="G14" s="19">
        <v>870000</v>
      </c>
      <c r="H14" s="19">
        <v>243600</v>
      </c>
      <c r="I14" s="19">
        <v>382800</v>
      </c>
      <c r="J14" s="19">
        <v>452400</v>
      </c>
      <c r="K14" s="20">
        <f t="shared" si="4"/>
        <v>8595600</v>
      </c>
      <c r="L14" s="19">
        <v>3845400</v>
      </c>
      <c r="M14" s="19">
        <v>0</v>
      </c>
      <c r="N14" s="19">
        <v>2035800</v>
      </c>
      <c r="O14" s="19">
        <v>765600</v>
      </c>
      <c r="P14" s="19">
        <v>870000</v>
      </c>
      <c r="Q14" s="19">
        <v>243600</v>
      </c>
      <c r="R14" s="19">
        <v>382800</v>
      </c>
      <c r="S14" s="19">
        <v>452400</v>
      </c>
      <c r="T14" s="20">
        <f t="shared" si="8"/>
        <v>8595600</v>
      </c>
      <c r="U14" s="19">
        <f t="shared" si="9"/>
        <v>0</v>
      </c>
      <c r="V14" s="19">
        <f t="shared" si="9"/>
        <v>0</v>
      </c>
      <c r="W14" s="19">
        <f t="shared" si="9"/>
        <v>0</v>
      </c>
      <c r="X14" s="19">
        <f t="shared" si="9"/>
        <v>0</v>
      </c>
      <c r="Y14" s="19">
        <f t="shared" si="9"/>
        <v>0</v>
      </c>
      <c r="Z14" s="19">
        <f t="shared" si="9"/>
        <v>0</v>
      </c>
      <c r="AA14" s="19">
        <f t="shared" si="9"/>
        <v>0</v>
      </c>
      <c r="AB14" s="19">
        <f t="shared" si="9"/>
        <v>0</v>
      </c>
      <c r="AC14" s="83">
        <f t="shared" si="10"/>
        <v>0</v>
      </c>
    </row>
    <row r="15" spans="1:29" ht="39.6" x14ac:dyDescent="0.3">
      <c r="A15" s="82">
        <v>1010600</v>
      </c>
      <c r="B15" s="18" t="s">
        <v>25</v>
      </c>
      <c r="C15" s="19">
        <f>0+445821</f>
        <v>445821</v>
      </c>
      <c r="D15" s="19">
        <f>0+162076</f>
        <v>162076</v>
      </c>
      <c r="E15" s="19"/>
      <c r="F15" s="19">
        <f>0+119961</f>
        <v>119961</v>
      </c>
      <c r="G15" s="19"/>
      <c r="H15" s="19"/>
      <c r="I15" s="19"/>
      <c r="J15" s="19"/>
      <c r="K15" s="20">
        <f t="shared" si="4"/>
        <v>727858</v>
      </c>
      <c r="L15" s="19">
        <f>0+445821</f>
        <v>445821</v>
      </c>
      <c r="M15" s="19">
        <f>0+162076</f>
        <v>162076</v>
      </c>
      <c r="N15" s="19"/>
      <c r="O15" s="19">
        <f>0+119961</f>
        <v>119961</v>
      </c>
      <c r="P15" s="19"/>
      <c r="Q15" s="19"/>
      <c r="R15" s="19"/>
      <c r="S15" s="19"/>
      <c r="T15" s="20">
        <f t="shared" si="8"/>
        <v>727858</v>
      </c>
      <c r="U15" s="19">
        <f t="shared" si="9"/>
        <v>0</v>
      </c>
      <c r="V15" s="19">
        <f>M15-D15</f>
        <v>0</v>
      </c>
      <c r="W15" s="19">
        <f t="shared" si="9"/>
        <v>0</v>
      </c>
      <c r="X15" s="19">
        <f t="shared" si="9"/>
        <v>0</v>
      </c>
      <c r="Y15" s="19">
        <f t="shared" si="9"/>
        <v>0</v>
      </c>
      <c r="Z15" s="19">
        <f t="shared" si="9"/>
        <v>0</v>
      </c>
      <c r="AA15" s="19">
        <f t="shared" si="9"/>
        <v>0</v>
      </c>
      <c r="AB15" s="19">
        <f t="shared" si="9"/>
        <v>0</v>
      </c>
      <c r="AC15" s="83">
        <f t="shared" si="10"/>
        <v>0</v>
      </c>
    </row>
    <row r="16" spans="1:29" ht="26.4" x14ac:dyDescent="0.3">
      <c r="A16" s="82">
        <v>1010601</v>
      </c>
      <c r="B16" s="18" t="s">
        <v>26</v>
      </c>
      <c r="C16" s="19">
        <f>0+3211290</f>
        <v>3211290</v>
      </c>
      <c r="D16" s="19">
        <f>0+75612</f>
        <v>75612</v>
      </c>
      <c r="E16" s="19"/>
      <c r="F16" s="19">
        <f>0+399840</f>
        <v>399840</v>
      </c>
      <c r="G16" s="19"/>
      <c r="H16" s="19"/>
      <c r="I16" s="19"/>
      <c r="J16" s="19"/>
      <c r="K16" s="20">
        <f t="shared" si="4"/>
        <v>3686742</v>
      </c>
      <c r="L16" s="19">
        <f>0+3211290</f>
        <v>3211290</v>
      </c>
      <c r="M16" s="19">
        <f>0+75612</f>
        <v>75612</v>
      </c>
      <c r="N16" s="19"/>
      <c r="O16" s="19">
        <f>0+399840</f>
        <v>399840</v>
      </c>
      <c r="P16" s="19"/>
      <c r="Q16" s="19"/>
      <c r="R16" s="19"/>
      <c r="S16" s="19"/>
      <c r="T16" s="20">
        <f t="shared" si="8"/>
        <v>3686742</v>
      </c>
      <c r="U16" s="19">
        <f t="shared" si="9"/>
        <v>0</v>
      </c>
      <c r="V16" s="19">
        <f t="shared" si="9"/>
        <v>0</v>
      </c>
      <c r="W16" s="19">
        <f t="shared" si="9"/>
        <v>0</v>
      </c>
      <c r="X16" s="19">
        <f t="shared" si="9"/>
        <v>0</v>
      </c>
      <c r="Y16" s="19">
        <f t="shared" si="9"/>
        <v>0</v>
      </c>
      <c r="Z16" s="19">
        <f t="shared" si="9"/>
        <v>0</v>
      </c>
      <c r="AA16" s="19">
        <f t="shared" si="9"/>
        <v>0</v>
      </c>
      <c r="AB16" s="19">
        <f t="shared" si="9"/>
        <v>0</v>
      </c>
      <c r="AC16" s="83">
        <f t="shared" si="10"/>
        <v>0</v>
      </c>
    </row>
    <row r="17" spans="1:29" x14ac:dyDescent="0.3">
      <c r="A17" s="82">
        <v>1010700</v>
      </c>
      <c r="B17" s="18" t="s">
        <v>27</v>
      </c>
      <c r="C17" s="19">
        <f>110034816-67017+6235040-5031797</f>
        <v>111171042</v>
      </c>
      <c r="D17" s="19">
        <f>20748965-1473854-205723</f>
        <v>19069388</v>
      </c>
      <c r="E17" s="19">
        <v>0</v>
      </c>
      <c r="F17" s="19">
        <f>3677792-1585903-1759717</f>
        <v>332172</v>
      </c>
      <c r="G17" s="19"/>
      <c r="H17" s="19"/>
      <c r="I17" s="19"/>
      <c r="J17" s="19"/>
      <c r="K17" s="20">
        <f t="shared" si="4"/>
        <v>130572602</v>
      </c>
      <c r="L17" s="19">
        <f>110034816-67017+6235040-5031797</f>
        <v>111171042</v>
      </c>
      <c r="M17" s="19">
        <f>20748965-1473854-205723</f>
        <v>19069388</v>
      </c>
      <c r="N17" s="19">
        <v>0</v>
      </c>
      <c r="O17" s="19">
        <f>3677792-1585903-1759717</f>
        <v>332172</v>
      </c>
      <c r="P17" s="19"/>
      <c r="Q17" s="19"/>
      <c r="R17" s="19"/>
      <c r="S17" s="19"/>
      <c r="T17" s="20">
        <f t="shared" si="8"/>
        <v>130572602</v>
      </c>
      <c r="U17" s="19">
        <f t="shared" si="9"/>
        <v>0</v>
      </c>
      <c r="V17" s="19">
        <f t="shared" si="9"/>
        <v>0</v>
      </c>
      <c r="W17" s="19">
        <f t="shared" si="9"/>
        <v>0</v>
      </c>
      <c r="X17" s="19">
        <f t="shared" si="9"/>
        <v>0</v>
      </c>
      <c r="Y17" s="19">
        <f t="shared" si="9"/>
        <v>0</v>
      </c>
      <c r="Z17" s="19">
        <f t="shared" si="9"/>
        <v>0</v>
      </c>
      <c r="AA17" s="19">
        <f t="shared" si="9"/>
        <v>0</v>
      </c>
      <c r="AB17" s="19">
        <f t="shared" si="9"/>
        <v>0</v>
      </c>
      <c r="AC17" s="83">
        <f t="shared" si="10"/>
        <v>0</v>
      </c>
    </row>
    <row r="18" spans="1:29" ht="66" x14ac:dyDescent="0.3">
      <c r="A18" s="82">
        <v>1010800</v>
      </c>
      <c r="B18" s="24" t="s">
        <v>28</v>
      </c>
      <c r="C18" s="19">
        <f>24544517+1167469</f>
        <v>25711986</v>
      </c>
      <c r="D18" s="19">
        <f>2163484+87401</f>
        <v>2250885</v>
      </c>
      <c r="E18" s="19">
        <f>5450794+615876</f>
        <v>6066670</v>
      </c>
      <c r="F18" s="19">
        <f>5186097+463698</f>
        <v>5649795</v>
      </c>
      <c r="G18" s="19">
        <f>1353288+204075</f>
        <v>1557363</v>
      </c>
      <c r="H18" s="19">
        <f>2091310+332979</f>
        <v>2424289</v>
      </c>
      <c r="I18" s="19">
        <f>1677436+201660</f>
        <v>1879096</v>
      </c>
      <c r="J18" s="19">
        <f>774751+138149</f>
        <v>912900</v>
      </c>
      <c r="K18" s="20">
        <f t="shared" ref="K18:K19" si="11">SUM(C18:J18)</f>
        <v>46452984</v>
      </c>
      <c r="L18" s="19">
        <f>24544517+1167469</f>
        <v>25711986</v>
      </c>
      <c r="M18" s="19">
        <f>2163484+87401</f>
        <v>2250885</v>
      </c>
      <c r="N18" s="19">
        <f>5450794+615876</f>
        <v>6066670</v>
      </c>
      <c r="O18" s="19">
        <f>5186097+463698</f>
        <v>5649795</v>
      </c>
      <c r="P18" s="19">
        <f>1353288+204075</f>
        <v>1557363</v>
      </c>
      <c r="Q18" s="19">
        <f>2091310+332979</f>
        <v>2424289</v>
      </c>
      <c r="R18" s="19">
        <f>1677436+201660</f>
        <v>1879096</v>
      </c>
      <c r="S18" s="19">
        <f>774751+138149</f>
        <v>912900</v>
      </c>
      <c r="T18" s="20">
        <f t="shared" ref="T18:T19" si="12">SUM(L18:S18)</f>
        <v>46452984</v>
      </c>
      <c r="U18" s="19">
        <f t="shared" si="9"/>
        <v>0</v>
      </c>
      <c r="V18" s="19">
        <f t="shared" si="9"/>
        <v>0</v>
      </c>
      <c r="W18" s="19">
        <f t="shared" si="9"/>
        <v>0</v>
      </c>
      <c r="X18" s="19">
        <f t="shared" si="9"/>
        <v>0</v>
      </c>
      <c r="Y18" s="19">
        <f t="shared" si="9"/>
        <v>0</v>
      </c>
      <c r="Z18" s="19">
        <f t="shared" si="9"/>
        <v>0</v>
      </c>
      <c r="AA18" s="19">
        <f t="shared" si="9"/>
        <v>0</v>
      </c>
      <c r="AB18" s="19">
        <f t="shared" si="9"/>
        <v>0</v>
      </c>
      <c r="AC18" s="83">
        <f t="shared" si="10"/>
        <v>0</v>
      </c>
    </row>
    <row r="19" spans="1:29" ht="26.4" x14ac:dyDescent="0.3">
      <c r="A19" s="25">
        <v>1010900</v>
      </c>
      <c r="B19" s="26" t="s">
        <v>29</v>
      </c>
      <c r="C19" s="27">
        <f>0+7555563</f>
        <v>7555563</v>
      </c>
      <c r="D19" s="27">
        <f>0+97445</f>
        <v>97445</v>
      </c>
      <c r="E19" s="27">
        <f>0+1552744</f>
        <v>1552744</v>
      </c>
      <c r="F19" s="27">
        <f>0+530632</f>
        <v>530632</v>
      </c>
      <c r="G19" s="27">
        <f>0+151138</f>
        <v>151138</v>
      </c>
      <c r="H19" s="27">
        <f>0+487267</f>
        <v>487267</v>
      </c>
      <c r="I19" s="27">
        <f>0+360631</f>
        <v>360631</v>
      </c>
      <c r="J19" s="27">
        <f>0+233170</f>
        <v>233170</v>
      </c>
      <c r="K19" s="28">
        <f t="shared" si="11"/>
        <v>10968590</v>
      </c>
      <c r="L19" s="27">
        <f>0+7555563</f>
        <v>7555563</v>
      </c>
      <c r="M19" s="27">
        <f>0+97445</f>
        <v>97445</v>
      </c>
      <c r="N19" s="27">
        <f>0+1552744</f>
        <v>1552744</v>
      </c>
      <c r="O19" s="27">
        <f>0+530632</f>
        <v>530632</v>
      </c>
      <c r="P19" s="27">
        <f>0+151138</f>
        <v>151138</v>
      </c>
      <c r="Q19" s="27">
        <f>0+487267</f>
        <v>487267</v>
      </c>
      <c r="R19" s="27">
        <f>0+360631</f>
        <v>360631</v>
      </c>
      <c r="S19" s="27">
        <f>0+233170</f>
        <v>233170</v>
      </c>
      <c r="T19" s="28">
        <f t="shared" si="12"/>
        <v>10968590</v>
      </c>
      <c r="U19" s="19">
        <f t="shared" si="9"/>
        <v>0</v>
      </c>
      <c r="V19" s="19">
        <f t="shared" si="9"/>
        <v>0</v>
      </c>
      <c r="W19" s="19">
        <f t="shared" si="9"/>
        <v>0</v>
      </c>
      <c r="X19" s="19">
        <f t="shared" si="9"/>
        <v>0</v>
      </c>
      <c r="Y19" s="19">
        <f t="shared" si="9"/>
        <v>0</v>
      </c>
      <c r="Z19" s="19">
        <f t="shared" si="9"/>
        <v>0</v>
      </c>
      <c r="AA19" s="19">
        <f t="shared" si="9"/>
        <v>0</v>
      </c>
      <c r="AB19" s="19">
        <f t="shared" si="9"/>
        <v>0</v>
      </c>
      <c r="AC19" s="83">
        <f t="shared" si="10"/>
        <v>0</v>
      </c>
    </row>
    <row r="20" spans="1:29" x14ac:dyDescent="0.3">
      <c r="A20" s="84"/>
      <c r="B20" s="18"/>
      <c r="C20" s="19"/>
      <c r="D20" s="19"/>
      <c r="E20" s="19"/>
      <c r="F20" s="19"/>
      <c r="G20" s="19"/>
      <c r="H20" s="19"/>
      <c r="I20" s="19"/>
      <c r="J20" s="19"/>
      <c r="K20" s="20"/>
      <c r="L20" s="19"/>
      <c r="M20" s="19"/>
      <c r="N20" s="19"/>
      <c r="O20" s="19"/>
      <c r="P20" s="19"/>
      <c r="Q20" s="19"/>
      <c r="R20" s="19"/>
      <c r="S20" s="19"/>
      <c r="T20" s="20"/>
      <c r="U20" s="19"/>
      <c r="V20" s="19"/>
      <c r="W20" s="19"/>
      <c r="X20" s="19"/>
      <c r="Y20" s="19"/>
      <c r="Z20" s="19"/>
      <c r="AA20" s="19"/>
      <c r="AB20" s="19"/>
      <c r="AC20" s="83"/>
    </row>
    <row r="21" spans="1:29" ht="26.4" x14ac:dyDescent="0.3">
      <c r="A21" s="82">
        <v>1020000</v>
      </c>
      <c r="B21" s="18" t="s">
        <v>30</v>
      </c>
      <c r="C21" s="19">
        <f t="shared" ref="C21:J21" si="13">SUM(C22:C25)</f>
        <v>28982011</v>
      </c>
      <c r="D21" s="19">
        <f t="shared" si="13"/>
        <v>137629</v>
      </c>
      <c r="E21" s="19">
        <f t="shared" si="13"/>
        <v>10685832</v>
      </c>
      <c r="F21" s="19">
        <f t="shared" si="13"/>
        <v>560366</v>
      </c>
      <c r="G21" s="19">
        <f t="shared" si="13"/>
        <v>4501596</v>
      </c>
      <c r="H21" s="19">
        <f t="shared" si="13"/>
        <v>124866</v>
      </c>
      <c r="I21" s="19">
        <f t="shared" si="13"/>
        <v>29232</v>
      </c>
      <c r="J21" s="19">
        <f t="shared" si="13"/>
        <v>140225</v>
      </c>
      <c r="K21" s="20">
        <f t="shared" si="4"/>
        <v>45161757</v>
      </c>
      <c r="L21" s="19">
        <f t="shared" ref="L21:S21" si="14">SUM(L22:L25)</f>
        <v>28982011</v>
      </c>
      <c r="M21" s="19">
        <f t="shared" si="14"/>
        <v>137629</v>
      </c>
      <c r="N21" s="19">
        <f t="shared" si="14"/>
        <v>10685832</v>
      </c>
      <c r="O21" s="19">
        <f t="shared" si="14"/>
        <v>560366</v>
      </c>
      <c r="P21" s="19">
        <f t="shared" si="14"/>
        <v>4501596</v>
      </c>
      <c r="Q21" s="19">
        <f t="shared" si="14"/>
        <v>124866</v>
      </c>
      <c r="R21" s="19">
        <f t="shared" si="14"/>
        <v>29232</v>
      </c>
      <c r="S21" s="19">
        <f t="shared" si="14"/>
        <v>140225</v>
      </c>
      <c r="T21" s="20">
        <f t="shared" ref="T21:T25" si="15">SUM(L21:S21)</f>
        <v>45161757</v>
      </c>
      <c r="U21" s="19">
        <f t="shared" ref="U21:AB21" si="16">SUM(U22:U25)</f>
        <v>0</v>
      </c>
      <c r="V21" s="19">
        <f t="shared" si="16"/>
        <v>0</v>
      </c>
      <c r="W21" s="19">
        <f t="shared" si="16"/>
        <v>0</v>
      </c>
      <c r="X21" s="19">
        <f t="shared" si="16"/>
        <v>0</v>
      </c>
      <c r="Y21" s="19">
        <f t="shared" si="16"/>
        <v>0</v>
      </c>
      <c r="Z21" s="19">
        <f t="shared" si="16"/>
        <v>0</v>
      </c>
      <c r="AA21" s="19">
        <f t="shared" si="16"/>
        <v>0</v>
      </c>
      <c r="AB21" s="19">
        <f t="shared" si="16"/>
        <v>0</v>
      </c>
      <c r="AC21" s="83">
        <f t="shared" ref="AC21:AC25" si="17">SUM(U21:AB21)</f>
        <v>0</v>
      </c>
    </row>
    <row r="22" spans="1:29" x14ac:dyDescent="0.3">
      <c r="A22" s="82">
        <v>1020100</v>
      </c>
      <c r="B22" s="18" t="s">
        <v>31</v>
      </c>
      <c r="C22" s="19"/>
      <c r="D22" s="19"/>
      <c r="E22" s="19"/>
      <c r="F22" s="19"/>
      <c r="G22" s="19"/>
      <c r="H22" s="19"/>
      <c r="I22" s="19"/>
      <c r="J22" s="19"/>
      <c r="K22" s="20">
        <f t="shared" si="4"/>
        <v>0</v>
      </c>
      <c r="L22" s="19"/>
      <c r="M22" s="19"/>
      <c r="N22" s="19"/>
      <c r="O22" s="19"/>
      <c r="P22" s="19"/>
      <c r="Q22" s="19"/>
      <c r="R22" s="19"/>
      <c r="S22" s="19"/>
      <c r="T22" s="20">
        <f t="shared" si="15"/>
        <v>0</v>
      </c>
      <c r="U22" s="19"/>
      <c r="V22" s="19"/>
      <c r="W22" s="19"/>
      <c r="X22" s="19"/>
      <c r="Y22" s="19"/>
      <c r="Z22" s="19"/>
      <c r="AA22" s="19"/>
      <c r="AB22" s="19"/>
      <c r="AC22" s="83">
        <f t="shared" si="17"/>
        <v>0</v>
      </c>
    </row>
    <row r="23" spans="1:29" x14ac:dyDescent="0.3">
      <c r="A23" s="82">
        <v>1020200</v>
      </c>
      <c r="B23" s="18" t="s">
        <v>32</v>
      </c>
      <c r="C23" s="19">
        <v>27878572</v>
      </c>
      <c r="D23" s="19">
        <v>0</v>
      </c>
      <c r="E23" s="19">
        <v>10297497</v>
      </c>
      <c r="F23" s="19">
        <v>263746</v>
      </c>
      <c r="G23" s="19">
        <v>4470972</v>
      </c>
      <c r="H23" s="19">
        <v>23100</v>
      </c>
      <c r="I23" s="19">
        <v>0</v>
      </c>
      <c r="J23" s="19">
        <v>106817</v>
      </c>
      <c r="K23" s="20">
        <f t="shared" si="4"/>
        <v>43040704</v>
      </c>
      <c r="L23" s="19">
        <v>27878572</v>
      </c>
      <c r="M23" s="19">
        <v>0</v>
      </c>
      <c r="N23" s="19">
        <v>10297497</v>
      </c>
      <c r="O23" s="19">
        <v>263746</v>
      </c>
      <c r="P23" s="19">
        <v>4470972</v>
      </c>
      <c r="Q23" s="19">
        <v>23100</v>
      </c>
      <c r="R23" s="19">
        <v>0</v>
      </c>
      <c r="S23" s="19">
        <v>106817</v>
      </c>
      <c r="T23" s="20">
        <f t="shared" si="15"/>
        <v>43040704</v>
      </c>
      <c r="U23" s="19">
        <f t="shared" ref="U23:AB27" si="18">L23-C23</f>
        <v>0</v>
      </c>
      <c r="V23" s="19">
        <f t="shared" si="18"/>
        <v>0</v>
      </c>
      <c r="W23" s="19">
        <f t="shared" si="18"/>
        <v>0</v>
      </c>
      <c r="X23" s="19">
        <f t="shared" si="18"/>
        <v>0</v>
      </c>
      <c r="Y23" s="19">
        <f t="shared" si="18"/>
        <v>0</v>
      </c>
      <c r="Z23" s="19">
        <f t="shared" si="18"/>
        <v>0</v>
      </c>
      <c r="AA23" s="19">
        <f t="shared" si="18"/>
        <v>0</v>
      </c>
      <c r="AB23" s="19">
        <f t="shared" si="18"/>
        <v>0</v>
      </c>
      <c r="AC23" s="83">
        <f t="shared" si="17"/>
        <v>0</v>
      </c>
    </row>
    <row r="24" spans="1:29" ht="26.4" x14ac:dyDescent="0.3">
      <c r="A24" s="82">
        <v>1020400</v>
      </c>
      <c r="B24" s="29" t="s">
        <v>33</v>
      </c>
      <c r="C24" s="19"/>
      <c r="D24" s="19"/>
      <c r="E24" s="19"/>
      <c r="F24" s="19"/>
      <c r="G24" s="19"/>
      <c r="H24" s="19"/>
      <c r="I24" s="19"/>
      <c r="J24" s="19"/>
      <c r="K24" s="20">
        <f t="shared" si="4"/>
        <v>0</v>
      </c>
      <c r="L24" s="19"/>
      <c r="M24" s="19"/>
      <c r="N24" s="19"/>
      <c r="O24" s="19"/>
      <c r="P24" s="19"/>
      <c r="Q24" s="19"/>
      <c r="R24" s="19"/>
      <c r="S24" s="19"/>
      <c r="T24" s="20">
        <f t="shared" si="15"/>
        <v>0</v>
      </c>
      <c r="U24" s="19">
        <f t="shared" si="18"/>
        <v>0</v>
      </c>
      <c r="V24" s="19">
        <f t="shared" si="18"/>
        <v>0</v>
      </c>
      <c r="W24" s="19">
        <f t="shared" si="18"/>
        <v>0</v>
      </c>
      <c r="X24" s="19">
        <f t="shared" si="18"/>
        <v>0</v>
      </c>
      <c r="Y24" s="19">
        <f t="shared" si="18"/>
        <v>0</v>
      </c>
      <c r="Z24" s="19">
        <f t="shared" si="18"/>
        <v>0</v>
      </c>
      <c r="AA24" s="19">
        <f t="shared" si="18"/>
        <v>0</v>
      </c>
      <c r="AB24" s="19">
        <f t="shared" si="18"/>
        <v>0</v>
      </c>
      <c r="AC24" s="83">
        <f t="shared" si="17"/>
        <v>0</v>
      </c>
    </row>
    <row r="25" spans="1:29" x14ac:dyDescent="0.3">
      <c r="A25" s="82">
        <v>1020500</v>
      </c>
      <c r="B25" s="18" t="s">
        <v>34</v>
      </c>
      <c r="C25" s="19">
        <v>1103439</v>
      </c>
      <c r="D25" s="19">
        <v>137629</v>
      </c>
      <c r="E25" s="19">
        <v>388335</v>
      </c>
      <c r="F25" s="19">
        <v>296620</v>
      </c>
      <c r="G25" s="19">
        <v>30624</v>
      </c>
      <c r="H25" s="19">
        <v>101766</v>
      </c>
      <c r="I25" s="19">
        <v>29232</v>
      </c>
      <c r="J25" s="19">
        <v>33408</v>
      </c>
      <c r="K25" s="20">
        <f t="shared" si="4"/>
        <v>2121053</v>
      </c>
      <c r="L25" s="19">
        <v>1103439</v>
      </c>
      <c r="M25" s="19">
        <v>137629</v>
      </c>
      <c r="N25" s="19">
        <v>388335</v>
      </c>
      <c r="O25" s="19">
        <v>296620</v>
      </c>
      <c r="P25" s="19">
        <v>30624</v>
      </c>
      <c r="Q25" s="19">
        <v>101766</v>
      </c>
      <c r="R25" s="19">
        <v>29232</v>
      </c>
      <c r="S25" s="19">
        <v>33408</v>
      </c>
      <c r="T25" s="20">
        <f t="shared" si="15"/>
        <v>2121053</v>
      </c>
      <c r="U25" s="19">
        <f t="shared" si="18"/>
        <v>0</v>
      </c>
      <c r="V25" s="19">
        <f t="shared" si="18"/>
        <v>0</v>
      </c>
      <c r="W25" s="19">
        <f t="shared" si="18"/>
        <v>0</v>
      </c>
      <c r="X25" s="19">
        <f t="shared" si="18"/>
        <v>0</v>
      </c>
      <c r="Y25" s="19">
        <f t="shared" si="18"/>
        <v>0</v>
      </c>
      <c r="Z25" s="19">
        <f t="shared" si="18"/>
        <v>0</v>
      </c>
      <c r="AA25" s="19">
        <f t="shared" si="18"/>
        <v>0</v>
      </c>
      <c r="AB25" s="19">
        <f t="shared" si="18"/>
        <v>0</v>
      </c>
      <c r="AC25" s="83">
        <f t="shared" si="17"/>
        <v>0</v>
      </c>
    </row>
    <row r="26" spans="1:29" x14ac:dyDescent="0.3">
      <c r="A26" s="82"/>
      <c r="B26" s="18"/>
      <c r="C26" s="19"/>
      <c r="D26" s="19"/>
      <c r="E26" s="19"/>
      <c r="F26" s="19"/>
      <c r="G26" s="19"/>
      <c r="H26" s="19"/>
      <c r="I26" s="19"/>
      <c r="J26" s="19"/>
      <c r="K26" s="20"/>
      <c r="L26" s="19"/>
      <c r="M26" s="19"/>
      <c r="N26" s="19"/>
      <c r="O26" s="19"/>
      <c r="P26" s="19"/>
      <c r="Q26" s="19"/>
      <c r="R26" s="19"/>
      <c r="S26" s="19"/>
      <c r="T26" s="20"/>
      <c r="U26" s="19">
        <f t="shared" si="18"/>
        <v>0</v>
      </c>
      <c r="V26" s="19">
        <f t="shared" si="18"/>
        <v>0</v>
      </c>
      <c r="W26" s="19">
        <f t="shared" si="18"/>
        <v>0</v>
      </c>
      <c r="X26" s="19">
        <f t="shared" si="18"/>
        <v>0</v>
      </c>
      <c r="Y26" s="19">
        <f t="shared" si="18"/>
        <v>0</v>
      </c>
      <c r="Z26" s="19">
        <f t="shared" si="18"/>
        <v>0</v>
      </c>
      <c r="AA26" s="19">
        <f t="shared" si="18"/>
        <v>0</v>
      </c>
      <c r="AB26" s="19">
        <f t="shared" si="18"/>
        <v>0</v>
      </c>
      <c r="AC26" s="83"/>
    </row>
    <row r="27" spans="1:29" x14ac:dyDescent="0.3">
      <c r="A27" s="82">
        <v>1050000</v>
      </c>
      <c r="B27" s="18" t="s">
        <v>35</v>
      </c>
      <c r="C27" s="19">
        <f>7107521-1618328</f>
        <v>5489193</v>
      </c>
      <c r="D27" s="19">
        <v>3151006</v>
      </c>
      <c r="E27" s="19">
        <f>1960030-4313</f>
        <v>1955717</v>
      </c>
      <c r="F27" s="19">
        <v>16050430</v>
      </c>
      <c r="G27" s="19">
        <v>2228198</v>
      </c>
      <c r="H27" s="19">
        <v>3724018</v>
      </c>
      <c r="I27" s="19">
        <v>8088516</v>
      </c>
      <c r="J27" s="19">
        <v>322411</v>
      </c>
      <c r="K27" s="20">
        <f t="shared" si="4"/>
        <v>41009489</v>
      </c>
      <c r="L27" s="19">
        <f>7107521-1618328</f>
        <v>5489193</v>
      </c>
      <c r="M27" s="19">
        <v>3151006</v>
      </c>
      <c r="N27" s="19">
        <f>1960030-4313</f>
        <v>1955717</v>
      </c>
      <c r="O27" s="19">
        <v>16050430</v>
      </c>
      <c r="P27" s="19">
        <v>2228198</v>
      </c>
      <c r="Q27" s="19">
        <v>3724018</v>
      </c>
      <c r="R27" s="19">
        <v>8088516</v>
      </c>
      <c r="S27" s="19">
        <v>322411</v>
      </c>
      <c r="T27" s="20">
        <f t="shared" ref="T27:T34" si="19">SUM(L27:S27)</f>
        <v>41009489</v>
      </c>
      <c r="U27" s="19">
        <f t="shared" si="18"/>
        <v>0</v>
      </c>
      <c r="V27" s="19">
        <f t="shared" si="18"/>
        <v>0</v>
      </c>
      <c r="W27" s="19">
        <f t="shared" si="18"/>
        <v>0</v>
      </c>
      <c r="X27" s="19">
        <f t="shared" si="18"/>
        <v>0</v>
      </c>
      <c r="Y27" s="19">
        <f t="shared" si="18"/>
        <v>0</v>
      </c>
      <c r="Z27" s="19">
        <f t="shared" si="18"/>
        <v>0</v>
      </c>
      <c r="AA27" s="19">
        <f t="shared" si="18"/>
        <v>0</v>
      </c>
      <c r="AB27" s="19">
        <f t="shared" si="18"/>
        <v>0</v>
      </c>
      <c r="AC27" s="83">
        <f t="shared" ref="AC27:AC34" si="20">SUM(U27:AB27)</f>
        <v>0</v>
      </c>
    </row>
    <row r="28" spans="1:29" x14ac:dyDescent="0.3">
      <c r="A28" s="82">
        <v>1050100</v>
      </c>
      <c r="B28" s="18" t="s">
        <v>36</v>
      </c>
      <c r="C28" s="19">
        <f>SUM(C29:C30)</f>
        <v>0</v>
      </c>
      <c r="D28" s="19">
        <f t="shared" ref="D28:J28" si="21">SUM(D29:D30)</f>
        <v>0</v>
      </c>
      <c r="E28" s="19">
        <f t="shared" si="21"/>
        <v>0</v>
      </c>
      <c r="F28" s="19">
        <f t="shared" si="21"/>
        <v>0</v>
      </c>
      <c r="G28" s="19">
        <f t="shared" si="21"/>
        <v>0</v>
      </c>
      <c r="H28" s="19">
        <f t="shared" si="21"/>
        <v>0</v>
      </c>
      <c r="I28" s="19">
        <f t="shared" si="21"/>
        <v>0</v>
      </c>
      <c r="J28" s="19">
        <f t="shared" si="21"/>
        <v>0</v>
      </c>
      <c r="K28" s="20">
        <f t="shared" si="4"/>
        <v>0</v>
      </c>
      <c r="L28" s="19">
        <f>SUM(L29:L30)</f>
        <v>0</v>
      </c>
      <c r="M28" s="19">
        <f t="shared" ref="M28:S28" si="22">SUM(M29:M30)</f>
        <v>0</v>
      </c>
      <c r="N28" s="19">
        <f t="shared" si="22"/>
        <v>0</v>
      </c>
      <c r="O28" s="19">
        <f t="shared" si="22"/>
        <v>0</v>
      </c>
      <c r="P28" s="19">
        <f t="shared" si="22"/>
        <v>0</v>
      </c>
      <c r="Q28" s="19">
        <f t="shared" si="22"/>
        <v>0</v>
      </c>
      <c r="R28" s="19">
        <f t="shared" si="22"/>
        <v>0</v>
      </c>
      <c r="S28" s="19">
        <f t="shared" si="22"/>
        <v>0</v>
      </c>
      <c r="T28" s="20">
        <f t="shared" si="19"/>
        <v>0</v>
      </c>
      <c r="U28" s="19">
        <f t="shared" ref="U28:AB28" si="23">SUM(U29:U30)</f>
        <v>0</v>
      </c>
      <c r="V28" s="19">
        <f t="shared" si="23"/>
        <v>0</v>
      </c>
      <c r="W28" s="19">
        <f t="shared" si="23"/>
        <v>0</v>
      </c>
      <c r="X28" s="19">
        <f t="shared" si="23"/>
        <v>0</v>
      </c>
      <c r="Y28" s="19">
        <f t="shared" si="23"/>
        <v>0</v>
      </c>
      <c r="Z28" s="19">
        <f t="shared" si="23"/>
        <v>0</v>
      </c>
      <c r="AA28" s="19">
        <f t="shared" si="23"/>
        <v>0</v>
      </c>
      <c r="AB28" s="19">
        <f t="shared" si="23"/>
        <v>0</v>
      </c>
      <c r="AC28" s="83">
        <f t="shared" si="20"/>
        <v>0</v>
      </c>
    </row>
    <row r="29" spans="1:29" x14ac:dyDescent="0.3">
      <c r="A29" s="84">
        <v>1050101</v>
      </c>
      <c r="B29" s="21" t="s">
        <v>37</v>
      </c>
      <c r="C29" s="22"/>
      <c r="D29" s="22"/>
      <c r="E29" s="22"/>
      <c r="F29" s="22"/>
      <c r="G29" s="22"/>
      <c r="H29" s="22"/>
      <c r="I29" s="22"/>
      <c r="J29" s="22"/>
      <c r="K29" s="23">
        <f t="shared" si="4"/>
        <v>0</v>
      </c>
      <c r="L29" s="22"/>
      <c r="M29" s="22"/>
      <c r="N29" s="22"/>
      <c r="O29" s="22"/>
      <c r="P29" s="22"/>
      <c r="Q29" s="22"/>
      <c r="R29" s="22"/>
      <c r="S29" s="22"/>
      <c r="T29" s="23">
        <f t="shared" si="19"/>
        <v>0</v>
      </c>
      <c r="U29" s="22">
        <f t="shared" ref="U29:AB34" si="24">L29-C29</f>
        <v>0</v>
      </c>
      <c r="V29" s="22">
        <f t="shared" si="24"/>
        <v>0</v>
      </c>
      <c r="W29" s="22">
        <f t="shared" si="24"/>
        <v>0</v>
      </c>
      <c r="X29" s="22">
        <f t="shared" si="24"/>
        <v>0</v>
      </c>
      <c r="Y29" s="22">
        <f t="shared" si="24"/>
        <v>0</v>
      </c>
      <c r="Z29" s="22">
        <f t="shared" si="24"/>
        <v>0</v>
      </c>
      <c r="AA29" s="22">
        <f t="shared" si="24"/>
        <v>0</v>
      </c>
      <c r="AB29" s="22">
        <f t="shared" si="24"/>
        <v>0</v>
      </c>
      <c r="AC29" s="85">
        <f t="shared" si="20"/>
        <v>0</v>
      </c>
    </row>
    <row r="30" spans="1:29" x14ac:dyDescent="0.3">
      <c r="A30" s="84">
        <v>1050102</v>
      </c>
      <c r="B30" s="21" t="s">
        <v>38</v>
      </c>
      <c r="C30" s="22"/>
      <c r="D30" s="22"/>
      <c r="E30" s="22"/>
      <c r="F30" s="22"/>
      <c r="G30" s="22"/>
      <c r="H30" s="22"/>
      <c r="I30" s="22"/>
      <c r="J30" s="22"/>
      <c r="K30" s="23">
        <f t="shared" si="4"/>
        <v>0</v>
      </c>
      <c r="L30" s="22"/>
      <c r="M30" s="22"/>
      <c r="N30" s="22"/>
      <c r="O30" s="22"/>
      <c r="P30" s="22"/>
      <c r="Q30" s="22"/>
      <c r="R30" s="22"/>
      <c r="S30" s="22"/>
      <c r="T30" s="23">
        <f t="shared" si="19"/>
        <v>0</v>
      </c>
      <c r="U30" s="22">
        <f t="shared" si="24"/>
        <v>0</v>
      </c>
      <c r="V30" s="22">
        <f t="shared" si="24"/>
        <v>0</v>
      </c>
      <c r="W30" s="22">
        <f t="shared" si="24"/>
        <v>0</v>
      </c>
      <c r="X30" s="22">
        <f t="shared" si="24"/>
        <v>0</v>
      </c>
      <c r="Y30" s="22">
        <f t="shared" si="24"/>
        <v>0</v>
      </c>
      <c r="Z30" s="22">
        <f t="shared" si="24"/>
        <v>0</v>
      </c>
      <c r="AA30" s="22">
        <f t="shared" si="24"/>
        <v>0</v>
      </c>
      <c r="AB30" s="22">
        <f t="shared" si="24"/>
        <v>0</v>
      </c>
      <c r="AC30" s="85">
        <f t="shared" si="20"/>
        <v>0</v>
      </c>
    </row>
    <row r="31" spans="1:29" ht="26.4" x14ac:dyDescent="0.3">
      <c r="A31" s="82">
        <v>1050200</v>
      </c>
      <c r="B31" s="18" t="s">
        <v>39</v>
      </c>
      <c r="C31" s="19">
        <f>6870490-1618328</f>
        <v>5252162</v>
      </c>
      <c r="D31" s="19">
        <v>3151006</v>
      </c>
      <c r="E31" s="19">
        <f>1706763-4313</f>
        <v>1702450</v>
      </c>
      <c r="F31" s="19">
        <v>475109</v>
      </c>
      <c r="G31" s="19">
        <v>207608</v>
      </c>
      <c r="H31" s="19">
        <v>548037</v>
      </c>
      <c r="I31" s="19">
        <v>554491</v>
      </c>
      <c r="J31" s="19">
        <v>202300</v>
      </c>
      <c r="K31" s="20">
        <f t="shared" si="4"/>
        <v>12093163</v>
      </c>
      <c r="L31" s="19">
        <f>6870490-1618328</f>
        <v>5252162</v>
      </c>
      <c r="M31" s="19">
        <v>3151006</v>
      </c>
      <c r="N31" s="19">
        <f>1706763-4313</f>
        <v>1702450</v>
      </c>
      <c r="O31" s="19">
        <v>475109</v>
      </c>
      <c r="P31" s="19">
        <v>207608</v>
      </c>
      <c r="Q31" s="19">
        <v>548037</v>
      </c>
      <c r="R31" s="19">
        <v>554491</v>
      </c>
      <c r="S31" s="19">
        <v>202300</v>
      </c>
      <c r="T31" s="20">
        <f t="shared" si="19"/>
        <v>12093163</v>
      </c>
      <c r="U31" s="22">
        <f t="shared" si="24"/>
        <v>0</v>
      </c>
      <c r="V31" s="19">
        <f t="shared" si="24"/>
        <v>0</v>
      </c>
      <c r="W31" s="19">
        <f t="shared" si="24"/>
        <v>0</v>
      </c>
      <c r="X31" s="19">
        <f t="shared" si="24"/>
        <v>0</v>
      </c>
      <c r="Y31" s="19">
        <f t="shared" si="24"/>
        <v>0</v>
      </c>
      <c r="Z31" s="19">
        <f t="shared" si="24"/>
        <v>0</v>
      </c>
      <c r="AA31" s="19">
        <f t="shared" si="24"/>
        <v>0</v>
      </c>
      <c r="AB31" s="19">
        <f t="shared" si="24"/>
        <v>0</v>
      </c>
      <c r="AC31" s="83">
        <f t="shared" si="20"/>
        <v>0</v>
      </c>
    </row>
    <row r="32" spans="1:29" ht="39.6" x14ac:dyDescent="0.3">
      <c r="A32" s="82">
        <v>1050400</v>
      </c>
      <c r="B32" s="18" t="s">
        <v>40</v>
      </c>
      <c r="C32" s="19">
        <v>0</v>
      </c>
      <c r="D32" s="19">
        <v>0</v>
      </c>
      <c r="E32" s="19">
        <v>189702</v>
      </c>
      <c r="F32" s="19">
        <v>8254329</v>
      </c>
      <c r="G32" s="19">
        <v>1297198</v>
      </c>
      <c r="H32" s="19">
        <v>2141142</v>
      </c>
      <c r="I32" s="19">
        <v>4908150</v>
      </c>
      <c r="J32" s="19">
        <v>38650</v>
      </c>
      <c r="K32" s="20">
        <f t="shared" si="4"/>
        <v>16829171</v>
      </c>
      <c r="L32" s="19">
        <v>0</v>
      </c>
      <c r="M32" s="19">
        <v>0</v>
      </c>
      <c r="N32" s="19">
        <v>189702</v>
      </c>
      <c r="O32" s="19">
        <v>8254329</v>
      </c>
      <c r="P32" s="19">
        <v>1297198</v>
      </c>
      <c r="Q32" s="19">
        <v>2141142</v>
      </c>
      <c r="R32" s="19">
        <v>4908150</v>
      </c>
      <c r="S32" s="19">
        <v>38650</v>
      </c>
      <c r="T32" s="20">
        <f t="shared" si="19"/>
        <v>16829171</v>
      </c>
      <c r="U32" s="22">
        <f t="shared" si="24"/>
        <v>0</v>
      </c>
      <c r="V32" s="19">
        <f t="shared" si="24"/>
        <v>0</v>
      </c>
      <c r="W32" s="19">
        <f t="shared" si="24"/>
        <v>0</v>
      </c>
      <c r="X32" s="19">
        <f t="shared" si="24"/>
        <v>0</v>
      </c>
      <c r="Y32" s="19">
        <f t="shared" si="24"/>
        <v>0</v>
      </c>
      <c r="Z32" s="19">
        <f t="shared" si="24"/>
        <v>0</v>
      </c>
      <c r="AA32" s="19">
        <f t="shared" si="24"/>
        <v>0</v>
      </c>
      <c r="AB32" s="19">
        <f t="shared" si="24"/>
        <v>0</v>
      </c>
      <c r="AC32" s="83">
        <f t="shared" si="20"/>
        <v>0</v>
      </c>
    </row>
    <row r="33" spans="1:29" ht="26.4" x14ac:dyDescent="0.3">
      <c r="A33" s="82">
        <v>1051100</v>
      </c>
      <c r="B33" s="18" t="s">
        <v>41</v>
      </c>
      <c r="C33" s="19">
        <v>0</v>
      </c>
      <c r="D33" s="19">
        <v>0</v>
      </c>
      <c r="E33" s="19"/>
      <c r="F33" s="19"/>
      <c r="G33" s="19"/>
      <c r="H33" s="19"/>
      <c r="I33" s="19"/>
      <c r="J33" s="19"/>
      <c r="K33" s="20">
        <f t="shared" si="4"/>
        <v>0</v>
      </c>
      <c r="L33" s="19">
        <v>0</v>
      </c>
      <c r="M33" s="19">
        <v>0</v>
      </c>
      <c r="N33" s="19"/>
      <c r="O33" s="19"/>
      <c r="P33" s="19"/>
      <c r="Q33" s="19"/>
      <c r="R33" s="19"/>
      <c r="S33" s="19"/>
      <c r="T33" s="20">
        <f t="shared" si="19"/>
        <v>0</v>
      </c>
      <c r="U33" s="22">
        <f t="shared" si="24"/>
        <v>0</v>
      </c>
      <c r="V33" s="19">
        <f t="shared" si="24"/>
        <v>0</v>
      </c>
      <c r="W33" s="19">
        <f t="shared" si="24"/>
        <v>0</v>
      </c>
      <c r="X33" s="19">
        <f t="shared" si="24"/>
        <v>0</v>
      </c>
      <c r="Y33" s="19">
        <f t="shared" si="24"/>
        <v>0</v>
      </c>
      <c r="Z33" s="19">
        <f t="shared" si="24"/>
        <v>0</v>
      </c>
      <c r="AA33" s="19">
        <f t="shared" si="24"/>
        <v>0</v>
      </c>
      <c r="AB33" s="19">
        <f t="shared" si="24"/>
        <v>0</v>
      </c>
      <c r="AC33" s="83">
        <f t="shared" si="20"/>
        <v>0</v>
      </c>
    </row>
    <row r="34" spans="1:29" x14ac:dyDescent="0.3">
      <c r="A34" s="82">
        <v>1051200</v>
      </c>
      <c r="B34" s="18" t="s">
        <v>42</v>
      </c>
      <c r="C34" s="19">
        <v>0</v>
      </c>
      <c r="D34" s="19">
        <v>0</v>
      </c>
      <c r="E34" s="19">
        <v>63565</v>
      </c>
      <c r="F34" s="19">
        <v>7312634</v>
      </c>
      <c r="G34" s="19">
        <v>722226</v>
      </c>
      <c r="H34" s="19">
        <v>1016222</v>
      </c>
      <c r="I34" s="19">
        <v>2619893</v>
      </c>
      <c r="J34" s="19">
        <v>8161</v>
      </c>
      <c r="K34" s="20">
        <f t="shared" si="4"/>
        <v>11742701</v>
      </c>
      <c r="L34" s="19">
        <v>0</v>
      </c>
      <c r="M34" s="19">
        <v>0</v>
      </c>
      <c r="N34" s="19">
        <v>63565</v>
      </c>
      <c r="O34" s="19">
        <v>7312634</v>
      </c>
      <c r="P34" s="19">
        <v>722226</v>
      </c>
      <c r="Q34" s="19">
        <v>1016222</v>
      </c>
      <c r="R34" s="19">
        <v>2619893</v>
      </c>
      <c r="S34" s="19">
        <v>8161</v>
      </c>
      <c r="T34" s="20">
        <f t="shared" si="19"/>
        <v>11742701</v>
      </c>
      <c r="U34" s="22">
        <f t="shared" si="24"/>
        <v>0</v>
      </c>
      <c r="V34" s="19">
        <f t="shared" si="24"/>
        <v>0</v>
      </c>
      <c r="W34" s="19">
        <f t="shared" si="24"/>
        <v>0</v>
      </c>
      <c r="X34" s="19">
        <f t="shared" si="24"/>
        <v>0</v>
      </c>
      <c r="Y34" s="19">
        <f t="shared" si="24"/>
        <v>0</v>
      </c>
      <c r="Z34" s="19">
        <f t="shared" si="24"/>
        <v>0</v>
      </c>
      <c r="AA34" s="19">
        <f t="shared" si="24"/>
        <v>0</v>
      </c>
      <c r="AB34" s="19">
        <f t="shared" si="24"/>
        <v>0</v>
      </c>
      <c r="AC34" s="83">
        <f t="shared" si="20"/>
        <v>0</v>
      </c>
    </row>
    <row r="35" spans="1:29" x14ac:dyDescent="0.3">
      <c r="A35" s="84"/>
      <c r="B35" s="21"/>
      <c r="C35" s="22"/>
      <c r="D35" s="22"/>
      <c r="E35" s="22"/>
      <c r="F35" s="22"/>
      <c r="G35" s="22"/>
      <c r="H35" s="22"/>
      <c r="I35" s="22"/>
      <c r="J35" s="22"/>
      <c r="K35" s="23"/>
      <c r="L35" s="22"/>
      <c r="M35" s="22"/>
      <c r="N35" s="22"/>
      <c r="O35" s="22"/>
      <c r="P35" s="22"/>
      <c r="Q35" s="22"/>
      <c r="R35" s="22"/>
      <c r="S35" s="22"/>
      <c r="T35" s="23"/>
      <c r="U35" s="22"/>
      <c r="V35" s="22"/>
      <c r="W35" s="22"/>
      <c r="X35" s="22"/>
      <c r="Y35" s="22"/>
      <c r="Z35" s="22"/>
      <c r="AA35" s="22"/>
      <c r="AB35" s="22"/>
      <c r="AC35" s="85"/>
    </row>
    <row r="36" spans="1:29" ht="26.4" x14ac:dyDescent="0.3">
      <c r="A36" s="82">
        <v>1060000</v>
      </c>
      <c r="B36" s="18" t="s">
        <v>43</v>
      </c>
      <c r="C36" s="19">
        <f>SUM(C37)</f>
        <v>374468474</v>
      </c>
      <c r="D36" s="19">
        <f t="shared" ref="D36:J36" si="25">SUM(D37)</f>
        <v>0</v>
      </c>
      <c r="E36" s="19">
        <f t="shared" si="25"/>
        <v>0</v>
      </c>
      <c r="F36" s="19">
        <f t="shared" si="25"/>
        <v>0</v>
      </c>
      <c r="G36" s="19">
        <f t="shared" si="25"/>
        <v>0</v>
      </c>
      <c r="H36" s="19">
        <f t="shared" si="25"/>
        <v>0</v>
      </c>
      <c r="I36" s="19">
        <f t="shared" si="25"/>
        <v>0</v>
      </c>
      <c r="J36" s="19">
        <f t="shared" si="25"/>
        <v>0</v>
      </c>
      <c r="K36" s="20">
        <f t="shared" si="4"/>
        <v>374468474</v>
      </c>
      <c r="L36" s="19">
        <f>SUM(L37)</f>
        <v>353304607</v>
      </c>
      <c r="M36" s="19">
        <f t="shared" ref="M36:S36" si="26">SUM(M37)</f>
        <v>0</v>
      </c>
      <c r="N36" s="19">
        <f t="shared" si="26"/>
        <v>0</v>
      </c>
      <c r="O36" s="19">
        <f t="shared" si="26"/>
        <v>0</v>
      </c>
      <c r="P36" s="19">
        <f t="shared" si="26"/>
        <v>0</v>
      </c>
      <c r="Q36" s="19">
        <f t="shared" si="26"/>
        <v>0</v>
      </c>
      <c r="R36" s="19">
        <f t="shared" si="26"/>
        <v>0</v>
      </c>
      <c r="S36" s="19">
        <f t="shared" si="26"/>
        <v>0</v>
      </c>
      <c r="T36" s="20">
        <f t="shared" ref="T36:T37" si="27">SUM(L36:S36)</f>
        <v>353304607</v>
      </c>
      <c r="U36" s="19">
        <f t="shared" ref="U36:AB36" si="28">SUM(U37)</f>
        <v>-21163867</v>
      </c>
      <c r="V36" s="19">
        <f t="shared" si="28"/>
        <v>0</v>
      </c>
      <c r="W36" s="19">
        <f t="shared" si="28"/>
        <v>0</v>
      </c>
      <c r="X36" s="19">
        <f t="shared" si="28"/>
        <v>0</v>
      </c>
      <c r="Y36" s="19">
        <f t="shared" si="28"/>
        <v>0</v>
      </c>
      <c r="Z36" s="19">
        <f t="shared" si="28"/>
        <v>0</v>
      </c>
      <c r="AA36" s="19">
        <f t="shared" si="28"/>
        <v>0</v>
      </c>
      <c r="AB36" s="19">
        <f t="shared" si="28"/>
        <v>0</v>
      </c>
      <c r="AC36" s="83">
        <f t="shared" ref="AC36:AC37" si="29">SUM(U36:AB36)</f>
        <v>-21163867</v>
      </c>
    </row>
    <row r="37" spans="1:29" x14ac:dyDescent="0.3">
      <c r="A37" s="84">
        <v>1060400</v>
      </c>
      <c r="B37" s="21" t="s">
        <v>44</v>
      </c>
      <c r="C37" s="30">
        <f>536734818-127009947-474000+4000-30529397-4257000</f>
        <v>374468474</v>
      </c>
      <c r="D37" s="22"/>
      <c r="E37" s="22"/>
      <c r="F37" s="22"/>
      <c r="G37" s="22"/>
      <c r="H37" s="22"/>
      <c r="I37" s="22"/>
      <c r="J37" s="22"/>
      <c r="K37" s="23">
        <f t="shared" si="4"/>
        <v>374468474</v>
      </c>
      <c r="L37" s="30">
        <f>536734818-127009947-474000+4000-30529397-4257000-21163867</f>
        <v>353304607</v>
      </c>
      <c r="M37" s="22"/>
      <c r="N37" s="22"/>
      <c r="O37" s="22"/>
      <c r="P37" s="22"/>
      <c r="Q37" s="22"/>
      <c r="R37" s="22"/>
      <c r="S37" s="22"/>
      <c r="T37" s="23">
        <f t="shared" si="27"/>
        <v>353304607</v>
      </c>
      <c r="U37" s="22">
        <f t="shared" ref="U37:AB37" si="30">L37-C37</f>
        <v>-21163867</v>
      </c>
      <c r="V37" s="22">
        <f t="shared" si="30"/>
        <v>0</v>
      </c>
      <c r="W37" s="22">
        <f t="shared" si="30"/>
        <v>0</v>
      </c>
      <c r="X37" s="22">
        <f t="shared" si="30"/>
        <v>0</v>
      </c>
      <c r="Y37" s="22">
        <f t="shared" si="30"/>
        <v>0</v>
      </c>
      <c r="Z37" s="22">
        <f t="shared" si="30"/>
        <v>0</v>
      </c>
      <c r="AA37" s="22">
        <f t="shared" si="30"/>
        <v>0</v>
      </c>
      <c r="AB37" s="22">
        <f t="shared" si="30"/>
        <v>0</v>
      </c>
      <c r="AC37" s="85">
        <f t="shared" si="29"/>
        <v>-21163867</v>
      </c>
    </row>
    <row r="38" spans="1:29" x14ac:dyDescent="0.3">
      <c r="A38" s="82"/>
      <c r="B38" s="18"/>
      <c r="C38" s="22"/>
      <c r="D38" s="22"/>
      <c r="E38" s="22"/>
      <c r="F38" s="22"/>
      <c r="G38" s="22"/>
      <c r="H38" s="22"/>
      <c r="I38" s="22"/>
      <c r="J38" s="22"/>
      <c r="K38" s="20"/>
      <c r="L38" s="22"/>
      <c r="M38" s="22"/>
      <c r="N38" s="22"/>
      <c r="O38" s="22"/>
      <c r="P38" s="22"/>
      <c r="Q38" s="22"/>
      <c r="R38" s="22"/>
      <c r="S38" s="22"/>
      <c r="T38" s="20"/>
      <c r="U38" s="22"/>
      <c r="V38" s="22"/>
      <c r="W38" s="22"/>
      <c r="X38" s="22"/>
      <c r="Y38" s="22"/>
      <c r="Z38" s="22"/>
      <c r="AA38" s="22"/>
      <c r="AB38" s="22"/>
      <c r="AC38" s="83"/>
    </row>
    <row r="39" spans="1:29" x14ac:dyDescent="0.3">
      <c r="A39" s="82">
        <v>1400000</v>
      </c>
      <c r="B39" s="18" t="s">
        <v>45</v>
      </c>
      <c r="C39" s="19">
        <f>C40</f>
        <v>14773120</v>
      </c>
      <c r="D39" s="19">
        <f t="shared" ref="D39:J39" si="31">D40</f>
        <v>261221</v>
      </c>
      <c r="E39" s="19">
        <f t="shared" si="31"/>
        <v>6986489</v>
      </c>
      <c r="F39" s="19">
        <f t="shared" si="31"/>
        <v>5959016</v>
      </c>
      <c r="G39" s="19">
        <f t="shared" si="31"/>
        <v>4161102</v>
      </c>
      <c r="H39" s="19">
        <f t="shared" si="31"/>
        <v>4023757</v>
      </c>
      <c r="I39" s="19">
        <f t="shared" si="31"/>
        <v>2151325</v>
      </c>
      <c r="J39" s="19">
        <f t="shared" si="31"/>
        <v>1077036</v>
      </c>
      <c r="K39" s="20">
        <f t="shared" si="4"/>
        <v>39393066</v>
      </c>
      <c r="L39" s="19">
        <f>L40</f>
        <v>14773120</v>
      </c>
      <c r="M39" s="19">
        <f t="shared" ref="M39:S39" si="32">M40</f>
        <v>261221</v>
      </c>
      <c r="N39" s="19">
        <f t="shared" si="32"/>
        <v>6986489</v>
      </c>
      <c r="O39" s="19">
        <f t="shared" si="32"/>
        <v>5959016</v>
      </c>
      <c r="P39" s="19">
        <f t="shared" si="32"/>
        <v>4161102</v>
      </c>
      <c r="Q39" s="19">
        <f t="shared" si="32"/>
        <v>4023757</v>
      </c>
      <c r="R39" s="19">
        <f t="shared" si="32"/>
        <v>2151325</v>
      </c>
      <c r="S39" s="19">
        <f t="shared" si="32"/>
        <v>1077036</v>
      </c>
      <c r="T39" s="20">
        <f t="shared" ref="T39:T40" si="33">SUM(L39:S39)</f>
        <v>39393066</v>
      </c>
      <c r="U39" s="19">
        <f t="shared" ref="U39:AB39" si="34">U40</f>
        <v>0</v>
      </c>
      <c r="V39" s="19">
        <f t="shared" si="34"/>
        <v>0</v>
      </c>
      <c r="W39" s="19">
        <f t="shared" si="34"/>
        <v>0</v>
      </c>
      <c r="X39" s="19">
        <f t="shared" si="34"/>
        <v>0</v>
      </c>
      <c r="Y39" s="19">
        <f t="shared" si="34"/>
        <v>0</v>
      </c>
      <c r="Z39" s="19">
        <f t="shared" si="34"/>
        <v>0</v>
      </c>
      <c r="AA39" s="19">
        <f t="shared" si="34"/>
        <v>0</v>
      </c>
      <c r="AB39" s="19">
        <f t="shared" si="34"/>
        <v>0</v>
      </c>
      <c r="AC39" s="83">
        <f t="shared" ref="AC39:AC40" si="35">SUM(U39:AB39)</f>
        <v>0</v>
      </c>
    </row>
    <row r="40" spans="1:29" x14ac:dyDescent="0.3">
      <c r="A40" s="82">
        <v>1400100</v>
      </c>
      <c r="B40" s="18" t="s">
        <v>46</v>
      </c>
      <c r="C40" s="22">
        <f>9583189+5189931</f>
        <v>14773120</v>
      </c>
      <c r="D40" s="22">
        <f>143679+117542</f>
        <v>261221</v>
      </c>
      <c r="E40" s="22">
        <f>4965626+2020863</f>
        <v>6986489</v>
      </c>
      <c r="F40" s="22">
        <f>4101213+1857803</f>
        <v>5959016</v>
      </c>
      <c r="G40" s="22">
        <f>2518944+1642158</f>
        <v>4161102</v>
      </c>
      <c r="H40" s="22">
        <f>2465805+1557952</f>
        <v>4023757</v>
      </c>
      <c r="I40" s="22">
        <f>1175518+975807</f>
        <v>2151325</v>
      </c>
      <c r="J40" s="22">
        <f>686393+390643</f>
        <v>1077036</v>
      </c>
      <c r="K40" s="23">
        <f t="shared" si="4"/>
        <v>39393066</v>
      </c>
      <c r="L40" s="22">
        <f>9583189+5189931</f>
        <v>14773120</v>
      </c>
      <c r="M40" s="22">
        <f>143679+117542</f>
        <v>261221</v>
      </c>
      <c r="N40" s="22">
        <f>4965626+2020863</f>
        <v>6986489</v>
      </c>
      <c r="O40" s="22">
        <f>4101213+1857803</f>
        <v>5959016</v>
      </c>
      <c r="P40" s="22">
        <f>2518944+1642158</f>
        <v>4161102</v>
      </c>
      <c r="Q40" s="22">
        <f>2465805+1557952</f>
        <v>4023757</v>
      </c>
      <c r="R40" s="22">
        <f>1175518+975807</f>
        <v>2151325</v>
      </c>
      <c r="S40" s="22">
        <f>686393+390643</f>
        <v>1077036</v>
      </c>
      <c r="T40" s="23">
        <f t="shared" si="33"/>
        <v>39393066</v>
      </c>
      <c r="U40" s="22">
        <f t="shared" ref="U40:AB40" si="36">L40-C40</f>
        <v>0</v>
      </c>
      <c r="V40" s="22">
        <f t="shared" si="36"/>
        <v>0</v>
      </c>
      <c r="W40" s="22">
        <f t="shared" si="36"/>
        <v>0</v>
      </c>
      <c r="X40" s="22">
        <f t="shared" si="36"/>
        <v>0</v>
      </c>
      <c r="Y40" s="22">
        <f t="shared" si="36"/>
        <v>0</v>
      </c>
      <c r="Z40" s="22">
        <f t="shared" si="36"/>
        <v>0</v>
      </c>
      <c r="AA40" s="22">
        <f t="shared" si="36"/>
        <v>0</v>
      </c>
      <c r="AB40" s="22">
        <f t="shared" si="36"/>
        <v>0</v>
      </c>
      <c r="AC40" s="85">
        <f t="shared" si="35"/>
        <v>0</v>
      </c>
    </row>
    <row r="41" spans="1:29" ht="15" thickBot="1" x14ac:dyDescent="0.35">
      <c r="A41" s="86"/>
      <c r="B41" s="31"/>
      <c r="C41" s="32"/>
      <c r="D41" s="32"/>
      <c r="E41" s="32"/>
      <c r="F41" s="32"/>
      <c r="G41" s="32"/>
      <c r="H41" s="32"/>
      <c r="I41" s="32"/>
      <c r="J41" s="32"/>
      <c r="K41" s="33"/>
      <c r="L41" s="32"/>
      <c r="M41" s="32"/>
      <c r="N41" s="32"/>
      <c r="O41" s="32"/>
      <c r="P41" s="32"/>
      <c r="Q41" s="32"/>
      <c r="R41" s="32"/>
      <c r="S41" s="32"/>
      <c r="T41" s="33"/>
      <c r="U41" s="32"/>
      <c r="V41" s="32"/>
      <c r="W41" s="32"/>
      <c r="X41" s="32"/>
      <c r="Y41" s="32"/>
      <c r="Z41" s="32"/>
      <c r="AA41" s="32"/>
      <c r="AB41" s="32"/>
      <c r="AC41" s="87"/>
    </row>
    <row r="42" spans="1:29" ht="15" thickBot="1" x14ac:dyDescent="0.35">
      <c r="A42" s="10">
        <v>2000000</v>
      </c>
      <c r="B42" s="35" t="s">
        <v>47</v>
      </c>
      <c r="C42" s="12">
        <f>SUM(C43+C51+C54+C56)</f>
        <v>94687235</v>
      </c>
      <c r="D42" s="12">
        <f t="shared" ref="D42:J42" si="37">SUM(D43+D51+D54+D56)</f>
        <v>246937</v>
      </c>
      <c r="E42" s="12">
        <f t="shared" si="37"/>
        <v>6876619</v>
      </c>
      <c r="F42" s="12">
        <f t="shared" si="37"/>
        <v>6053855</v>
      </c>
      <c r="G42" s="12">
        <f t="shared" si="37"/>
        <v>1802809</v>
      </c>
      <c r="H42" s="12">
        <f t="shared" si="37"/>
        <v>2324200</v>
      </c>
      <c r="I42" s="12">
        <f t="shared" si="37"/>
        <v>1037156</v>
      </c>
      <c r="J42" s="12">
        <f t="shared" si="37"/>
        <v>819919</v>
      </c>
      <c r="K42" s="13">
        <f t="shared" si="4"/>
        <v>113848730</v>
      </c>
      <c r="L42" s="12">
        <f>SUM(L43+L51+L54+L56)</f>
        <v>94687235</v>
      </c>
      <c r="M42" s="12">
        <f t="shared" ref="M42:S42" si="38">SUM(M43+M51+M54+M56)</f>
        <v>246937</v>
      </c>
      <c r="N42" s="12">
        <f t="shared" si="38"/>
        <v>6876619</v>
      </c>
      <c r="O42" s="12">
        <f t="shared" si="38"/>
        <v>6053855</v>
      </c>
      <c r="P42" s="12">
        <f t="shared" si="38"/>
        <v>1802809</v>
      </c>
      <c r="Q42" s="12">
        <f t="shared" si="38"/>
        <v>2324200</v>
      </c>
      <c r="R42" s="12">
        <f t="shared" si="38"/>
        <v>1037156</v>
      </c>
      <c r="S42" s="12">
        <f t="shared" si="38"/>
        <v>819919</v>
      </c>
      <c r="T42" s="13">
        <f t="shared" ref="T42:T49" si="39">SUM(L42:S42)</f>
        <v>113848730</v>
      </c>
      <c r="U42" s="36">
        <f>SUM(U43+U51+U54+U56)</f>
        <v>0</v>
      </c>
      <c r="V42" s="12">
        <f t="shared" ref="V42:AB42" si="40">SUM(V43+V51+V54+V56)</f>
        <v>0</v>
      </c>
      <c r="W42" s="12">
        <f t="shared" si="40"/>
        <v>0</v>
      </c>
      <c r="X42" s="12">
        <f t="shared" si="40"/>
        <v>0</v>
      </c>
      <c r="Y42" s="12">
        <f t="shared" si="40"/>
        <v>0</v>
      </c>
      <c r="Z42" s="12">
        <f t="shared" si="40"/>
        <v>0</v>
      </c>
      <c r="AA42" s="12">
        <f t="shared" si="40"/>
        <v>0</v>
      </c>
      <c r="AB42" s="12">
        <f t="shared" si="40"/>
        <v>0</v>
      </c>
      <c r="AC42" s="14">
        <f t="shared" ref="AC42:AC50" si="41">SUM(U42:AB42)</f>
        <v>0</v>
      </c>
    </row>
    <row r="43" spans="1:29" ht="26.4" x14ac:dyDescent="0.3">
      <c r="A43" s="80">
        <v>2010000</v>
      </c>
      <c r="B43" s="37" t="s">
        <v>48</v>
      </c>
      <c r="C43" s="16">
        <f>23769699+4795360</f>
        <v>28565059</v>
      </c>
      <c r="D43" s="16">
        <v>140474</v>
      </c>
      <c r="E43" s="16">
        <v>1469244</v>
      </c>
      <c r="F43" s="16">
        <v>3189074</v>
      </c>
      <c r="G43" s="16">
        <v>148643</v>
      </c>
      <c r="H43" s="16">
        <v>473357</v>
      </c>
      <c r="I43" s="16">
        <v>53850</v>
      </c>
      <c r="J43" s="16">
        <v>26507</v>
      </c>
      <c r="K43" s="17">
        <f t="shared" si="4"/>
        <v>34066208</v>
      </c>
      <c r="L43" s="16">
        <f>23769699+4795360</f>
        <v>28565059</v>
      </c>
      <c r="M43" s="16">
        <v>140474</v>
      </c>
      <c r="N43" s="16">
        <v>1469244</v>
      </c>
      <c r="O43" s="16">
        <f>3189074</f>
        <v>3189074</v>
      </c>
      <c r="P43" s="16">
        <v>148643</v>
      </c>
      <c r="Q43" s="16">
        <v>473357</v>
      </c>
      <c r="R43" s="16">
        <v>53850</v>
      </c>
      <c r="S43" s="16">
        <v>26507</v>
      </c>
      <c r="T43" s="17">
        <f t="shared" si="39"/>
        <v>34066208</v>
      </c>
      <c r="U43" s="16">
        <f t="shared" ref="U43:AB56" si="42">L43-C43</f>
        <v>0</v>
      </c>
      <c r="V43" s="16">
        <f t="shared" si="42"/>
        <v>0</v>
      </c>
      <c r="W43" s="16">
        <f t="shared" si="42"/>
        <v>0</v>
      </c>
      <c r="X43" s="16">
        <f t="shared" si="42"/>
        <v>0</v>
      </c>
      <c r="Y43" s="16">
        <f t="shared" si="42"/>
        <v>0</v>
      </c>
      <c r="Z43" s="16">
        <f t="shared" si="42"/>
        <v>0</v>
      </c>
      <c r="AA43" s="16">
        <f t="shared" si="42"/>
        <v>0</v>
      </c>
      <c r="AB43" s="16">
        <f t="shared" si="42"/>
        <v>0</v>
      </c>
      <c r="AC43" s="81">
        <f>SUM(U43:AB43)</f>
        <v>0</v>
      </c>
    </row>
    <row r="44" spans="1:29" ht="26.4" x14ac:dyDescent="0.3">
      <c r="A44" s="82">
        <v>2010200</v>
      </c>
      <c r="B44" s="18" t="s">
        <v>49</v>
      </c>
      <c r="C44" s="38">
        <v>1492954</v>
      </c>
      <c r="D44" s="38">
        <v>25490</v>
      </c>
      <c r="E44" s="38">
        <v>308681</v>
      </c>
      <c r="F44" s="38">
        <v>129119</v>
      </c>
      <c r="G44" s="38">
        <v>42134</v>
      </c>
      <c r="H44" s="38">
        <v>163789</v>
      </c>
      <c r="I44" s="38">
        <v>53850</v>
      </c>
      <c r="J44" s="38">
        <v>16067</v>
      </c>
      <c r="K44" s="20">
        <f t="shared" si="4"/>
        <v>2232084</v>
      </c>
      <c r="L44" s="38">
        <v>1492954</v>
      </c>
      <c r="M44" s="38">
        <v>25490</v>
      </c>
      <c r="N44" s="38">
        <v>308681</v>
      </c>
      <c r="O44" s="38">
        <v>129119</v>
      </c>
      <c r="P44" s="38">
        <v>42134</v>
      </c>
      <c r="Q44" s="38">
        <v>163789</v>
      </c>
      <c r="R44" s="38">
        <v>53850</v>
      </c>
      <c r="S44" s="38">
        <v>16067</v>
      </c>
      <c r="T44" s="20">
        <f t="shared" si="39"/>
        <v>2232084</v>
      </c>
      <c r="U44" s="19">
        <f t="shared" si="42"/>
        <v>0</v>
      </c>
      <c r="V44" s="38">
        <f t="shared" si="42"/>
        <v>0</v>
      </c>
      <c r="W44" s="38">
        <f t="shared" si="42"/>
        <v>0</v>
      </c>
      <c r="X44" s="38">
        <f t="shared" si="42"/>
        <v>0</v>
      </c>
      <c r="Y44" s="38">
        <f t="shared" si="42"/>
        <v>0</v>
      </c>
      <c r="Z44" s="38">
        <f t="shared" si="42"/>
        <v>0</v>
      </c>
      <c r="AA44" s="38">
        <f t="shared" si="42"/>
        <v>0</v>
      </c>
      <c r="AB44" s="38">
        <f t="shared" si="42"/>
        <v>0</v>
      </c>
      <c r="AC44" s="83">
        <f t="shared" si="41"/>
        <v>0</v>
      </c>
    </row>
    <row r="45" spans="1:29" ht="26.4" x14ac:dyDescent="0.3">
      <c r="A45" s="82">
        <v>2010300</v>
      </c>
      <c r="B45" s="18" t="s">
        <v>50</v>
      </c>
      <c r="C45" s="19">
        <v>7564452</v>
      </c>
      <c r="D45" s="19"/>
      <c r="E45" s="19">
        <v>599106</v>
      </c>
      <c r="F45" s="19">
        <v>3016455</v>
      </c>
      <c r="G45" s="19">
        <v>0</v>
      </c>
      <c r="H45" s="19">
        <v>0</v>
      </c>
      <c r="I45" s="19">
        <v>0</v>
      </c>
      <c r="J45" s="19">
        <v>0</v>
      </c>
      <c r="K45" s="20">
        <f t="shared" si="4"/>
        <v>11180013</v>
      </c>
      <c r="L45" s="19">
        <v>7564452</v>
      </c>
      <c r="M45" s="19"/>
      <c r="N45" s="19">
        <v>599106</v>
      </c>
      <c r="O45" s="19">
        <f>3016455</f>
        <v>3016455</v>
      </c>
      <c r="P45" s="19">
        <v>0</v>
      </c>
      <c r="Q45" s="19">
        <v>0</v>
      </c>
      <c r="R45" s="19">
        <v>0</v>
      </c>
      <c r="S45" s="19">
        <v>0</v>
      </c>
      <c r="T45" s="20">
        <f t="shared" si="39"/>
        <v>11180013</v>
      </c>
      <c r="U45" s="19">
        <f t="shared" si="42"/>
        <v>0</v>
      </c>
      <c r="V45" s="19">
        <f t="shared" si="42"/>
        <v>0</v>
      </c>
      <c r="W45" s="19">
        <f t="shared" si="42"/>
        <v>0</v>
      </c>
      <c r="X45" s="19">
        <f t="shared" si="42"/>
        <v>0</v>
      </c>
      <c r="Y45" s="19">
        <f t="shared" si="42"/>
        <v>0</v>
      </c>
      <c r="Z45" s="19">
        <f t="shared" si="42"/>
        <v>0</v>
      </c>
      <c r="AA45" s="19">
        <f t="shared" si="42"/>
        <v>0</v>
      </c>
      <c r="AB45" s="19">
        <f t="shared" si="42"/>
        <v>0</v>
      </c>
      <c r="AC45" s="83">
        <f t="shared" si="41"/>
        <v>0</v>
      </c>
    </row>
    <row r="46" spans="1:29" x14ac:dyDescent="0.3">
      <c r="A46" s="82">
        <v>2010400</v>
      </c>
      <c r="B46" s="18" t="s">
        <v>51</v>
      </c>
      <c r="C46" s="19">
        <v>357000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20">
        <f t="shared" si="4"/>
        <v>357000</v>
      </c>
      <c r="L46" s="19">
        <v>357000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20">
        <f t="shared" si="39"/>
        <v>357000</v>
      </c>
      <c r="U46" s="19">
        <f t="shared" si="42"/>
        <v>0</v>
      </c>
      <c r="V46" s="19">
        <f t="shared" si="42"/>
        <v>0</v>
      </c>
      <c r="W46" s="19">
        <f t="shared" si="42"/>
        <v>0</v>
      </c>
      <c r="X46" s="19">
        <f t="shared" si="42"/>
        <v>0</v>
      </c>
      <c r="Y46" s="19">
        <f t="shared" si="42"/>
        <v>0</v>
      </c>
      <c r="Z46" s="19">
        <f t="shared" si="42"/>
        <v>0</v>
      </c>
      <c r="AA46" s="19">
        <f t="shared" si="42"/>
        <v>0</v>
      </c>
      <c r="AB46" s="19">
        <f t="shared" si="42"/>
        <v>0</v>
      </c>
      <c r="AC46" s="83">
        <f t="shared" si="41"/>
        <v>0</v>
      </c>
    </row>
    <row r="47" spans="1:29" ht="26.4" x14ac:dyDescent="0.3">
      <c r="A47" s="82">
        <v>2010500</v>
      </c>
      <c r="B47" s="18" t="s">
        <v>52</v>
      </c>
      <c r="C47" s="19">
        <v>63548</v>
      </c>
      <c r="D47" s="19">
        <v>0</v>
      </c>
      <c r="E47" s="19">
        <v>8727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20">
        <f t="shared" si="4"/>
        <v>72275</v>
      </c>
      <c r="L47" s="19">
        <v>63548</v>
      </c>
      <c r="M47" s="19">
        <v>0</v>
      </c>
      <c r="N47" s="19">
        <v>8727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20">
        <f t="shared" si="39"/>
        <v>72275</v>
      </c>
      <c r="U47" s="19">
        <f t="shared" si="42"/>
        <v>0</v>
      </c>
      <c r="V47" s="19">
        <f t="shared" si="42"/>
        <v>0</v>
      </c>
      <c r="W47" s="19">
        <f t="shared" si="42"/>
        <v>0</v>
      </c>
      <c r="X47" s="19">
        <f t="shared" si="42"/>
        <v>0</v>
      </c>
      <c r="Y47" s="19">
        <f t="shared" si="42"/>
        <v>0</v>
      </c>
      <c r="Z47" s="19">
        <f t="shared" si="42"/>
        <v>0</v>
      </c>
      <c r="AA47" s="19">
        <f t="shared" si="42"/>
        <v>0</v>
      </c>
      <c r="AB47" s="19">
        <f t="shared" si="42"/>
        <v>0</v>
      </c>
      <c r="AC47" s="83">
        <f t="shared" si="41"/>
        <v>0</v>
      </c>
    </row>
    <row r="48" spans="1:29" x14ac:dyDescent="0.3">
      <c r="A48" s="82">
        <v>2010900</v>
      </c>
      <c r="B48" s="18" t="s">
        <v>53</v>
      </c>
      <c r="C48" s="19">
        <v>1791830</v>
      </c>
      <c r="D48" s="19">
        <v>114984</v>
      </c>
      <c r="E48" s="19">
        <v>497051</v>
      </c>
      <c r="F48" s="19">
        <v>0</v>
      </c>
      <c r="G48" s="19">
        <v>35169</v>
      </c>
      <c r="H48" s="19">
        <v>309568</v>
      </c>
      <c r="I48" s="19">
        <v>0</v>
      </c>
      <c r="J48" s="19">
        <v>0</v>
      </c>
      <c r="K48" s="20">
        <f t="shared" si="4"/>
        <v>2748602</v>
      </c>
      <c r="L48" s="19">
        <v>1791830</v>
      </c>
      <c r="M48" s="19">
        <v>114984</v>
      </c>
      <c r="N48" s="19">
        <v>497051</v>
      </c>
      <c r="O48" s="19">
        <v>0</v>
      </c>
      <c r="P48" s="19">
        <v>35169</v>
      </c>
      <c r="Q48" s="19">
        <v>309568</v>
      </c>
      <c r="R48" s="19">
        <v>0</v>
      </c>
      <c r="S48" s="19">
        <v>0</v>
      </c>
      <c r="T48" s="20">
        <f t="shared" si="39"/>
        <v>2748602</v>
      </c>
      <c r="U48" s="19">
        <f t="shared" si="42"/>
        <v>0</v>
      </c>
      <c r="V48" s="19">
        <f t="shared" si="42"/>
        <v>0</v>
      </c>
      <c r="W48" s="19">
        <f t="shared" si="42"/>
        <v>0</v>
      </c>
      <c r="X48" s="19">
        <f t="shared" si="42"/>
        <v>0</v>
      </c>
      <c r="Y48" s="19">
        <f t="shared" si="42"/>
        <v>0</v>
      </c>
      <c r="Z48" s="19">
        <f t="shared" si="42"/>
        <v>0</v>
      </c>
      <c r="AA48" s="19">
        <f t="shared" si="42"/>
        <v>0</v>
      </c>
      <c r="AB48" s="19">
        <f t="shared" si="42"/>
        <v>0</v>
      </c>
      <c r="AC48" s="83">
        <f t="shared" si="41"/>
        <v>0</v>
      </c>
    </row>
    <row r="49" spans="1:29" x14ac:dyDescent="0.3">
      <c r="A49" s="82">
        <v>2011000</v>
      </c>
      <c r="B49" s="18" t="s">
        <v>54</v>
      </c>
      <c r="C49" s="19">
        <f>10259282+4795360</f>
        <v>15054642</v>
      </c>
      <c r="D49" s="19"/>
      <c r="E49" s="19">
        <v>0</v>
      </c>
      <c r="F49" s="19">
        <v>0</v>
      </c>
      <c r="G49" s="19">
        <v>0</v>
      </c>
      <c r="H49" s="39">
        <v>0</v>
      </c>
      <c r="I49" s="19">
        <v>0</v>
      </c>
      <c r="J49" s="19">
        <v>0</v>
      </c>
      <c r="K49" s="20">
        <f t="shared" si="4"/>
        <v>15054642</v>
      </c>
      <c r="L49" s="19">
        <f>10259282+4795360</f>
        <v>15054642</v>
      </c>
      <c r="M49" s="19"/>
      <c r="N49" s="19">
        <v>0</v>
      </c>
      <c r="O49" s="19">
        <v>0</v>
      </c>
      <c r="P49" s="19">
        <v>0</v>
      </c>
      <c r="Q49" s="39">
        <v>0</v>
      </c>
      <c r="R49" s="19">
        <v>0</v>
      </c>
      <c r="S49" s="19">
        <v>0</v>
      </c>
      <c r="T49" s="20">
        <f t="shared" si="39"/>
        <v>15054642</v>
      </c>
      <c r="U49" s="19">
        <f t="shared" si="42"/>
        <v>0</v>
      </c>
      <c r="V49" s="19">
        <f t="shared" si="42"/>
        <v>0</v>
      </c>
      <c r="W49" s="19">
        <f t="shared" si="42"/>
        <v>0</v>
      </c>
      <c r="X49" s="19">
        <f t="shared" si="42"/>
        <v>0</v>
      </c>
      <c r="Y49" s="19">
        <f t="shared" si="42"/>
        <v>0</v>
      </c>
      <c r="Z49" s="39">
        <f t="shared" si="42"/>
        <v>0</v>
      </c>
      <c r="AA49" s="19">
        <f t="shared" si="42"/>
        <v>0</v>
      </c>
      <c r="AB49" s="19">
        <f t="shared" si="42"/>
        <v>0</v>
      </c>
      <c r="AC49" s="83">
        <f t="shared" si="41"/>
        <v>0</v>
      </c>
    </row>
    <row r="50" spans="1:29" x14ac:dyDescent="0.3">
      <c r="A50" s="82"/>
      <c r="B50" s="18"/>
      <c r="C50" s="19"/>
      <c r="D50" s="19"/>
      <c r="E50" s="19"/>
      <c r="F50" s="19"/>
      <c r="G50" s="19"/>
      <c r="H50" s="19"/>
      <c r="I50" s="19"/>
      <c r="J50" s="19"/>
      <c r="K50" s="20"/>
      <c r="L50" s="19"/>
      <c r="M50" s="19"/>
      <c r="N50" s="19"/>
      <c r="O50" s="19"/>
      <c r="P50" s="19"/>
      <c r="Q50" s="19"/>
      <c r="R50" s="19"/>
      <c r="S50" s="19"/>
      <c r="T50" s="20"/>
      <c r="U50" s="19">
        <f t="shared" si="42"/>
        <v>0</v>
      </c>
      <c r="V50" s="19">
        <f t="shared" si="42"/>
        <v>0</v>
      </c>
      <c r="W50" s="19">
        <f t="shared" si="42"/>
        <v>0</v>
      </c>
      <c r="X50" s="19">
        <f t="shared" si="42"/>
        <v>0</v>
      </c>
      <c r="Y50" s="19">
        <f t="shared" si="42"/>
        <v>0</v>
      </c>
      <c r="Z50" s="19">
        <f t="shared" si="42"/>
        <v>0</v>
      </c>
      <c r="AA50" s="19">
        <f t="shared" si="42"/>
        <v>0</v>
      </c>
      <c r="AB50" s="19">
        <f t="shared" si="42"/>
        <v>0</v>
      </c>
      <c r="AC50" s="83">
        <f t="shared" si="41"/>
        <v>0</v>
      </c>
    </row>
    <row r="51" spans="1:29" ht="26.4" x14ac:dyDescent="0.3">
      <c r="A51" s="82">
        <v>2020000</v>
      </c>
      <c r="B51" s="18" t="s">
        <v>55</v>
      </c>
      <c r="C51" s="19">
        <f>9092192+39994238</f>
        <v>49086430</v>
      </c>
      <c r="D51" s="19">
        <v>2498</v>
      </c>
      <c r="E51" s="19">
        <v>26197</v>
      </c>
      <c r="F51" s="19">
        <v>43632</v>
      </c>
      <c r="G51" s="19">
        <v>0</v>
      </c>
      <c r="H51" s="19">
        <v>28062</v>
      </c>
      <c r="I51" s="19">
        <v>40863</v>
      </c>
      <c r="J51" s="19">
        <v>28265</v>
      </c>
      <c r="K51" s="20">
        <f t="shared" si="4"/>
        <v>49255947</v>
      </c>
      <c r="L51" s="19">
        <f>9092192+39994238</f>
        <v>49086430</v>
      </c>
      <c r="M51" s="19">
        <v>2498</v>
      </c>
      <c r="N51" s="19">
        <v>26197</v>
      </c>
      <c r="O51" s="19">
        <v>43632</v>
      </c>
      <c r="P51" s="19">
        <v>0</v>
      </c>
      <c r="Q51" s="19">
        <v>28062</v>
      </c>
      <c r="R51" s="19">
        <v>40863</v>
      </c>
      <c r="S51" s="19">
        <v>28265</v>
      </c>
      <c r="T51" s="20">
        <f t="shared" ref="T51:T52" si="43">SUM(L51:S51)</f>
        <v>49255947</v>
      </c>
      <c r="U51" s="19">
        <f t="shared" si="42"/>
        <v>0</v>
      </c>
      <c r="V51" s="19">
        <f t="shared" si="42"/>
        <v>0</v>
      </c>
      <c r="W51" s="19">
        <f t="shared" si="42"/>
        <v>0</v>
      </c>
      <c r="X51" s="19">
        <f t="shared" si="42"/>
        <v>0</v>
      </c>
      <c r="Y51" s="19">
        <f t="shared" si="42"/>
        <v>0</v>
      </c>
      <c r="Z51" s="19">
        <f t="shared" si="42"/>
        <v>0</v>
      </c>
      <c r="AA51" s="19">
        <f t="shared" si="42"/>
        <v>0</v>
      </c>
      <c r="AB51" s="19">
        <f t="shared" si="42"/>
        <v>0</v>
      </c>
      <c r="AC51" s="83">
        <f t="shared" ref="AC51:AC52" si="44">SUM(U51:AB51)</f>
        <v>0</v>
      </c>
    </row>
    <row r="52" spans="1:29" ht="26.4" x14ac:dyDescent="0.3">
      <c r="A52" s="84">
        <v>2020100</v>
      </c>
      <c r="B52" s="21" t="s">
        <v>56</v>
      </c>
      <c r="C52" s="22">
        <f>8807000+39994238</f>
        <v>48801238</v>
      </c>
      <c r="D52" s="22"/>
      <c r="E52" s="22"/>
      <c r="F52" s="22"/>
      <c r="G52" s="22"/>
      <c r="H52" s="22"/>
      <c r="I52" s="22"/>
      <c r="J52" s="22"/>
      <c r="K52" s="23">
        <f t="shared" si="4"/>
        <v>48801238</v>
      </c>
      <c r="L52" s="22">
        <f>8807000+39994238</f>
        <v>48801238</v>
      </c>
      <c r="M52" s="22"/>
      <c r="N52" s="22"/>
      <c r="O52" s="22"/>
      <c r="P52" s="22"/>
      <c r="Q52" s="22"/>
      <c r="R52" s="22"/>
      <c r="S52" s="22"/>
      <c r="T52" s="23">
        <f t="shared" si="43"/>
        <v>48801238</v>
      </c>
      <c r="U52" s="22">
        <f t="shared" si="42"/>
        <v>0</v>
      </c>
      <c r="V52" s="22">
        <f t="shared" si="42"/>
        <v>0</v>
      </c>
      <c r="W52" s="22">
        <f t="shared" si="42"/>
        <v>0</v>
      </c>
      <c r="X52" s="22">
        <f t="shared" si="42"/>
        <v>0</v>
      </c>
      <c r="Y52" s="22">
        <f t="shared" si="42"/>
        <v>0</v>
      </c>
      <c r="Z52" s="22">
        <f t="shared" si="42"/>
        <v>0</v>
      </c>
      <c r="AA52" s="22">
        <f t="shared" si="42"/>
        <v>0</v>
      </c>
      <c r="AB52" s="22">
        <f t="shared" si="42"/>
        <v>0</v>
      </c>
      <c r="AC52" s="85">
        <f t="shared" si="44"/>
        <v>0</v>
      </c>
    </row>
    <row r="53" spans="1:29" x14ac:dyDescent="0.3">
      <c r="A53" s="84"/>
      <c r="B53" s="21"/>
      <c r="C53" s="22"/>
      <c r="D53" s="22"/>
      <c r="E53" s="22"/>
      <c r="F53" s="22"/>
      <c r="G53" s="22"/>
      <c r="H53" s="22"/>
      <c r="I53" s="22"/>
      <c r="J53" s="22"/>
      <c r="K53" s="20"/>
      <c r="L53" s="22"/>
      <c r="M53" s="22"/>
      <c r="N53" s="22"/>
      <c r="O53" s="22"/>
      <c r="P53" s="22"/>
      <c r="Q53" s="22"/>
      <c r="R53" s="22"/>
      <c r="S53" s="22"/>
      <c r="T53" s="20"/>
      <c r="U53" s="19">
        <f t="shared" si="42"/>
        <v>0</v>
      </c>
      <c r="V53" s="22">
        <f t="shared" si="42"/>
        <v>0</v>
      </c>
      <c r="W53" s="22">
        <f t="shared" si="42"/>
        <v>0</v>
      </c>
      <c r="X53" s="22">
        <f t="shared" si="42"/>
        <v>0</v>
      </c>
      <c r="Y53" s="22">
        <f t="shared" si="42"/>
        <v>0</v>
      </c>
      <c r="Z53" s="22">
        <f t="shared" si="42"/>
        <v>0</v>
      </c>
      <c r="AA53" s="22">
        <f t="shared" si="42"/>
        <v>0</v>
      </c>
      <c r="AB53" s="22">
        <f t="shared" si="42"/>
        <v>0</v>
      </c>
      <c r="AC53" s="83">
        <f t="shared" ref="AC53:AC55" si="45">SUM(U53:AB53)</f>
        <v>0</v>
      </c>
    </row>
    <row r="54" spans="1:29" x14ac:dyDescent="0.3">
      <c r="A54" s="88">
        <v>2060000</v>
      </c>
      <c r="B54" s="18" t="s">
        <v>57</v>
      </c>
      <c r="C54" s="19">
        <v>3548304</v>
      </c>
      <c r="D54" s="19">
        <v>73842</v>
      </c>
      <c r="E54" s="19">
        <v>1116528</v>
      </c>
      <c r="F54" s="19">
        <v>727163</v>
      </c>
      <c r="G54" s="19">
        <v>607181</v>
      </c>
      <c r="H54" s="19">
        <v>533711</v>
      </c>
      <c r="I54" s="19">
        <v>428451</v>
      </c>
      <c r="J54" s="19">
        <v>239506</v>
      </c>
      <c r="K54" s="20">
        <f t="shared" si="4"/>
        <v>7274686</v>
      </c>
      <c r="L54" s="19">
        <v>3548304</v>
      </c>
      <c r="M54" s="19">
        <v>73842</v>
      </c>
      <c r="N54" s="19">
        <v>1116528</v>
      </c>
      <c r="O54" s="19">
        <v>727163</v>
      </c>
      <c r="P54" s="19">
        <v>607181</v>
      </c>
      <c r="Q54" s="19">
        <v>533711</v>
      </c>
      <c r="R54" s="19">
        <v>428451</v>
      </c>
      <c r="S54" s="19">
        <v>239506</v>
      </c>
      <c r="T54" s="20">
        <f t="shared" ref="T54" si="46">SUM(L54:S54)</f>
        <v>7274686</v>
      </c>
      <c r="U54" s="19">
        <f t="shared" si="42"/>
        <v>0</v>
      </c>
      <c r="V54" s="19">
        <f t="shared" si="42"/>
        <v>0</v>
      </c>
      <c r="W54" s="19">
        <f t="shared" si="42"/>
        <v>0</v>
      </c>
      <c r="X54" s="19">
        <f t="shared" si="42"/>
        <v>0</v>
      </c>
      <c r="Y54" s="19">
        <f t="shared" si="42"/>
        <v>0</v>
      </c>
      <c r="Z54" s="19">
        <f t="shared" si="42"/>
        <v>0</v>
      </c>
      <c r="AA54" s="19">
        <f t="shared" si="42"/>
        <v>0</v>
      </c>
      <c r="AB54" s="19">
        <f t="shared" si="42"/>
        <v>0</v>
      </c>
      <c r="AC54" s="83">
        <f t="shared" si="45"/>
        <v>0</v>
      </c>
    </row>
    <row r="55" spans="1:29" x14ac:dyDescent="0.3">
      <c r="A55" s="89"/>
      <c r="B55" s="21"/>
      <c r="C55" s="22"/>
      <c r="D55" s="22"/>
      <c r="E55" s="22"/>
      <c r="F55" s="22"/>
      <c r="G55" s="22"/>
      <c r="H55" s="22"/>
      <c r="I55" s="22"/>
      <c r="J55" s="22"/>
      <c r="K55" s="20"/>
      <c r="L55" s="22"/>
      <c r="M55" s="22"/>
      <c r="N55" s="22"/>
      <c r="O55" s="22"/>
      <c r="P55" s="22"/>
      <c r="Q55" s="22"/>
      <c r="R55" s="22"/>
      <c r="S55" s="22"/>
      <c r="T55" s="20"/>
      <c r="U55" s="19">
        <f t="shared" si="42"/>
        <v>0</v>
      </c>
      <c r="V55" s="22">
        <f t="shared" si="42"/>
        <v>0</v>
      </c>
      <c r="W55" s="22">
        <f t="shared" si="42"/>
        <v>0</v>
      </c>
      <c r="X55" s="22">
        <f t="shared" si="42"/>
        <v>0</v>
      </c>
      <c r="Y55" s="22">
        <f t="shared" si="42"/>
        <v>0</v>
      </c>
      <c r="Z55" s="22">
        <f t="shared" si="42"/>
        <v>0</v>
      </c>
      <c r="AA55" s="22">
        <f t="shared" si="42"/>
        <v>0</v>
      </c>
      <c r="AB55" s="22">
        <f t="shared" si="42"/>
        <v>0</v>
      </c>
      <c r="AC55" s="83">
        <f t="shared" si="45"/>
        <v>0</v>
      </c>
    </row>
    <row r="56" spans="1:29" x14ac:dyDescent="0.3">
      <c r="A56" s="88">
        <v>2070000</v>
      </c>
      <c r="B56" s="18" t="s">
        <v>58</v>
      </c>
      <c r="C56" s="19">
        <f>12233535+1253907</f>
        <v>13487442</v>
      </c>
      <c r="D56" s="19">
        <v>30123</v>
      </c>
      <c r="E56" s="19">
        <v>4264650</v>
      </c>
      <c r="F56" s="19">
        <v>2093986</v>
      </c>
      <c r="G56" s="19">
        <v>1046985</v>
      </c>
      <c r="H56" s="19">
        <v>1289070</v>
      </c>
      <c r="I56" s="19">
        <v>513992</v>
      </c>
      <c r="J56" s="19">
        <v>525641</v>
      </c>
      <c r="K56" s="20">
        <f t="shared" si="4"/>
        <v>23251889</v>
      </c>
      <c r="L56" s="19">
        <f>12233535+1253907</f>
        <v>13487442</v>
      </c>
      <c r="M56" s="19">
        <v>30123</v>
      </c>
      <c r="N56" s="19">
        <v>4264650</v>
      </c>
      <c r="O56" s="19">
        <v>2093986</v>
      </c>
      <c r="P56" s="19">
        <v>1046985</v>
      </c>
      <c r="Q56" s="19">
        <v>1289070</v>
      </c>
      <c r="R56" s="19">
        <v>513992</v>
      </c>
      <c r="S56" s="19">
        <v>525641</v>
      </c>
      <c r="T56" s="20">
        <f t="shared" ref="T56" si="47">SUM(L56:S56)</f>
        <v>23251889</v>
      </c>
      <c r="U56" s="19">
        <f t="shared" si="42"/>
        <v>0</v>
      </c>
      <c r="V56" s="19">
        <f t="shared" si="42"/>
        <v>0</v>
      </c>
      <c r="W56" s="19">
        <f t="shared" si="42"/>
        <v>0</v>
      </c>
      <c r="X56" s="19">
        <f t="shared" si="42"/>
        <v>0</v>
      </c>
      <c r="Y56" s="19">
        <f t="shared" si="42"/>
        <v>0</v>
      </c>
      <c r="Z56" s="19">
        <f t="shared" si="42"/>
        <v>0</v>
      </c>
      <c r="AA56" s="19">
        <f t="shared" si="42"/>
        <v>0</v>
      </c>
      <c r="AB56" s="19">
        <f t="shared" si="42"/>
        <v>0</v>
      </c>
      <c r="AC56" s="83">
        <f t="shared" ref="AC56" si="48">SUM(U56:AB56)</f>
        <v>0</v>
      </c>
    </row>
    <row r="57" spans="1:29" ht="15" thickBot="1" x14ac:dyDescent="0.35">
      <c r="A57" s="88"/>
      <c r="B57" s="18"/>
      <c r="C57" s="34"/>
      <c r="D57" s="34"/>
      <c r="E57" s="34"/>
      <c r="F57" s="34"/>
      <c r="G57" s="34"/>
      <c r="H57" s="34"/>
      <c r="I57" s="34"/>
      <c r="J57" s="34"/>
      <c r="K57" s="33"/>
      <c r="L57" s="34"/>
      <c r="M57" s="34"/>
      <c r="N57" s="34"/>
      <c r="O57" s="34"/>
      <c r="P57" s="34"/>
      <c r="Q57" s="34"/>
      <c r="R57" s="34"/>
      <c r="S57" s="34"/>
      <c r="T57" s="33"/>
      <c r="U57" s="34"/>
      <c r="V57" s="34"/>
      <c r="W57" s="34"/>
      <c r="X57" s="34"/>
      <c r="Y57" s="34"/>
      <c r="Z57" s="34"/>
      <c r="AA57" s="34"/>
      <c r="AB57" s="34"/>
      <c r="AC57" s="87"/>
    </row>
    <row r="58" spans="1:29" ht="15" thickBot="1" x14ac:dyDescent="0.35">
      <c r="A58" s="40" t="s">
        <v>59</v>
      </c>
      <c r="B58" s="41" t="s">
        <v>60</v>
      </c>
      <c r="C58" s="42">
        <f>SUM(C59:C61)</f>
        <v>0</v>
      </c>
      <c r="D58" s="42">
        <f t="shared" ref="D58:J58" si="49">SUM(D59:D61)</f>
        <v>0</v>
      </c>
      <c r="E58" s="42">
        <f t="shared" si="49"/>
        <v>0</v>
      </c>
      <c r="F58" s="42">
        <f t="shared" si="49"/>
        <v>0</v>
      </c>
      <c r="G58" s="42">
        <f t="shared" si="49"/>
        <v>0</v>
      </c>
      <c r="H58" s="42">
        <f t="shared" si="49"/>
        <v>0</v>
      </c>
      <c r="I58" s="42">
        <f t="shared" si="49"/>
        <v>0</v>
      </c>
      <c r="J58" s="42">
        <f t="shared" si="49"/>
        <v>0</v>
      </c>
      <c r="K58" s="43">
        <f>SUM(C58:J58)</f>
        <v>0</v>
      </c>
      <c r="L58" s="42">
        <f>SUM(L59:L61)</f>
        <v>0</v>
      </c>
      <c r="M58" s="42">
        <f t="shared" ref="M58:S58" si="50">SUM(M59:M61)</f>
        <v>0</v>
      </c>
      <c r="N58" s="42">
        <f t="shared" si="50"/>
        <v>0</v>
      </c>
      <c r="O58" s="42">
        <f t="shared" si="50"/>
        <v>0</v>
      </c>
      <c r="P58" s="42">
        <f t="shared" si="50"/>
        <v>0</v>
      </c>
      <c r="Q58" s="42">
        <f t="shared" si="50"/>
        <v>0</v>
      </c>
      <c r="R58" s="42">
        <f t="shared" si="50"/>
        <v>0</v>
      </c>
      <c r="S58" s="42">
        <f t="shared" si="50"/>
        <v>0</v>
      </c>
      <c r="T58" s="44">
        <f>SUM(L58:S58)</f>
        <v>0</v>
      </c>
      <c r="U58" s="36">
        <f>SUM(U59+U60)</f>
        <v>0</v>
      </c>
      <c r="V58" s="12">
        <f t="shared" ref="V58:AB58" si="51">SUM(V59+V62+V64+V66+V68+V70+V72+V74)</f>
        <v>0</v>
      </c>
      <c r="W58" s="12">
        <f t="shared" si="51"/>
        <v>0</v>
      </c>
      <c r="X58" s="12">
        <f t="shared" si="51"/>
        <v>0</v>
      </c>
      <c r="Y58" s="12">
        <f t="shared" si="51"/>
        <v>0</v>
      </c>
      <c r="Z58" s="12">
        <f t="shared" si="51"/>
        <v>0</v>
      </c>
      <c r="AA58" s="12">
        <f t="shared" si="51"/>
        <v>0</v>
      </c>
      <c r="AB58" s="12">
        <f t="shared" si="51"/>
        <v>0</v>
      </c>
      <c r="AC58" s="14">
        <f t="shared" ref="AC58" si="52">SUM(U58:AB58)</f>
        <v>0</v>
      </c>
    </row>
    <row r="59" spans="1:29" x14ac:dyDescent="0.3">
      <c r="A59" s="45" t="s">
        <v>61</v>
      </c>
      <c r="B59" s="46" t="s">
        <v>62</v>
      </c>
      <c r="C59" s="47">
        <v>0</v>
      </c>
      <c r="D59" s="48">
        <v>0</v>
      </c>
      <c r="E59" s="48">
        <v>0</v>
      </c>
      <c r="F59" s="48">
        <v>0</v>
      </c>
      <c r="G59" s="48">
        <v>0</v>
      </c>
      <c r="H59" s="49">
        <v>0</v>
      </c>
      <c r="I59" s="48">
        <v>0</v>
      </c>
      <c r="J59" s="48">
        <v>0</v>
      </c>
      <c r="K59" s="50">
        <f>SUM(C59:J59)</f>
        <v>0</v>
      </c>
      <c r="L59" s="47">
        <v>0</v>
      </c>
      <c r="M59" s="48">
        <v>0</v>
      </c>
      <c r="N59" s="48">
        <v>0</v>
      </c>
      <c r="O59" s="48">
        <v>0</v>
      </c>
      <c r="P59" s="48">
        <v>0</v>
      </c>
      <c r="Q59" s="49">
        <v>0</v>
      </c>
      <c r="R59" s="48">
        <v>0</v>
      </c>
      <c r="S59" s="48">
        <v>0</v>
      </c>
      <c r="T59" s="51">
        <f>SUM(L59:S59)</f>
        <v>0</v>
      </c>
      <c r="U59" s="22">
        <f t="shared" ref="U59:AB60" si="53">L59-C59</f>
        <v>0</v>
      </c>
      <c r="V59" s="19">
        <f t="shared" si="53"/>
        <v>0</v>
      </c>
      <c r="W59" s="19">
        <f t="shared" si="53"/>
        <v>0</v>
      </c>
      <c r="X59" s="19">
        <f t="shared" si="53"/>
        <v>0</v>
      </c>
      <c r="Y59" s="19">
        <f t="shared" si="53"/>
        <v>0</v>
      </c>
      <c r="Z59" s="19">
        <f t="shared" si="53"/>
        <v>0</v>
      </c>
      <c r="AA59" s="19">
        <f t="shared" si="53"/>
        <v>0</v>
      </c>
      <c r="AB59" s="19">
        <f t="shared" si="53"/>
        <v>0</v>
      </c>
      <c r="AC59" s="90"/>
    </row>
    <row r="60" spans="1:29" x14ac:dyDescent="0.3">
      <c r="A60" s="52">
        <v>3060000</v>
      </c>
      <c r="B60" s="53" t="s">
        <v>63</v>
      </c>
      <c r="C60" s="54">
        <v>0</v>
      </c>
      <c r="D60" s="48">
        <v>0</v>
      </c>
      <c r="E60" s="48">
        <v>0</v>
      </c>
      <c r="F60" s="48">
        <v>0</v>
      </c>
      <c r="G60" s="48">
        <v>0</v>
      </c>
      <c r="H60" s="49">
        <v>0</v>
      </c>
      <c r="I60" s="48">
        <v>0</v>
      </c>
      <c r="J60" s="48">
        <v>0</v>
      </c>
      <c r="K60" s="50">
        <f>SUM(C60:J60)</f>
        <v>0</v>
      </c>
      <c r="L60" s="54">
        <v>0</v>
      </c>
      <c r="M60" s="48">
        <v>0</v>
      </c>
      <c r="N60" s="48">
        <v>0</v>
      </c>
      <c r="O60" s="48">
        <v>0</v>
      </c>
      <c r="P60" s="48">
        <v>0</v>
      </c>
      <c r="Q60" s="49">
        <v>0</v>
      </c>
      <c r="R60" s="48">
        <v>0</v>
      </c>
      <c r="S60" s="48">
        <v>0</v>
      </c>
      <c r="T60" s="50">
        <f>SUM(L60:S60)</f>
        <v>0</v>
      </c>
      <c r="U60" s="22">
        <f t="shared" si="53"/>
        <v>0</v>
      </c>
      <c r="V60" s="19">
        <f t="shared" si="53"/>
        <v>0</v>
      </c>
      <c r="W60" s="19">
        <f t="shared" si="53"/>
        <v>0</v>
      </c>
      <c r="X60" s="19">
        <f t="shared" si="53"/>
        <v>0</v>
      </c>
      <c r="Y60" s="19">
        <f t="shared" si="53"/>
        <v>0</v>
      </c>
      <c r="Z60" s="19">
        <f t="shared" si="53"/>
        <v>0</v>
      </c>
      <c r="AA60" s="19">
        <f t="shared" si="53"/>
        <v>0</v>
      </c>
      <c r="AB60" s="19">
        <f t="shared" si="53"/>
        <v>0</v>
      </c>
      <c r="AC60" s="83"/>
    </row>
    <row r="61" spans="1:29" ht="15" thickBot="1" x14ac:dyDescent="0.35">
      <c r="A61" s="89"/>
      <c r="B61" s="55"/>
      <c r="C61" s="56"/>
      <c r="D61" s="56"/>
      <c r="E61" s="56"/>
      <c r="F61" s="56"/>
      <c r="G61" s="56"/>
      <c r="H61" s="56"/>
      <c r="I61" s="56"/>
      <c r="J61" s="56"/>
      <c r="K61" s="57"/>
      <c r="L61" s="34"/>
      <c r="M61" s="34"/>
      <c r="N61" s="34"/>
      <c r="O61" s="34"/>
      <c r="P61" s="34"/>
      <c r="Q61" s="34"/>
      <c r="R61" s="34"/>
      <c r="S61" s="34"/>
      <c r="T61" s="33"/>
      <c r="U61" s="19"/>
      <c r="V61" s="22"/>
      <c r="W61" s="22"/>
      <c r="X61" s="22"/>
      <c r="Y61" s="22"/>
      <c r="Z61" s="22"/>
      <c r="AA61" s="22"/>
      <c r="AB61" s="22"/>
      <c r="AC61" s="83"/>
    </row>
    <row r="62" spans="1:29" ht="15" thickBot="1" x14ac:dyDescent="0.35">
      <c r="A62" s="58">
        <v>4000000</v>
      </c>
      <c r="B62" s="35" t="s">
        <v>64</v>
      </c>
      <c r="C62" s="12">
        <f>SUM(C63+C66+C68+C70+C72+C74+C76+C78)</f>
        <v>611489644</v>
      </c>
      <c r="D62" s="12">
        <f t="shared" ref="D62:J62" si="54">SUM(D63+D66+D68+D70+D72+D74+D76+D78)</f>
        <v>18603858</v>
      </c>
      <c r="E62" s="12">
        <f t="shared" si="54"/>
        <v>11574654</v>
      </c>
      <c r="F62" s="12">
        <f t="shared" si="54"/>
        <v>23381097</v>
      </c>
      <c r="G62" s="12">
        <f t="shared" si="54"/>
        <v>9075401</v>
      </c>
      <c r="H62" s="12">
        <f t="shared" si="54"/>
        <v>21993707</v>
      </c>
      <c r="I62" s="12">
        <f t="shared" si="54"/>
        <v>17466597</v>
      </c>
      <c r="J62" s="12">
        <f t="shared" si="54"/>
        <v>6420962</v>
      </c>
      <c r="K62" s="59">
        <f>SUM(K63+K66+K68+K70+K72+K74+K76+K78)</f>
        <v>720005920</v>
      </c>
      <c r="L62" s="12">
        <f>SUM(L63+L66+L68+L70+L72+L74+L76+L78)</f>
        <v>632653511</v>
      </c>
      <c r="M62" s="12">
        <f t="shared" ref="M62:S62" si="55">SUM(M63+M66+M68+M70+M72+M74+M76+M78)</f>
        <v>18603858</v>
      </c>
      <c r="N62" s="12">
        <f t="shared" si="55"/>
        <v>11574654</v>
      </c>
      <c r="O62" s="12">
        <f t="shared" si="55"/>
        <v>23381097</v>
      </c>
      <c r="P62" s="12">
        <f t="shared" si="55"/>
        <v>9075401</v>
      </c>
      <c r="Q62" s="12">
        <f t="shared" si="55"/>
        <v>21993707</v>
      </c>
      <c r="R62" s="12">
        <f t="shared" si="55"/>
        <v>17466597</v>
      </c>
      <c r="S62" s="12">
        <f t="shared" si="55"/>
        <v>6420962</v>
      </c>
      <c r="T62" s="59">
        <f>SUM(T63+T66+T68+T70+T72+T74+T76+T78)</f>
        <v>741169787</v>
      </c>
      <c r="U62" s="36">
        <f t="shared" ref="U62:AB62" si="56">SUM(U63+U66+U68+U70+U72+U74+U76+U78)</f>
        <v>21163867</v>
      </c>
      <c r="V62" s="12">
        <f t="shared" si="56"/>
        <v>0</v>
      </c>
      <c r="W62" s="12">
        <f t="shared" si="56"/>
        <v>0</v>
      </c>
      <c r="X62" s="12">
        <f t="shared" si="56"/>
        <v>0</v>
      </c>
      <c r="Y62" s="12">
        <f t="shared" si="56"/>
        <v>0</v>
      </c>
      <c r="Z62" s="12">
        <f t="shared" si="56"/>
        <v>0</v>
      </c>
      <c r="AA62" s="12">
        <f t="shared" si="56"/>
        <v>0</v>
      </c>
      <c r="AB62" s="12">
        <f t="shared" si="56"/>
        <v>0</v>
      </c>
      <c r="AC62" s="14">
        <f t="shared" ref="AC62:AC64" si="57">SUM(U62:AB62)</f>
        <v>21163867</v>
      </c>
    </row>
    <row r="63" spans="1:29" x14ac:dyDescent="0.3">
      <c r="A63" s="91">
        <v>4010000</v>
      </c>
      <c r="B63" s="37" t="s">
        <v>65</v>
      </c>
      <c r="C63" s="60">
        <f>274031814-20854431</f>
        <v>253177383</v>
      </c>
      <c r="D63" s="60">
        <v>16613212</v>
      </c>
      <c r="E63" s="60">
        <v>9896768</v>
      </c>
      <c r="F63" s="60">
        <f>9920499-3114050</f>
        <v>6806449</v>
      </c>
      <c r="G63" s="60">
        <v>2224110</v>
      </c>
      <c r="H63" s="60">
        <v>3989068</v>
      </c>
      <c r="I63" s="60">
        <v>1729060</v>
      </c>
      <c r="J63" s="60">
        <v>818526</v>
      </c>
      <c r="K63" s="61">
        <f t="shared" si="4"/>
        <v>295254576</v>
      </c>
      <c r="L63" s="60">
        <f>274031814-20854431</f>
        <v>253177383</v>
      </c>
      <c r="M63" s="60">
        <v>16613212</v>
      </c>
      <c r="N63" s="60">
        <v>9896768</v>
      </c>
      <c r="O63" s="60">
        <f>9920499-3114050</f>
        <v>6806449</v>
      </c>
      <c r="P63" s="60">
        <v>2224110</v>
      </c>
      <c r="Q63" s="60">
        <v>3989068</v>
      </c>
      <c r="R63" s="60">
        <v>1729060</v>
      </c>
      <c r="S63" s="60">
        <v>818526</v>
      </c>
      <c r="T63" s="61">
        <f t="shared" ref="T63:T64" si="58">SUM(L63:S63)</f>
        <v>295254576</v>
      </c>
      <c r="U63" s="16">
        <f t="shared" ref="U63:AB78" si="59">L63-C63</f>
        <v>0</v>
      </c>
      <c r="V63" s="16">
        <f t="shared" si="59"/>
        <v>0</v>
      </c>
      <c r="W63" s="16">
        <f t="shared" si="59"/>
        <v>0</v>
      </c>
      <c r="X63" s="16">
        <f t="shared" si="59"/>
        <v>0</v>
      </c>
      <c r="Y63" s="16">
        <f t="shared" si="59"/>
        <v>0</v>
      </c>
      <c r="Z63" s="16">
        <f t="shared" si="59"/>
        <v>0</v>
      </c>
      <c r="AA63" s="16">
        <f t="shared" si="59"/>
        <v>0</v>
      </c>
      <c r="AB63" s="16">
        <f t="shared" si="59"/>
        <v>0</v>
      </c>
      <c r="AC63" s="81">
        <f t="shared" si="57"/>
        <v>0</v>
      </c>
    </row>
    <row r="64" spans="1:29" x14ac:dyDescent="0.3">
      <c r="A64" s="89">
        <v>4010104</v>
      </c>
      <c r="B64" s="21" t="s">
        <v>66</v>
      </c>
      <c r="C64" s="22">
        <v>50249665</v>
      </c>
      <c r="D64" s="22">
        <v>16216896</v>
      </c>
      <c r="E64" s="22">
        <v>7933337</v>
      </c>
      <c r="F64" s="22">
        <f>7771195-3114050</f>
        <v>4657145</v>
      </c>
      <c r="G64" s="22">
        <v>1512692</v>
      </c>
      <c r="H64" s="22">
        <v>2671265</v>
      </c>
      <c r="I64" s="22">
        <v>1035535</v>
      </c>
      <c r="J64" s="22">
        <v>425327</v>
      </c>
      <c r="K64" s="23">
        <f t="shared" si="4"/>
        <v>84701862</v>
      </c>
      <c r="L64" s="22">
        <v>50249665</v>
      </c>
      <c r="M64" s="22">
        <v>16216896</v>
      </c>
      <c r="N64" s="22">
        <v>7933337</v>
      </c>
      <c r="O64" s="22">
        <f>7771195-3114050</f>
        <v>4657145</v>
      </c>
      <c r="P64" s="22">
        <v>1512692</v>
      </c>
      <c r="Q64" s="22">
        <v>2671265</v>
      </c>
      <c r="R64" s="22">
        <v>1035535</v>
      </c>
      <c r="S64" s="22">
        <v>425327</v>
      </c>
      <c r="T64" s="23">
        <f t="shared" si="58"/>
        <v>84701862</v>
      </c>
      <c r="U64" s="22">
        <f t="shared" si="59"/>
        <v>0</v>
      </c>
      <c r="V64" s="22">
        <f t="shared" si="59"/>
        <v>0</v>
      </c>
      <c r="W64" s="22">
        <f t="shared" si="59"/>
        <v>0</v>
      </c>
      <c r="X64" s="22">
        <f t="shared" si="59"/>
        <v>0</v>
      </c>
      <c r="Y64" s="22">
        <f t="shared" si="59"/>
        <v>0</v>
      </c>
      <c r="Z64" s="22">
        <f t="shared" si="59"/>
        <v>0</v>
      </c>
      <c r="AA64" s="22">
        <f t="shared" si="59"/>
        <v>0</v>
      </c>
      <c r="AB64" s="22">
        <f t="shared" si="59"/>
        <v>0</v>
      </c>
      <c r="AC64" s="85">
        <f t="shared" si="57"/>
        <v>0</v>
      </c>
    </row>
    <row r="65" spans="1:29" x14ac:dyDescent="0.3">
      <c r="A65" s="89"/>
      <c r="B65" s="21"/>
      <c r="C65" s="22"/>
      <c r="D65" s="22"/>
      <c r="E65" s="22"/>
      <c r="F65" s="22"/>
      <c r="G65" s="22"/>
      <c r="H65" s="22"/>
      <c r="I65" s="22"/>
      <c r="J65" s="22"/>
      <c r="K65" s="20"/>
      <c r="L65" s="22"/>
      <c r="M65" s="22"/>
      <c r="N65" s="22"/>
      <c r="O65" s="22"/>
      <c r="P65" s="22"/>
      <c r="Q65" s="22"/>
      <c r="R65" s="22"/>
      <c r="S65" s="22"/>
      <c r="T65" s="20"/>
      <c r="U65" s="19"/>
      <c r="V65" s="22"/>
      <c r="W65" s="22"/>
      <c r="X65" s="22"/>
      <c r="Y65" s="22"/>
      <c r="Z65" s="22"/>
      <c r="AA65" s="22"/>
      <c r="AB65" s="22"/>
      <c r="AC65" s="83"/>
    </row>
    <row r="66" spans="1:29" x14ac:dyDescent="0.3">
      <c r="A66" s="88">
        <v>4020100</v>
      </c>
      <c r="B66" s="18" t="s">
        <v>67</v>
      </c>
      <c r="C66" s="19">
        <v>2801310</v>
      </c>
      <c r="D66" s="19">
        <v>1990646</v>
      </c>
      <c r="E66" s="19">
        <v>717646</v>
      </c>
      <c r="F66" s="19">
        <v>1347163</v>
      </c>
      <c r="G66" s="19">
        <v>300353</v>
      </c>
      <c r="H66" s="19">
        <v>771759</v>
      </c>
      <c r="I66" s="19">
        <v>288025</v>
      </c>
      <c r="J66" s="19">
        <v>174745</v>
      </c>
      <c r="K66" s="62">
        <f t="shared" si="4"/>
        <v>8391647</v>
      </c>
      <c r="L66" s="19">
        <v>2801310</v>
      </c>
      <c r="M66" s="19">
        <v>1990646</v>
      </c>
      <c r="N66" s="19">
        <v>717646</v>
      </c>
      <c r="O66" s="19">
        <v>1347163</v>
      </c>
      <c r="P66" s="19">
        <v>300353</v>
      </c>
      <c r="Q66" s="19">
        <v>771759</v>
      </c>
      <c r="R66" s="19">
        <v>288025</v>
      </c>
      <c r="S66" s="19">
        <v>174745</v>
      </c>
      <c r="T66" s="62">
        <f t="shared" ref="T66" si="60">SUM(L66:S66)</f>
        <v>8391647</v>
      </c>
      <c r="U66" s="19">
        <f t="shared" si="59"/>
        <v>0</v>
      </c>
      <c r="V66" s="19">
        <f t="shared" si="59"/>
        <v>0</v>
      </c>
      <c r="W66" s="19">
        <f t="shared" si="59"/>
        <v>0</v>
      </c>
      <c r="X66" s="19">
        <f t="shared" si="59"/>
        <v>0</v>
      </c>
      <c r="Y66" s="19">
        <f t="shared" si="59"/>
        <v>0</v>
      </c>
      <c r="Z66" s="19">
        <f t="shared" si="59"/>
        <v>0</v>
      </c>
      <c r="AA66" s="19">
        <f t="shared" si="59"/>
        <v>0</v>
      </c>
      <c r="AB66" s="19">
        <f t="shared" si="59"/>
        <v>0</v>
      </c>
      <c r="AC66" s="83">
        <f t="shared" ref="AC66" si="61">SUM(U66:AB66)</f>
        <v>0</v>
      </c>
    </row>
    <row r="67" spans="1:29" x14ac:dyDescent="0.3">
      <c r="A67" s="89"/>
      <c r="B67" s="21"/>
      <c r="C67" s="22"/>
      <c r="D67" s="22"/>
      <c r="E67" s="22"/>
      <c r="F67" s="22"/>
      <c r="G67" s="22"/>
      <c r="H67" s="22"/>
      <c r="I67" s="22"/>
      <c r="J67" s="22"/>
      <c r="K67" s="62"/>
      <c r="L67" s="22"/>
      <c r="M67" s="22"/>
      <c r="N67" s="22"/>
      <c r="O67" s="22"/>
      <c r="P67" s="22"/>
      <c r="Q67" s="22"/>
      <c r="R67" s="22"/>
      <c r="S67" s="22"/>
      <c r="T67" s="62"/>
      <c r="U67" s="19"/>
      <c r="V67" s="19"/>
      <c r="W67" s="19"/>
      <c r="X67" s="19"/>
      <c r="Y67" s="19"/>
      <c r="Z67" s="19"/>
      <c r="AA67" s="19"/>
      <c r="AB67" s="19"/>
      <c r="AC67" s="83"/>
    </row>
    <row r="68" spans="1:29" ht="52.8" x14ac:dyDescent="0.3">
      <c r="A68" s="82">
        <v>4080000</v>
      </c>
      <c r="B68" s="18" t="s">
        <v>68</v>
      </c>
      <c r="C68" s="19">
        <v>422419</v>
      </c>
      <c r="D68" s="19">
        <v>0</v>
      </c>
      <c r="E68" s="19">
        <v>681590</v>
      </c>
      <c r="F68" s="19">
        <v>12100585</v>
      </c>
      <c r="G68" s="19">
        <v>5363338</v>
      </c>
      <c r="H68" s="19">
        <v>14200980</v>
      </c>
      <c r="I68" s="19">
        <v>12458362</v>
      </c>
      <c r="J68" s="19">
        <v>4247841</v>
      </c>
      <c r="K68" s="20">
        <f t="shared" si="4"/>
        <v>49475115</v>
      </c>
      <c r="L68" s="19">
        <v>422419</v>
      </c>
      <c r="M68" s="19">
        <v>0</v>
      </c>
      <c r="N68" s="19">
        <v>681590</v>
      </c>
      <c r="O68" s="19">
        <v>12100585</v>
      </c>
      <c r="P68" s="19">
        <v>5363338</v>
      </c>
      <c r="Q68" s="19">
        <v>14200980</v>
      </c>
      <c r="R68" s="19">
        <v>12458362</v>
      </c>
      <c r="S68" s="19">
        <v>4247841</v>
      </c>
      <c r="T68" s="20">
        <f t="shared" ref="T68" si="62">SUM(L68:S68)</f>
        <v>49475115</v>
      </c>
      <c r="U68" s="19">
        <f t="shared" si="59"/>
        <v>0</v>
      </c>
      <c r="V68" s="19">
        <f t="shared" si="59"/>
        <v>0</v>
      </c>
      <c r="W68" s="19">
        <f t="shared" si="59"/>
        <v>0</v>
      </c>
      <c r="X68" s="19">
        <f t="shared" si="59"/>
        <v>0</v>
      </c>
      <c r="Y68" s="19">
        <f t="shared" si="59"/>
        <v>0</v>
      </c>
      <c r="Z68" s="19">
        <f t="shared" si="59"/>
        <v>0</v>
      </c>
      <c r="AA68" s="19">
        <f t="shared" si="59"/>
        <v>0</v>
      </c>
      <c r="AB68" s="19">
        <f t="shared" si="59"/>
        <v>0</v>
      </c>
      <c r="AC68" s="83">
        <f t="shared" ref="AC68" si="63">SUM(U68:AB68)</f>
        <v>0</v>
      </c>
    </row>
    <row r="69" spans="1:29" x14ac:dyDescent="0.3">
      <c r="A69" s="88"/>
      <c r="B69" s="18"/>
      <c r="C69" s="19"/>
      <c r="D69" s="19"/>
      <c r="E69" s="19"/>
      <c r="F69" s="19"/>
      <c r="G69" s="19"/>
      <c r="H69" s="19"/>
      <c r="I69" s="19"/>
      <c r="J69" s="19"/>
      <c r="K69" s="20"/>
      <c r="L69" s="19"/>
      <c r="M69" s="19"/>
      <c r="N69" s="19"/>
      <c r="O69" s="19"/>
      <c r="P69" s="19"/>
      <c r="Q69" s="19"/>
      <c r="R69" s="19"/>
      <c r="S69" s="19"/>
      <c r="T69" s="20"/>
      <c r="U69" s="19">
        <f t="shared" si="59"/>
        <v>0</v>
      </c>
      <c r="V69" s="19">
        <f t="shared" si="59"/>
        <v>0</v>
      </c>
      <c r="W69" s="19">
        <f t="shared" si="59"/>
        <v>0</v>
      </c>
      <c r="X69" s="19">
        <f t="shared" si="59"/>
        <v>0</v>
      </c>
      <c r="Y69" s="19">
        <f t="shared" si="59"/>
        <v>0</v>
      </c>
      <c r="Z69" s="19">
        <f t="shared" si="59"/>
        <v>0</v>
      </c>
      <c r="AA69" s="19">
        <f t="shared" si="59"/>
        <v>0</v>
      </c>
      <c r="AB69" s="19">
        <f t="shared" si="59"/>
        <v>0</v>
      </c>
      <c r="AC69" s="83"/>
    </row>
    <row r="70" spans="1:29" x14ac:dyDescent="0.3">
      <c r="A70" s="88">
        <v>4100000</v>
      </c>
      <c r="B70" s="18" t="s">
        <v>69</v>
      </c>
      <c r="C70" s="27">
        <f>217293935+23680759+474000-4000+30529397+4257000</f>
        <v>276231091</v>
      </c>
      <c r="D70" s="19"/>
      <c r="E70" s="19"/>
      <c r="F70" s="19"/>
      <c r="G70" s="19"/>
      <c r="H70" s="19"/>
      <c r="I70" s="19"/>
      <c r="J70" s="19"/>
      <c r="K70" s="20">
        <f t="shared" si="4"/>
        <v>276231091</v>
      </c>
      <c r="L70" s="27">
        <f>217293935+23680759+474000-4000+30529397+4257000+21163867</f>
        <v>297394958</v>
      </c>
      <c r="M70" s="19"/>
      <c r="N70" s="19"/>
      <c r="O70" s="19"/>
      <c r="P70" s="19"/>
      <c r="Q70" s="19"/>
      <c r="R70" s="19"/>
      <c r="S70" s="19"/>
      <c r="T70" s="20">
        <f t="shared" ref="T70" si="64">SUM(L70:S70)</f>
        <v>297394958</v>
      </c>
      <c r="U70" s="19">
        <f t="shared" si="59"/>
        <v>21163867</v>
      </c>
      <c r="V70" s="19">
        <f t="shared" si="59"/>
        <v>0</v>
      </c>
      <c r="W70" s="19">
        <f t="shared" si="59"/>
        <v>0</v>
      </c>
      <c r="X70" s="19">
        <f t="shared" si="59"/>
        <v>0</v>
      </c>
      <c r="Y70" s="19">
        <f t="shared" si="59"/>
        <v>0</v>
      </c>
      <c r="Z70" s="19">
        <f t="shared" si="59"/>
        <v>0</v>
      </c>
      <c r="AA70" s="19">
        <f t="shared" si="59"/>
        <v>0</v>
      </c>
      <c r="AB70" s="19">
        <f t="shared" si="59"/>
        <v>0</v>
      </c>
      <c r="AC70" s="83">
        <f t="shared" ref="AC70" si="65">SUM(U70:AB70)</f>
        <v>21163867</v>
      </c>
    </row>
    <row r="71" spans="1:29" x14ac:dyDescent="0.3">
      <c r="A71" s="88"/>
      <c r="B71" s="18"/>
      <c r="C71" s="19"/>
      <c r="D71" s="19"/>
      <c r="E71" s="19"/>
      <c r="F71" s="19"/>
      <c r="G71" s="19"/>
      <c r="H71" s="19"/>
      <c r="I71" s="19"/>
      <c r="J71" s="19"/>
      <c r="K71" s="20"/>
      <c r="L71" s="19"/>
      <c r="M71" s="19"/>
      <c r="N71" s="19"/>
      <c r="O71" s="19"/>
      <c r="P71" s="19"/>
      <c r="Q71" s="19"/>
      <c r="R71" s="19"/>
      <c r="S71" s="19"/>
      <c r="T71" s="20"/>
      <c r="U71" s="19">
        <f t="shared" si="59"/>
        <v>0</v>
      </c>
      <c r="V71" s="19">
        <f t="shared" si="59"/>
        <v>0</v>
      </c>
      <c r="W71" s="19">
        <f t="shared" si="59"/>
        <v>0</v>
      </c>
      <c r="X71" s="19">
        <f t="shared" si="59"/>
        <v>0</v>
      </c>
      <c r="Y71" s="19">
        <f t="shared" si="59"/>
        <v>0</v>
      </c>
      <c r="Z71" s="19">
        <f t="shared" si="59"/>
        <v>0</v>
      </c>
      <c r="AA71" s="19">
        <f t="shared" si="59"/>
        <v>0</v>
      </c>
      <c r="AB71" s="19">
        <f t="shared" si="59"/>
        <v>0</v>
      </c>
      <c r="AC71" s="83"/>
    </row>
    <row r="72" spans="1:29" x14ac:dyDescent="0.3">
      <c r="A72" s="88">
        <v>4110000</v>
      </c>
      <c r="B72" s="18" t="s">
        <v>70</v>
      </c>
      <c r="C72" s="19">
        <f>23661155-3023828</f>
        <v>20637327</v>
      </c>
      <c r="D72" s="19"/>
      <c r="E72" s="19"/>
      <c r="F72" s="19"/>
      <c r="G72" s="19"/>
      <c r="H72" s="19"/>
      <c r="I72" s="19"/>
      <c r="J72" s="19"/>
      <c r="K72" s="20">
        <f t="shared" ref="K72:K80" si="66">SUM(C72:J72)</f>
        <v>20637327</v>
      </c>
      <c r="L72" s="19">
        <f>23661155-3023828</f>
        <v>20637327</v>
      </c>
      <c r="M72" s="19"/>
      <c r="N72" s="19"/>
      <c r="O72" s="19"/>
      <c r="P72" s="19"/>
      <c r="Q72" s="19"/>
      <c r="R72" s="19"/>
      <c r="S72" s="19"/>
      <c r="T72" s="20">
        <f t="shared" ref="T72" si="67">SUM(L72:S72)</f>
        <v>20637327</v>
      </c>
      <c r="U72" s="19">
        <f t="shared" si="59"/>
        <v>0</v>
      </c>
      <c r="V72" s="19">
        <f t="shared" si="59"/>
        <v>0</v>
      </c>
      <c r="W72" s="19">
        <f t="shared" si="59"/>
        <v>0</v>
      </c>
      <c r="X72" s="19">
        <f t="shared" si="59"/>
        <v>0</v>
      </c>
      <c r="Y72" s="19">
        <f t="shared" si="59"/>
        <v>0</v>
      </c>
      <c r="Z72" s="19">
        <f t="shared" si="59"/>
        <v>0</v>
      </c>
      <c r="AA72" s="19">
        <f t="shared" si="59"/>
        <v>0</v>
      </c>
      <c r="AB72" s="19">
        <f t="shared" si="59"/>
        <v>0</v>
      </c>
      <c r="AC72" s="83">
        <f t="shared" ref="AC72" si="68">SUM(U72:AB72)</f>
        <v>0</v>
      </c>
    </row>
    <row r="73" spans="1:29" x14ac:dyDescent="0.3">
      <c r="A73" s="88"/>
      <c r="B73" s="18"/>
      <c r="C73" s="19"/>
      <c r="D73" s="19"/>
      <c r="E73" s="19"/>
      <c r="F73" s="19"/>
      <c r="G73" s="19"/>
      <c r="H73" s="19"/>
      <c r="I73" s="19"/>
      <c r="J73" s="19"/>
      <c r="K73" s="20"/>
      <c r="L73" s="19"/>
      <c r="M73" s="19"/>
      <c r="N73" s="19"/>
      <c r="O73" s="19"/>
      <c r="P73" s="19"/>
      <c r="Q73" s="19"/>
      <c r="R73" s="19"/>
      <c r="S73" s="19"/>
      <c r="T73" s="20"/>
      <c r="U73" s="19">
        <f t="shared" si="59"/>
        <v>0</v>
      </c>
      <c r="V73" s="19">
        <f t="shared" si="59"/>
        <v>0</v>
      </c>
      <c r="W73" s="19">
        <f t="shared" si="59"/>
        <v>0</v>
      </c>
      <c r="X73" s="19">
        <f t="shared" si="59"/>
        <v>0</v>
      </c>
      <c r="Y73" s="19">
        <f t="shared" si="59"/>
        <v>0</v>
      </c>
      <c r="Z73" s="19">
        <f t="shared" si="59"/>
        <v>0</v>
      </c>
      <c r="AA73" s="19">
        <f t="shared" si="59"/>
        <v>0</v>
      </c>
      <c r="AB73" s="19">
        <f t="shared" si="59"/>
        <v>0</v>
      </c>
      <c r="AC73" s="83"/>
    </row>
    <row r="74" spans="1:29" x14ac:dyDescent="0.3">
      <c r="A74" s="88">
        <v>4120000</v>
      </c>
      <c r="B74" s="18" t="s">
        <v>71</v>
      </c>
      <c r="C74" s="19">
        <f>10583290-1352514</f>
        <v>9230776</v>
      </c>
      <c r="D74" s="19"/>
      <c r="E74" s="19"/>
      <c r="F74" s="19"/>
      <c r="G74" s="19"/>
      <c r="H74" s="19"/>
      <c r="I74" s="19"/>
      <c r="J74" s="19"/>
      <c r="K74" s="20">
        <f t="shared" si="66"/>
        <v>9230776</v>
      </c>
      <c r="L74" s="19">
        <f>10583290-1352514</f>
        <v>9230776</v>
      </c>
      <c r="M74" s="19"/>
      <c r="N74" s="19"/>
      <c r="O74" s="19"/>
      <c r="P74" s="19"/>
      <c r="Q74" s="19"/>
      <c r="R74" s="19"/>
      <c r="S74" s="19"/>
      <c r="T74" s="20">
        <f t="shared" ref="T74" si="69">SUM(L74:S74)</f>
        <v>9230776</v>
      </c>
      <c r="U74" s="19">
        <f t="shared" si="59"/>
        <v>0</v>
      </c>
      <c r="V74" s="19">
        <f t="shared" si="59"/>
        <v>0</v>
      </c>
      <c r="W74" s="19">
        <f t="shared" si="59"/>
        <v>0</v>
      </c>
      <c r="X74" s="19">
        <f t="shared" si="59"/>
        <v>0</v>
      </c>
      <c r="Y74" s="19">
        <f t="shared" si="59"/>
        <v>0</v>
      </c>
      <c r="Z74" s="19">
        <f t="shared" si="59"/>
        <v>0</v>
      </c>
      <c r="AA74" s="19">
        <f t="shared" si="59"/>
        <v>0</v>
      </c>
      <c r="AB74" s="19">
        <f t="shared" si="59"/>
        <v>0</v>
      </c>
      <c r="AC74" s="83">
        <f t="shared" ref="AC74" si="70">SUM(U74:AB74)</f>
        <v>0</v>
      </c>
    </row>
    <row r="75" spans="1:29" x14ac:dyDescent="0.3">
      <c r="A75" s="88"/>
      <c r="B75" s="18"/>
      <c r="C75" s="19"/>
      <c r="D75" s="19"/>
      <c r="E75" s="19"/>
      <c r="F75" s="19"/>
      <c r="G75" s="19"/>
      <c r="H75" s="19"/>
      <c r="I75" s="19"/>
      <c r="J75" s="19"/>
      <c r="K75" s="20"/>
      <c r="L75" s="19"/>
      <c r="M75" s="19"/>
      <c r="N75" s="19"/>
      <c r="O75" s="19"/>
      <c r="P75" s="19"/>
      <c r="Q75" s="19"/>
      <c r="R75" s="19"/>
      <c r="S75" s="19"/>
      <c r="T75" s="20"/>
      <c r="U75" s="19">
        <f t="shared" si="59"/>
        <v>0</v>
      </c>
      <c r="V75" s="19">
        <f t="shared" si="59"/>
        <v>0</v>
      </c>
      <c r="W75" s="19">
        <f t="shared" si="59"/>
        <v>0</v>
      </c>
      <c r="X75" s="19">
        <f t="shared" si="59"/>
        <v>0</v>
      </c>
      <c r="Y75" s="19">
        <f t="shared" si="59"/>
        <v>0</v>
      </c>
      <c r="Z75" s="19">
        <f t="shared" si="59"/>
        <v>0</v>
      </c>
      <c r="AA75" s="19">
        <f t="shared" si="59"/>
        <v>0</v>
      </c>
      <c r="AB75" s="19">
        <f t="shared" si="59"/>
        <v>0</v>
      </c>
      <c r="AC75" s="83"/>
    </row>
    <row r="76" spans="1:29" x14ac:dyDescent="0.3">
      <c r="A76" s="88">
        <v>4130000</v>
      </c>
      <c r="B76" s="63" t="s">
        <v>72</v>
      </c>
      <c r="C76" s="19">
        <f>21928850-2802445</f>
        <v>19126405</v>
      </c>
      <c r="D76" s="64"/>
      <c r="E76" s="64"/>
      <c r="F76" s="64"/>
      <c r="G76" s="64"/>
      <c r="H76" s="64"/>
      <c r="I76" s="64"/>
      <c r="J76" s="64"/>
      <c r="K76" s="20">
        <f t="shared" si="66"/>
        <v>19126405</v>
      </c>
      <c r="L76" s="19">
        <f>21928850-2802445</f>
        <v>19126405</v>
      </c>
      <c r="M76" s="64"/>
      <c r="N76" s="64"/>
      <c r="O76" s="64"/>
      <c r="P76" s="64"/>
      <c r="Q76" s="64"/>
      <c r="R76" s="64"/>
      <c r="S76" s="64"/>
      <c r="T76" s="20">
        <f t="shared" ref="T76" si="71">SUM(L76:S76)</f>
        <v>19126405</v>
      </c>
      <c r="U76" s="19">
        <f t="shared" si="59"/>
        <v>0</v>
      </c>
      <c r="V76" s="64">
        <f t="shared" si="59"/>
        <v>0</v>
      </c>
      <c r="W76" s="64">
        <f t="shared" si="59"/>
        <v>0</v>
      </c>
      <c r="X76" s="64">
        <f t="shared" si="59"/>
        <v>0</v>
      </c>
      <c r="Y76" s="64">
        <f t="shared" si="59"/>
        <v>0</v>
      </c>
      <c r="Z76" s="64">
        <f t="shared" si="59"/>
        <v>0</v>
      </c>
      <c r="AA76" s="64">
        <f t="shared" si="59"/>
        <v>0</v>
      </c>
      <c r="AB76" s="64">
        <f t="shared" si="59"/>
        <v>0</v>
      </c>
      <c r="AC76" s="83">
        <f t="shared" ref="AC76" si="72">SUM(U76:AB76)</f>
        <v>0</v>
      </c>
    </row>
    <row r="77" spans="1:29" x14ac:dyDescent="0.3">
      <c r="A77" s="88"/>
      <c r="B77" s="63"/>
      <c r="C77" s="34"/>
      <c r="D77" s="65"/>
      <c r="E77" s="65"/>
      <c r="F77" s="65"/>
      <c r="G77" s="65"/>
      <c r="H77" s="65"/>
      <c r="I77" s="65"/>
      <c r="J77" s="65"/>
      <c r="K77" s="33"/>
      <c r="L77" s="34"/>
      <c r="M77" s="65"/>
      <c r="N77" s="65"/>
      <c r="O77" s="65"/>
      <c r="P77" s="65"/>
      <c r="Q77" s="65"/>
      <c r="R77" s="65"/>
      <c r="S77" s="65"/>
      <c r="T77" s="33"/>
      <c r="U77" s="19">
        <f t="shared" si="59"/>
        <v>0</v>
      </c>
      <c r="V77" s="64">
        <f t="shared" si="59"/>
        <v>0</v>
      </c>
      <c r="W77" s="64">
        <f t="shared" si="59"/>
        <v>0</v>
      </c>
      <c r="X77" s="64">
        <f t="shared" si="59"/>
        <v>0</v>
      </c>
      <c r="Y77" s="64">
        <f t="shared" si="59"/>
        <v>0</v>
      </c>
      <c r="Z77" s="64">
        <f t="shared" si="59"/>
        <v>0</v>
      </c>
      <c r="AA77" s="64">
        <f t="shared" si="59"/>
        <v>0</v>
      </c>
      <c r="AB77" s="64">
        <f t="shared" si="59"/>
        <v>0</v>
      </c>
      <c r="AC77" s="83"/>
    </row>
    <row r="78" spans="1:29" x14ac:dyDescent="0.3">
      <c r="A78" s="88">
        <v>4140000</v>
      </c>
      <c r="B78" s="63" t="s">
        <v>73</v>
      </c>
      <c r="C78" s="27">
        <f>34218950-4356017</f>
        <v>29862933</v>
      </c>
      <c r="D78" s="66">
        <v>0</v>
      </c>
      <c r="E78" s="66">
        <v>278650</v>
      </c>
      <c r="F78" s="66">
        <v>3126900</v>
      </c>
      <c r="G78" s="66">
        <v>1187600</v>
      </c>
      <c r="H78" s="66">
        <v>3031900</v>
      </c>
      <c r="I78" s="66">
        <v>2991150</v>
      </c>
      <c r="J78" s="66">
        <v>1179850</v>
      </c>
      <c r="K78" s="28">
        <f t="shared" si="66"/>
        <v>41658983</v>
      </c>
      <c r="L78" s="27">
        <f>34218950-4356017</f>
        <v>29862933</v>
      </c>
      <c r="M78" s="66">
        <v>0</v>
      </c>
      <c r="N78" s="66">
        <v>278650</v>
      </c>
      <c r="O78" s="66">
        <v>3126900</v>
      </c>
      <c r="P78" s="66">
        <v>1187600</v>
      </c>
      <c r="Q78" s="66">
        <v>3031900</v>
      </c>
      <c r="R78" s="66">
        <v>2991150</v>
      </c>
      <c r="S78" s="66">
        <v>1179850</v>
      </c>
      <c r="T78" s="28">
        <f t="shared" ref="T78" si="73">SUM(L78:S78)</f>
        <v>41658983</v>
      </c>
      <c r="U78" s="19">
        <f t="shared" si="59"/>
        <v>0</v>
      </c>
      <c r="V78" s="64">
        <f t="shared" si="59"/>
        <v>0</v>
      </c>
      <c r="W78" s="64">
        <f t="shared" si="59"/>
        <v>0</v>
      </c>
      <c r="X78" s="64">
        <f t="shared" si="59"/>
        <v>0</v>
      </c>
      <c r="Y78" s="64">
        <f t="shared" si="59"/>
        <v>0</v>
      </c>
      <c r="Z78" s="64">
        <f t="shared" si="59"/>
        <v>0</v>
      </c>
      <c r="AA78" s="64">
        <f t="shared" si="59"/>
        <v>0</v>
      </c>
      <c r="AB78" s="64">
        <f t="shared" si="59"/>
        <v>0</v>
      </c>
      <c r="AC78" s="83">
        <f>SUM(U78:AB78)</f>
        <v>0</v>
      </c>
    </row>
    <row r="79" spans="1:29" ht="15" thickBot="1" x14ac:dyDescent="0.35">
      <c r="A79" s="92"/>
      <c r="B79" s="67"/>
      <c r="C79" s="34"/>
      <c r="D79" s="65"/>
      <c r="E79" s="65"/>
      <c r="F79" s="65"/>
      <c r="G79" s="65"/>
      <c r="H79" s="65"/>
      <c r="I79" s="65"/>
      <c r="J79" s="65"/>
      <c r="K79" s="33"/>
      <c r="L79" s="34"/>
      <c r="M79" s="65"/>
      <c r="N79" s="65"/>
      <c r="O79" s="65"/>
      <c r="P79" s="65"/>
      <c r="Q79" s="65"/>
      <c r="R79" s="65"/>
      <c r="S79" s="65"/>
      <c r="T79" s="33"/>
      <c r="U79" s="34"/>
      <c r="V79" s="65"/>
      <c r="W79" s="65"/>
      <c r="X79" s="65"/>
      <c r="Y79" s="65"/>
      <c r="Z79" s="65"/>
      <c r="AA79" s="65"/>
      <c r="AB79" s="65"/>
      <c r="AC79" s="87"/>
    </row>
    <row r="80" spans="1:29" ht="27" thickBot="1" x14ac:dyDescent="0.35">
      <c r="A80" s="58">
        <v>5000000</v>
      </c>
      <c r="B80" s="68" t="s">
        <v>74</v>
      </c>
      <c r="C80" s="12">
        <f>149719949-9600960-2680972+967633</f>
        <v>138405650</v>
      </c>
      <c r="D80" s="12">
        <f>1759050+5409810</f>
        <v>7168860</v>
      </c>
      <c r="E80" s="12">
        <f>34759285+4191150</f>
        <v>38950435</v>
      </c>
      <c r="F80" s="12">
        <v>18016341</v>
      </c>
      <c r="G80" s="12">
        <v>9575558</v>
      </c>
      <c r="H80" s="12">
        <v>2232198</v>
      </c>
      <c r="I80" s="12">
        <v>4907320</v>
      </c>
      <c r="J80" s="12">
        <v>3842149</v>
      </c>
      <c r="K80" s="13">
        <f t="shared" si="66"/>
        <v>223098511</v>
      </c>
      <c r="L80" s="12">
        <f>149719949-9600960-2680972+967633</f>
        <v>138405650</v>
      </c>
      <c r="M80" s="12">
        <f>1759050+5409810</f>
        <v>7168860</v>
      </c>
      <c r="N80" s="12">
        <f>34759285+4191150</f>
        <v>38950435</v>
      </c>
      <c r="O80" s="12">
        <v>18016341</v>
      </c>
      <c r="P80" s="12">
        <v>9575558</v>
      </c>
      <c r="Q80" s="12">
        <v>2232198</v>
      </c>
      <c r="R80" s="12">
        <v>4907320</v>
      </c>
      <c r="S80" s="12">
        <v>3842149</v>
      </c>
      <c r="T80" s="13">
        <f t="shared" ref="T80" si="74">SUM(L80:S80)</f>
        <v>223098511</v>
      </c>
      <c r="U80" s="12">
        <f t="shared" ref="U80:AB80" si="75">L80-C80</f>
        <v>0</v>
      </c>
      <c r="V80" s="12">
        <f t="shared" si="75"/>
        <v>0</v>
      </c>
      <c r="W80" s="12">
        <f t="shared" si="75"/>
        <v>0</v>
      </c>
      <c r="X80" s="12">
        <f t="shared" si="75"/>
        <v>0</v>
      </c>
      <c r="Y80" s="12">
        <f t="shared" si="75"/>
        <v>0</v>
      </c>
      <c r="Z80" s="12">
        <f t="shared" si="75"/>
        <v>0</v>
      </c>
      <c r="AA80" s="12">
        <f t="shared" si="75"/>
        <v>0</v>
      </c>
      <c r="AB80" s="12">
        <f t="shared" si="75"/>
        <v>0</v>
      </c>
      <c r="AC80" s="14">
        <f t="shared" ref="AC80" si="76">SUM(U80:AB80)</f>
        <v>0</v>
      </c>
    </row>
    <row r="81" spans="1:29" ht="15" thickBot="1" x14ac:dyDescent="0.35">
      <c r="A81" s="69"/>
      <c r="B81" s="70" t="s">
        <v>75</v>
      </c>
      <c r="C81" s="71">
        <f t="shared" ref="C81:J81" si="77">SUM(C9+C42+C62+C80)</f>
        <v>1670982586</v>
      </c>
      <c r="D81" s="71">
        <f t="shared" si="77"/>
        <v>229054231</v>
      </c>
      <c r="E81" s="71">
        <f t="shared" si="77"/>
        <v>106736401</v>
      </c>
      <c r="F81" s="71">
        <f t="shared" si="77"/>
        <v>92259366</v>
      </c>
      <c r="G81" s="71">
        <f t="shared" si="77"/>
        <v>37687605</v>
      </c>
      <c r="H81" s="71">
        <f t="shared" si="77"/>
        <v>44267478</v>
      </c>
      <c r="I81" s="71">
        <f t="shared" si="77"/>
        <v>38907398</v>
      </c>
      <c r="J81" s="71">
        <f t="shared" si="77"/>
        <v>15857961</v>
      </c>
      <c r="K81" s="72">
        <f t="shared" ref="K81" si="78">SUM(C81:J81)</f>
        <v>2235753026</v>
      </c>
      <c r="L81" s="71">
        <f>SUM(L9+L42+L62+L80+L58)</f>
        <v>1670982586</v>
      </c>
      <c r="M81" s="71">
        <f t="shared" ref="M81:S81" si="79">SUM(M9+M42+M62+M80+M58)</f>
        <v>229054231</v>
      </c>
      <c r="N81" s="71">
        <f t="shared" si="79"/>
        <v>106736401</v>
      </c>
      <c r="O81" s="71">
        <f t="shared" si="79"/>
        <v>92259366</v>
      </c>
      <c r="P81" s="71">
        <f t="shared" si="79"/>
        <v>37687605</v>
      </c>
      <c r="Q81" s="71">
        <f t="shared" si="79"/>
        <v>44267478</v>
      </c>
      <c r="R81" s="71">
        <f t="shared" si="79"/>
        <v>38907398</v>
      </c>
      <c r="S81" s="71">
        <f t="shared" si="79"/>
        <v>15857961</v>
      </c>
      <c r="T81" s="73">
        <f>SUM(L81:S81)</f>
        <v>2235753026</v>
      </c>
      <c r="U81" s="74">
        <f>SUM(U9+U42+U62+U80+U58)</f>
        <v>0</v>
      </c>
      <c r="V81" s="74">
        <f t="shared" ref="V81:AC81" si="80">SUM(V9+V42+V62+V80+V58)</f>
        <v>0</v>
      </c>
      <c r="W81" s="74">
        <f t="shared" si="80"/>
        <v>0</v>
      </c>
      <c r="X81" s="74">
        <f t="shared" si="80"/>
        <v>0</v>
      </c>
      <c r="Y81" s="74">
        <f t="shared" si="80"/>
        <v>0</v>
      </c>
      <c r="Z81" s="74">
        <f t="shared" si="80"/>
        <v>0</v>
      </c>
      <c r="AA81" s="74">
        <f t="shared" si="80"/>
        <v>0</v>
      </c>
      <c r="AB81" s="74">
        <f t="shared" si="80"/>
        <v>0</v>
      </c>
      <c r="AC81" s="75">
        <f t="shared" si="80"/>
        <v>0</v>
      </c>
    </row>
    <row r="83" spans="1:29" x14ac:dyDescent="0.3">
      <c r="K83">
        <v>1292110235</v>
      </c>
      <c r="T83" s="93"/>
      <c r="U83" s="93"/>
    </row>
    <row r="84" spans="1:29" x14ac:dyDescent="0.3">
      <c r="T84" s="93"/>
    </row>
    <row r="87" spans="1:29" x14ac:dyDescent="0.3">
      <c r="T87" s="93"/>
    </row>
  </sheetData>
  <mergeCells count="6">
    <mergeCell ref="U7:AC7"/>
    <mergeCell ref="I1:K1"/>
    <mergeCell ref="H2:K2"/>
    <mergeCell ref="I3:K3"/>
    <mergeCell ref="C5:K5"/>
    <mergeCell ref="C7:K7"/>
  </mergeCells>
  <pageMargins left="0.78740157480314965" right="0.39370078740157483" top="1.1811023622047245" bottom="0.39370078740157483" header="0" footer="0"/>
  <pageSetup paperSize="9" scale="75" firstPageNumber="110" orientation="landscape" useFirstPageNumber="1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Нелли Трофим</dc:creator>
  <cp:lastModifiedBy>Кудрова А.А.</cp:lastModifiedBy>
  <cp:lastPrinted>2024-10-14T08:12:11Z</cp:lastPrinted>
  <dcterms:created xsi:type="dcterms:W3CDTF">2024-07-05T08:49:08Z</dcterms:created>
  <dcterms:modified xsi:type="dcterms:W3CDTF">2024-10-14T08:13:02Z</dcterms:modified>
</cp:coreProperties>
</file>